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IP Project\"/>
    </mc:Choice>
  </mc:AlternateContent>
  <workbookProtection workbookAlgorithmName="SHA-512" workbookHashValue="ZElheMar/JDJeVotMyZdFf6A+tmdfb5jQrlmEh9m8gWiJiE3vxKvNq41tM3007f9jtZuD8zWvpDMBonMG+sb9Q==" workbookSaltValue="9L57p14WOAmzHZjiTwSknw==" workbookSpinCount="100000" lockStructure="1"/>
  <bookViews>
    <workbookView xWindow="0" yWindow="0" windowWidth="28428" windowHeight="11232" firstSheet="2" activeTab="2"/>
  </bookViews>
  <sheets>
    <sheet name="PERA2923fv2Masked" sheetId="31" state="hidden" r:id="rId1"/>
    <sheet name="PERA2" sheetId="34" state="hidden" r:id="rId2"/>
    <sheet name="Instructions" sheetId="36" r:id="rId3"/>
    <sheet name="Master List" sheetId="32" r:id="rId4"/>
    <sheet name="2010-2020 NCES FederalCrosswalk" sheetId="35" r:id="rId5"/>
    <sheet name="01 EFSC" sheetId="28" r:id="rId6"/>
    <sheet name="02 BC" sheetId="17" r:id="rId7"/>
    <sheet name="03 CCF" sheetId="7" r:id="rId8"/>
    <sheet name="04 CC" sheetId="6" r:id="rId9"/>
    <sheet name="05 DSC" sheetId="5" r:id="rId10"/>
    <sheet name="06 FSWSC" sheetId="4" r:id="rId11"/>
    <sheet name="07 FSCJ" sheetId="3" r:id="rId12"/>
    <sheet name="08 FK" sheetId="2" r:id="rId13"/>
    <sheet name="09 GCSC" sheetId="1" r:id="rId14"/>
    <sheet name="10 HCC" sheetId="27" r:id="rId15"/>
    <sheet name="11 IRSC" sheetId="26" r:id="rId16"/>
    <sheet name="12 FGC" sheetId="25" r:id="rId17"/>
    <sheet name="13 LSSC" sheetId="24" r:id="rId18"/>
    <sheet name="14 SCFMS" sheetId="23" r:id="rId19"/>
    <sheet name="15 MDC" sheetId="22" r:id="rId20"/>
    <sheet name="16 NFC" sheetId="21" r:id="rId21"/>
    <sheet name="17 NWFSC" sheetId="20" r:id="rId22"/>
    <sheet name="18 PBSC" sheetId="19" r:id="rId23"/>
    <sheet name="19 PHSC" sheetId="18" r:id="rId24"/>
    <sheet name="20 PSC" sheetId="16" r:id="rId25"/>
    <sheet name="21 Polk" sheetId="15" r:id="rId26"/>
    <sheet name="22 SJRSC" sheetId="14" r:id="rId27"/>
    <sheet name="23 SPC" sheetId="13" r:id="rId28"/>
    <sheet name="24 SFC" sheetId="12" r:id="rId29"/>
    <sheet name="25 SSCF" sheetId="11" r:id="rId30"/>
    <sheet name="26 SFSC" sheetId="10" r:id="rId31"/>
    <sheet name="27 TCC" sheetId="9" r:id="rId32"/>
    <sheet name="28 VC" sheetId="8" r:id="rId33"/>
  </sheets>
  <definedNames>
    <definedName name="_xlnm._FilterDatabase" localSheetId="5" hidden="1">'01 EFSC'!$A$2:$L$115</definedName>
    <definedName name="_xlnm._FilterDatabase" localSheetId="6" hidden="1">'02 BC'!$A$2:$L$139</definedName>
    <definedName name="_xlnm._FilterDatabase" localSheetId="7" hidden="1">'03 CCF'!$A$2:$L$2</definedName>
    <definedName name="_xlnm._FilterDatabase" localSheetId="8" hidden="1">'04 CC'!$A$2:$L$33</definedName>
    <definedName name="_xlnm._FilterDatabase" localSheetId="9" hidden="1">'05 DSC'!$A$2:$L$96</definedName>
    <definedName name="_xlnm._FilterDatabase" localSheetId="10" hidden="1">'06 FSWSC'!$A$2:$L$47</definedName>
    <definedName name="_xlnm._FilterDatabase" localSheetId="11" hidden="1">'07 FSCJ'!$A$2:$L$151</definedName>
    <definedName name="_xlnm._FilterDatabase" localSheetId="12" hidden="1">'08 FK'!$A$2:$L$37</definedName>
    <definedName name="_xlnm._FilterDatabase" localSheetId="13" hidden="1">'09 GCSC'!$A$2:$L$54</definedName>
    <definedName name="_xlnm._FilterDatabase" localSheetId="14" hidden="1">'10 HCC'!$A$2:$L$130</definedName>
    <definedName name="_xlnm._FilterDatabase" localSheetId="15" hidden="1">'11 IRSC'!$A$2:$L$119</definedName>
    <definedName name="_xlnm._FilterDatabase" localSheetId="16" hidden="1">'12 FGC'!$A$2:$L$53</definedName>
    <definedName name="_xlnm._FilterDatabase" localSheetId="17" hidden="1">'13 LSSC'!$A$2:$L$28</definedName>
    <definedName name="_xlnm._FilterDatabase" localSheetId="18" hidden="1">'14 SCFMS'!$A$2:$L$44</definedName>
    <definedName name="_xlnm._FilterDatabase" localSheetId="19" hidden="1">'15 MDC'!$A$2:$L$154</definedName>
    <definedName name="_xlnm._FilterDatabase" localSheetId="20" hidden="1">'16 NFC'!$A$2:$L$27</definedName>
    <definedName name="_xlnm._FilterDatabase" localSheetId="21" hidden="1">'17 NWFSC'!$A$2:$L$83</definedName>
    <definedName name="_xlnm._FilterDatabase" localSheetId="22" hidden="1">'18 PBSC'!$A$2:$L$132</definedName>
    <definedName name="_xlnm._FilterDatabase" localSheetId="23" hidden="1">'19 PHSC'!$A$2:$L$75</definedName>
    <definedName name="_xlnm._FilterDatabase" localSheetId="24" hidden="1">'20 PSC'!$A$2:$L$80</definedName>
    <definedName name="_xlnm._FilterDatabase" localSheetId="4" hidden="1">'2010-2020 NCES FederalCrosswalk'!$A$1:$A$2653</definedName>
    <definedName name="_xlnm._FilterDatabase" localSheetId="25" hidden="1">'21 Polk'!$A$2:$L$47</definedName>
    <definedName name="_xlnm._FilterDatabase" localSheetId="26" hidden="1">'22 SJRSC'!$A$2:$L$67</definedName>
    <definedName name="_xlnm._FilterDatabase" localSheetId="27" hidden="1">'23 SPC'!$A$2:$L$118</definedName>
    <definedName name="_xlnm._FilterDatabase" localSheetId="28" hidden="1">'24 SFC'!$A$2:$L$61</definedName>
    <definedName name="_xlnm._FilterDatabase" localSheetId="29" hidden="1">'25 SSCF'!$A$2:$L$107</definedName>
    <definedName name="_xlnm._FilterDatabase" localSheetId="30" hidden="1">'26 SFSC'!$A$2:$L$53</definedName>
    <definedName name="_xlnm._FilterDatabase" localSheetId="31" hidden="1">'27 TCC'!$A$2:$L$74</definedName>
    <definedName name="_xlnm._FilterDatabase" localSheetId="32" hidden="1">'28 VC'!$A$2:$L$123</definedName>
    <definedName name="_xlnm._FilterDatabase" localSheetId="3" hidden="1">'Master List'!$A$1:$K$614</definedName>
    <definedName name="_xlnm._FilterDatabase" localSheetId="1" hidden="1">PERA2!$A$1:$H$2286</definedName>
    <definedName name="_xlnm._FilterDatabase" localSheetId="0" hidden="1">PERA2923fv2Masked!$A$1:$H$2404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53" i="35" l="1"/>
  <c r="F2653" i="35"/>
  <c r="J2653" i="35" s="1"/>
  <c r="H2653" i="35" s="1"/>
  <c r="I2652" i="35"/>
  <c r="H2652" i="35" s="1"/>
  <c r="F2652" i="35"/>
  <c r="J2652" i="35" s="1"/>
  <c r="I2651" i="35"/>
  <c r="H2651" i="35"/>
  <c r="F2651" i="35"/>
  <c r="J2651" i="35" s="1"/>
  <c r="I2650" i="35"/>
  <c r="F2650" i="35"/>
  <c r="J2650" i="35" s="1"/>
  <c r="H2650" i="35" s="1"/>
  <c r="I2649" i="35"/>
  <c r="H2649" i="35" s="1"/>
  <c r="F2649" i="35"/>
  <c r="J2649" i="35" s="1"/>
  <c r="I2648" i="35"/>
  <c r="H2648" i="35" s="1"/>
  <c r="F2648" i="35"/>
  <c r="J2648" i="35" s="1"/>
  <c r="I2647" i="35"/>
  <c r="H2647" i="35"/>
  <c r="F2647" i="35"/>
  <c r="J2647" i="35" s="1"/>
  <c r="I2646" i="35"/>
  <c r="F2646" i="35"/>
  <c r="J2646" i="35" s="1"/>
  <c r="H2646" i="35" s="1"/>
  <c r="I2645" i="35"/>
  <c r="H2645" i="35" s="1"/>
  <c r="F2645" i="35"/>
  <c r="J2645" i="35" s="1"/>
  <c r="I2644" i="35"/>
  <c r="H2644" i="35" s="1"/>
  <c r="F2644" i="35"/>
  <c r="J2644" i="35" s="1"/>
  <c r="I2643" i="35"/>
  <c r="H2643" i="35"/>
  <c r="F2643" i="35"/>
  <c r="J2643" i="35" s="1"/>
  <c r="I2642" i="35"/>
  <c r="F2642" i="35"/>
  <c r="J2642" i="35" s="1"/>
  <c r="H2642" i="35" s="1"/>
  <c r="I2641" i="35"/>
  <c r="H2641" i="35" s="1"/>
  <c r="F2641" i="35"/>
  <c r="J2641" i="35" s="1"/>
  <c r="I2640" i="35"/>
  <c r="H2640" i="35" s="1"/>
  <c r="F2640" i="35"/>
  <c r="J2640" i="35" s="1"/>
  <c r="I2639" i="35"/>
  <c r="H2639" i="35"/>
  <c r="F2639" i="35"/>
  <c r="J2639" i="35" s="1"/>
  <c r="I2638" i="35"/>
  <c r="F2638" i="35"/>
  <c r="J2638" i="35" s="1"/>
  <c r="H2638" i="35" s="1"/>
  <c r="I2637" i="35"/>
  <c r="H2637" i="35" s="1"/>
  <c r="F2637" i="35"/>
  <c r="J2637" i="35" s="1"/>
  <c r="I2636" i="35"/>
  <c r="H2636" i="35" s="1"/>
  <c r="F2636" i="35"/>
  <c r="J2636" i="35" s="1"/>
  <c r="I2635" i="35"/>
  <c r="H2635" i="35"/>
  <c r="F2635" i="35"/>
  <c r="J2635" i="35" s="1"/>
  <c r="I2634" i="35"/>
  <c r="F2634" i="35"/>
  <c r="J2634" i="35" s="1"/>
  <c r="H2634" i="35" s="1"/>
  <c r="I2633" i="35"/>
  <c r="H2633" i="35" s="1"/>
  <c r="F2633" i="35"/>
  <c r="J2633" i="35" s="1"/>
  <c r="I2632" i="35"/>
  <c r="H2632" i="35" s="1"/>
  <c r="F2632" i="35"/>
  <c r="J2632" i="35" s="1"/>
  <c r="I2631" i="35"/>
  <c r="H2631" i="35"/>
  <c r="F2631" i="35"/>
  <c r="J2631" i="35" s="1"/>
  <c r="I2630" i="35"/>
  <c r="F2630" i="35"/>
  <c r="J2630" i="35" s="1"/>
  <c r="H2630" i="35" s="1"/>
  <c r="I2629" i="35"/>
  <c r="H2629" i="35" s="1"/>
  <c r="F2629" i="35"/>
  <c r="J2629" i="35" s="1"/>
  <c r="I2628" i="35"/>
  <c r="H2628" i="35" s="1"/>
  <c r="F2628" i="35"/>
  <c r="J2628" i="35" s="1"/>
  <c r="I2627" i="35"/>
  <c r="H2627" i="35"/>
  <c r="F2627" i="35"/>
  <c r="J2627" i="35" s="1"/>
  <c r="I2626" i="35"/>
  <c r="F2626" i="35"/>
  <c r="J2626" i="35" s="1"/>
  <c r="H2626" i="35" s="1"/>
  <c r="I2625" i="35"/>
  <c r="H2625" i="35" s="1"/>
  <c r="F2625" i="35"/>
  <c r="J2625" i="35" s="1"/>
  <c r="I2624" i="35"/>
  <c r="H2624" i="35" s="1"/>
  <c r="F2624" i="35"/>
  <c r="J2624" i="35" s="1"/>
  <c r="I2623" i="35"/>
  <c r="H2623" i="35"/>
  <c r="F2623" i="35"/>
  <c r="J2623" i="35" s="1"/>
  <c r="I2622" i="35"/>
  <c r="F2622" i="35"/>
  <c r="J2622" i="35" s="1"/>
  <c r="H2622" i="35" s="1"/>
  <c r="I2621" i="35"/>
  <c r="H2621" i="35" s="1"/>
  <c r="F2621" i="35"/>
  <c r="J2621" i="35" s="1"/>
  <c r="I2620" i="35"/>
  <c r="H2620" i="35" s="1"/>
  <c r="F2620" i="35"/>
  <c r="J2620" i="35" s="1"/>
  <c r="I2619" i="35"/>
  <c r="H2619" i="35"/>
  <c r="F2619" i="35"/>
  <c r="J2619" i="35" s="1"/>
  <c r="I2618" i="35"/>
  <c r="F2618" i="35"/>
  <c r="J2618" i="35" s="1"/>
  <c r="H2618" i="35" s="1"/>
  <c r="I2617" i="35"/>
  <c r="H2617" i="35" s="1"/>
  <c r="F2617" i="35"/>
  <c r="J2617" i="35" s="1"/>
  <c r="I2616" i="35"/>
  <c r="H2616" i="35" s="1"/>
  <c r="F2616" i="35"/>
  <c r="J2616" i="35" s="1"/>
  <c r="I2615" i="35"/>
  <c r="H2615" i="35"/>
  <c r="F2615" i="35"/>
  <c r="J2615" i="35" s="1"/>
  <c r="I2614" i="35"/>
  <c r="F2614" i="35"/>
  <c r="J2614" i="35" s="1"/>
  <c r="H2614" i="35" s="1"/>
  <c r="I2613" i="35"/>
  <c r="H2613" i="35" s="1"/>
  <c r="F2613" i="35"/>
  <c r="J2613" i="35" s="1"/>
  <c r="I2612" i="35"/>
  <c r="H2612" i="35" s="1"/>
  <c r="F2612" i="35"/>
  <c r="J2612" i="35" s="1"/>
  <c r="I2611" i="35"/>
  <c r="H2611" i="35"/>
  <c r="F2611" i="35"/>
  <c r="J2611" i="35" s="1"/>
  <c r="I2610" i="35"/>
  <c r="F2610" i="35"/>
  <c r="J2610" i="35" s="1"/>
  <c r="H2610" i="35" s="1"/>
  <c r="I2609" i="35"/>
  <c r="H2609" i="35" s="1"/>
  <c r="F2609" i="35"/>
  <c r="J2609" i="35" s="1"/>
  <c r="I2608" i="35"/>
  <c r="H2608" i="35" s="1"/>
  <c r="F2608" i="35"/>
  <c r="J2608" i="35" s="1"/>
  <c r="I2607" i="35"/>
  <c r="H2607" i="35"/>
  <c r="F2607" i="35"/>
  <c r="J2607" i="35" s="1"/>
  <c r="I2606" i="35"/>
  <c r="F2606" i="35"/>
  <c r="J2606" i="35" s="1"/>
  <c r="H2606" i="35" s="1"/>
  <c r="I2605" i="35"/>
  <c r="H2605" i="35" s="1"/>
  <c r="F2605" i="35"/>
  <c r="J2605" i="35" s="1"/>
  <c r="I2604" i="35"/>
  <c r="H2604" i="35"/>
  <c r="F2604" i="35"/>
  <c r="J2604" i="35" s="1"/>
  <c r="I2603" i="35"/>
  <c r="F2603" i="35"/>
  <c r="J2603" i="35" s="1"/>
  <c r="H2603" i="35" s="1"/>
  <c r="I2602" i="35"/>
  <c r="F2602" i="35"/>
  <c r="J2602" i="35" s="1"/>
  <c r="H2602" i="35" s="1"/>
  <c r="I2601" i="35"/>
  <c r="H2601" i="35" s="1"/>
  <c r="F2601" i="35"/>
  <c r="J2601" i="35" s="1"/>
  <c r="I2600" i="35"/>
  <c r="H2600" i="35" s="1"/>
  <c r="F2600" i="35"/>
  <c r="J2600" i="35" s="1"/>
  <c r="I2599" i="35"/>
  <c r="H2599" i="35"/>
  <c r="F2599" i="35"/>
  <c r="J2599" i="35" s="1"/>
  <c r="I2598" i="35"/>
  <c r="F2598" i="35"/>
  <c r="J2598" i="35" s="1"/>
  <c r="H2598" i="35" s="1"/>
  <c r="I2597" i="35"/>
  <c r="H2597" i="35" s="1"/>
  <c r="F2597" i="35"/>
  <c r="J2597" i="35" s="1"/>
  <c r="I2596" i="35"/>
  <c r="H2596" i="35"/>
  <c r="F2596" i="35"/>
  <c r="J2596" i="35" s="1"/>
  <c r="I2595" i="35"/>
  <c r="F2595" i="35"/>
  <c r="J2595" i="35" s="1"/>
  <c r="H2595" i="35" s="1"/>
  <c r="I2594" i="35"/>
  <c r="F2594" i="35"/>
  <c r="J2594" i="35" s="1"/>
  <c r="H2594" i="35" s="1"/>
  <c r="I2593" i="35"/>
  <c r="H2593" i="35" s="1"/>
  <c r="F2593" i="35"/>
  <c r="J2593" i="35" s="1"/>
  <c r="I2592" i="35"/>
  <c r="H2592" i="35" s="1"/>
  <c r="F2592" i="35"/>
  <c r="J2592" i="35" s="1"/>
  <c r="I2591" i="35"/>
  <c r="H2591" i="35"/>
  <c r="F2591" i="35"/>
  <c r="J2591" i="35" s="1"/>
  <c r="I2590" i="35"/>
  <c r="F2590" i="35"/>
  <c r="J2590" i="35" s="1"/>
  <c r="H2590" i="35" s="1"/>
  <c r="I2589" i="35"/>
  <c r="H2589" i="35" s="1"/>
  <c r="F2589" i="35"/>
  <c r="J2589" i="35" s="1"/>
  <c r="I2588" i="35"/>
  <c r="H2588" i="35"/>
  <c r="F2588" i="35"/>
  <c r="J2588" i="35" s="1"/>
  <c r="I2587" i="35"/>
  <c r="F2587" i="35"/>
  <c r="J2587" i="35" s="1"/>
  <c r="H2587" i="35" s="1"/>
  <c r="I2586" i="35"/>
  <c r="F2586" i="35"/>
  <c r="J2586" i="35" s="1"/>
  <c r="H2586" i="35" s="1"/>
  <c r="I2585" i="35"/>
  <c r="H2585" i="35" s="1"/>
  <c r="F2585" i="35"/>
  <c r="J2585" i="35" s="1"/>
  <c r="I2584" i="35"/>
  <c r="H2584" i="35" s="1"/>
  <c r="F2584" i="35"/>
  <c r="J2584" i="35" s="1"/>
  <c r="I2583" i="35"/>
  <c r="H2583" i="35"/>
  <c r="F2583" i="35"/>
  <c r="J2583" i="35" s="1"/>
  <c r="I2582" i="35"/>
  <c r="F2582" i="35"/>
  <c r="J2582" i="35" s="1"/>
  <c r="H2582" i="35" s="1"/>
  <c r="I2581" i="35"/>
  <c r="H2581" i="35" s="1"/>
  <c r="F2581" i="35"/>
  <c r="J2581" i="35" s="1"/>
  <c r="I2580" i="35"/>
  <c r="H2580" i="35"/>
  <c r="F2580" i="35"/>
  <c r="J2580" i="35" s="1"/>
  <c r="I2579" i="35"/>
  <c r="F2579" i="35"/>
  <c r="J2579" i="35" s="1"/>
  <c r="H2579" i="35" s="1"/>
  <c r="I2578" i="35"/>
  <c r="F2578" i="35"/>
  <c r="J2578" i="35" s="1"/>
  <c r="H2578" i="35" s="1"/>
  <c r="I2577" i="35"/>
  <c r="H2577" i="35" s="1"/>
  <c r="F2577" i="35"/>
  <c r="J2577" i="35" s="1"/>
  <c r="I2576" i="35"/>
  <c r="H2576" i="35" s="1"/>
  <c r="F2576" i="35"/>
  <c r="J2576" i="35" s="1"/>
  <c r="I2575" i="35"/>
  <c r="H2575" i="35"/>
  <c r="F2575" i="35"/>
  <c r="J2575" i="35" s="1"/>
  <c r="I2574" i="35"/>
  <c r="F2574" i="35"/>
  <c r="J2574" i="35" s="1"/>
  <c r="H2574" i="35" s="1"/>
  <c r="I2573" i="35"/>
  <c r="H2573" i="35" s="1"/>
  <c r="F2573" i="35"/>
  <c r="J2573" i="35" s="1"/>
  <c r="I2572" i="35"/>
  <c r="H2572" i="35"/>
  <c r="F2572" i="35"/>
  <c r="J2572" i="35" s="1"/>
  <c r="I2571" i="35"/>
  <c r="F2571" i="35"/>
  <c r="J2571" i="35" s="1"/>
  <c r="H2571" i="35" s="1"/>
  <c r="I2570" i="35"/>
  <c r="F2570" i="35"/>
  <c r="J2570" i="35" s="1"/>
  <c r="H2570" i="35" s="1"/>
  <c r="I2569" i="35"/>
  <c r="H2569" i="35" s="1"/>
  <c r="F2569" i="35"/>
  <c r="J2569" i="35" s="1"/>
  <c r="J2568" i="35"/>
  <c r="I2568" i="35"/>
  <c r="F2568" i="35"/>
  <c r="J2567" i="35"/>
  <c r="I2567" i="35"/>
  <c r="F2567" i="35"/>
  <c r="J2566" i="35"/>
  <c r="I2566" i="35"/>
  <c r="H2566" i="35" s="1"/>
  <c r="F2566" i="35"/>
  <c r="J2565" i="35"/>
  <c r="I2565" i="35"/>
  <c r="F2565" i="35"/>
  <c r="J2564" i="35"/>
  <c r="I2564" i="35"/>
  <c r="F2564" i="35"/>
  <c r="J2563" i="35"/>
  <c r="I2563" i="35"/>
  <c r="F2563" i="35"/>
  <c r="J2562" i="35"/>
  <c r="I2562" i="35"/>
  <c r="H2562" i="35" s="1"/>
  <c r="F2562" i="35"/>
  <c r="J2561" i="35"/>
  <c r="I2561" i="35"/>
  <c r="H2561" i="35" s="1"/>
  <c r="F2561" i="35"/>
  <c r="J2560" i="35"/>
  <c r="I2560" i="35"/>
  <c r="F2560" i="35"/>
  <c r="J2559" i="35"/>
  <c r="I2559" i="35"/>
  <c r="F2559" i="35"/>
  <c r="J2558" i="35"/>
  <c r="I2558" i="35"/>
  <c r="H2558" i="35" s="1"/>
  <c r="F2558" i="35"/>
  <c r="J2557" i="35"/>
  <c r="I2557" i="35"/>
  <c r="H2557" i="35" s="1"/>
  <c r="F2557" i="35"/>
  <c r="J2556" i="35"/>
  <c r="I2556" i="35"/>
  <c r="F2556" i="35"/>
  <c r="J2555" i="35"/>
  <c r="I2555" i="35"/>
  <c r="F2555" i="35"/>
  <c r="J2554" i="35"/>
  <c r="I2554" i="35"/>
  <c r="H2554" i="35" s="1"/>
  <c r="F2554" i="35"/>
  <c r="J2553" i="35"/>
  <c r="I2553" i="35"/>
  <c r="H2553" i="35" s="1"/>
  <c r="F2553" i="35"/>
  <c r="J2552" i="35"/>
  <c r="I2552" i="35"/>
  <c r="F2552" i="35"/>
  <c r="J2551" i="35"/>
  <c r="I2551" i="35"/>
  <c r="F2551" i="35"/>
  <c r="J2550" i="35"/>
  <c r="I2550" i="35"/>
  <c r="H2550" i="35" s="1"/>
  <c r="F2550" i="35"/>
  <c r="J2549" i="35"/>
  <c r="I2549" i="35"/>
  <c r="F2549" i="35"/>
  <c r="J2548" i="35"/>
  <c r="I2548" i="35"/>
  <c r="H2548" i="35" s="1"/>
  <c r="F2548" i="35"/>
  <c r="J2547" i="35"/>
  <c r="I2547" i="35"/>
  <c r="F2547" i="35"/>
  <c r="J2546" i="35"/>
  <c r="I2546" i="35"/>
  <c r="H2546" i="35" s="1"/>
  <c r="F2546" i="35"/>
  <c r="J2545" i="35"/>
  <c r="I2545" i="35"/>
  <c r="H2545" i="35" s="1"/>
  <c r="F2545" i="35"/>
  <c r="J2544" i="35"/>
  <c r="I2544" i="35"/>
  <c r="H2544" i="35" s="1"/>
  <c r="F2544" i="35"/>
  <c r="J2543" i="35"/>
  <c r="I2543" i="35"/>
  <c r="F2543" i="35"/>
  <c r="J2542" i="35"/>
  <c r="I2542" i="35"/>
  <c r="H2542" i="35" s="1"/>
  <c r="F2542" i="35"/>
  <c r="J2541" i="35"/>
  <c r="I2541" i="35"/>
  <c r="F2541" i="35"/>
  <c r="J2540" i="35"/>
  <c r="I2540" i="35"/>
  <c r="H2540" i="35" s="1"/>
  <c r="F2540" i="35"/>
  <c r="J2539" i="35"/>
  <c r="I2539" i="35"/>
  <c r="F2539" i="35"/>
  <c r="J2538" i="35"/>
  <c r="I2538" i="35"/>
  <c r="H2538" i="35" s="1"/>
  <c r="F2538" i="35"/>
  <c r="J2537" i="35"/>
  <c r="I2537" i="35"/>
  <c r="H2537" i="35" s="1"/>
  <c r="F2537" i="35"/>
  <c r="I2536" i="35"/>
  <c r="F2536" i="35"/>
  <c r="J2536" i="35" s="1"/>
  <c r="J2535" i="35"/>
  <c r="I2535" i="35"/>
  <c r="F2535" i="35"/>
  <c r="J2534" i="35"/>
  <c r="I2534" i="35"/>
  <c r="H2534" i="35" s="1"/>
  <c r="F2534" i="35"/>
  <c r="I2533" i="35"/>
  <c r="F2533" i="35"/>
  <c r="J2533" i="35" s="1"/>
  <c r="I2532" i="35"/>
  <c r="F2532" i="35"/>
  <c r="J2532" i="35" s="1"/>
  <c r="J2531" i="35"/>
  <c r="I2531" i="35"/>
  <c r="F2531" i="35"/>
  <c r="J2530" i="35"/>
  <c r="I2530" i="35"/>
  <c r="H2530" i="35" s="1"/>
  <c r="F2530" i="35"/>
  <c r="I2529" i="35"/>
  <c r="F2529" i="35"/>
  <c r="J2529" i="35" s="1"/>
  <c r="I2528" i="35"/>
  <c r="F2528" i="35"/>
  <c r="J2528" i="35" s="1"/>
  <c r="J2527" i="35"/>
  <c r="I2527" i="35"/>
  <c r="F2527" i="35"/>
  <c r="J2526" i="35"/>
  <c r="I2526" i="35"/>
  <c r="H2526" i="35" s="1"/>
  <c r="F2526" i="35"/>
  <c r="I2525" i="35"/>
  <c r="F2525" i="35"/>
  <c r="J2525" i="35" s="1"/>
  <c r="I2524" i="35"/>
  <c r="F2524" i="35"/>
  <c r="J2524" i="35" s="1"/>
  <c r="J2523" i="35"/>
  <c r="I2523" i="35"/>
  <c r="F2523" i="35"/>
  <c r="J2522" i="35"/>
  <c r="I2522" i="35"/>
  <c r="H2522" i="35" s="1"/>
  <c r="F2522" i="35"/>
  <c r="I2521" i="35"/>
  <c r="F2521" i="35"/>
  <c r="J2521" i="35" s="1"/>
  <c r="I2520" i="35"/>
  <c r="F2520" i="35"/>
  <c r="J2520" i="35" s="1"/>
  <c r="J2519" i="35"/>
  <c r="I2519" i="35"/>
  <c r="F2519" i="35"/>
  <c r="J2518" i="35"/>
  <c r="I2518" i="35"/>
  <c r="H2518" i="35" s="1"/>
  <c r="F2518" i="35"/>
  <c r="I2517" i="35"/>
  <c r="F2517" i="35"/>
  <c r="J2517" i="35" s="1"/>
  <c r="I2516" i="35"/>
  <c r="F2516" i="35"/>
  <c r="J2516" i="35" s="1"/>
  <c r="J2515" i="35"/>
  <c r="I2515" i="35"/>
  <c r="F2515" i="35"/>
  <c r="J2514" i="35"/>
  <c r="I2514" i="35"/>
  <c r="H2514" i="35" s="1"/>
  <c r="F2514" i="35"/>
  <c r="I2513" i="35"/>
  <c r="F2513" i="35"/>
  <c r="J2513" i="35" s="1"/>
  <c r="I2512" i="35"/>
  <c r="F2512" i="35"/>
  <c r="J2512" i="35" s="1"/>
  <c r="J2511" i="35"/>
  <c r="I2511" i="35"/>
  <c r="F2511" i="35"/>
  <c r="J2510" i="35"/>
  <c r="I2510" i="35"/>
  <c r="H2510" i="35" s="1"/>
  <c r="F2510" i="35"/>
  <c r="I2509" i="35"/>
  <c r="F2509" i="35"/>
  <c r="J2509" i="35" s="1"/>
  <c r="I2508" i="35"/>
  <c r="F2508" i="35"/>
  <c r="J2508" i="35" s="1"/>
  <c r="J2507" i="35"/>
  <c r="I2507" i="35"/>
  <c r="F2507" i="35"/>
  <c r="J2506" i="35"/>
  <c r="I2506" i="35"/>
  <c r="H2506" i="35" s="1"/>
  <c r="F2506" i="35"/>
  <c r="I2505" i="35"/>
  <c r="F2505" i="35"/>
  <c r="J2505" i="35" s="1"/>
  <c r="H2505" i="35" s="1"/>
  <c r="I2504" i="35"/>
  <c r="F2504" i="35"/>
  <c r="J2504" i="35" s="1"/>
  <c r="H2504" i="35" s="1"/>
  <c r="I2503" i="35"/>
  <c r="F2503" i="35"/>
  <c r="J2503" i="35" s="1"/>
  <c r="H2503" i="35" s="1"/>
  <c r="I2502" i="35"/>
  <c r="H2502" i="35"/>
  <c r="F2502" i="35"/>
  <c r="J2502" i="35" s="1"/>
  <c r="I2501" i="35"/>
  <c r="F2501" i="35"/>
  <c r="J2501" i="35" s="1"/>
  <c r="H2501" i="35" s="1"/>
  <c r="I2500" i="35"/>
  <c r="F2500" i="35"/>
  <c r="J2500" i="35" s="1"/>
  <c r="H2500" i="35" s="1"/>
  <c r="I2499" i="35"/>
  <c r="F2499" i="35"/>
  <c r="J2499" i="35" s="1"/>
  <c r="H2499" i="35" s="1"/>
  <c r="I2498" i="35"/>
  <c r="H2498" i="35"/>
  <c r="F2498" i="35"/>
  <c r="J2498" i="35" s="1"/>
  <c r="I2497" i="35"/>
  <c r="F2497" i="35"/>
  <c r="J2497" i="35" s="1"/>
  <c r="H2497" i="35" s="1"/>
  <c r="I2496" i="35"/>
  <c r="F2496" i="35"/>
  <c r="J2496" i="35" s="1"/>
  <c r="H2496" i="35" s="1"/>
  <c r="I2495" i="35"/>
  <c r="F2495" i="35"/>
  <c r="J2495" i="35" s="1"/>
  <c r="H2495" i="35" s="1"/>
  <c r="I2494" i="35"/>
  <c r="H2494" i="35"/>
  <c r="F2494" i="35"/>
  <c r="J2494" i="35" s="1"/>
  <c r="I2493" i="35"/>
  <c r="F2493" i="35"/>
  <c r="J2493" i="35" s="1"/>
  <c r="H2493" i="35" s="1"/>
  <c r="I2492" i="35"/>
  <c r="F2492" i="35"/>
  <c r="J2492" i="35" s="1"/>
  <c r="H2492" i="35" s="1"/>
  <c r="I2491" i="35"/>
  <c r="F2491" i="35"/>
  <c r="J2491" i="35" s="1"/>
  <c r="H2491" i="35" s="1"/>
  <c r="I2490" i="35"/>
  <c r="H2490" i="35"/>
  <c r="F2490" i="35"/>
  <c r="J2490" i="35" s="1"/>
  <c r="I2489" i="35"/>
  <c r="F2489" i="35"/>
  <c r="J2489" i="35" s="1"/>
  <c r="H2489" i="35" s="1"/>
  <c r="I2488" i="35"/>
  <c r="F2488" i="35"/>
  <c r="J2488" i="35" s="1"/>
  <c r="H2488" i="35" s="1"/>
  <c r="I2487" i="35"/>
  <c r="F2487" i="35"/>
  <c r="J2487" i="35" s="1"/>
  <c r="H2487" i="35" s="1"/>
  <c r="I2486" i="35"/>
  <c r="H2486" i="35"/>
  <c r="F2486" i="35"/>
  <c r="J2486" i="35" s="1"/>
  <c r="I2485" i="35"/>
  <c r="F2485" i="35"/>
  <c r="J2485" i="35" s="1"/>
  <c r="H2485" i="35" s="1"/>
  <c r="I2484" i="35"/>
  <c r="F2484" i="35"/>
  <c r="J2484" i="35" s="1"/>
  <c r="H2484" i="35" s="1"/>
  <c r="I2483" i="35"/>
  <c r="F2483" i="35"/>
  <c r="J2483" i="35" s="1"/>
  <c r="H2483" i="35" s="1"/>
  <c r="I2482" i="35"/>
  <c r="H2482" i="35"/>
  <c r="F2482" i="35"/>
  <c r="J2482" i="35" s="1"/>
  <c r="I2481" i="35"/>
  <c r="F2481" i="35"/>
  <c r="J2481" i="35" s="1"/>
  <c r="H2481" i="35" s="1"/>
  <c r="I2480" i="35"/>
  <c r="F2480" i="35"/>
  <c r="J2480" i="35" s="1"/>
  <c r="H2480" i="35" s="1"/>
  <c r="I2479" i="35"/>
  <c r="F2479" i="35"/>
  <c r="J2479" i="35" s="1"/>
  <c r="H2479" i="35" s="1"/>
  <c r="I2478" i="35"/>
  <c r="H2478" i="35"/>
  <c r="F2478" i="35"/>
  <c r="J2478" i="35" s="1"/>
  <c r="I2477" i="35"/>
  <c r="F2477" i="35"/>
  <c r="J2477" i="35" s="1"/>
  <c r="H2477" i="35" s="1"/>
  <c r="I2476" i="35"/>
  <c r="F2476" i="35"/>
  <c r="J2476" i="35" s="1"/>
  <c r="H2476" i="35" s="1"/>
  <c r="I2475" i="35"/>
  <c r="F2475" i="35"/>
  <c r="J2475" i="35" s="1"/>
  <c r="H2475" i="35" s="1"/>
  <c r="I2474" i="35"/>
  <c r="H2474" i="35"/>
  <c r="F2474" i="35"/>
  <c r="J2474" i="35" s="1"/>
  <c r="I2473" i="35"/>
  <c r="F2473" i="35"/>
  <c r="J2473" i="35" s="1"/>
  <c r="H2473" i="35" s="1"/>
  <c r="I2472" i="35"/>
  <c r="F2472" i="35"/>
  <c r="J2472" i="35" s="1"/>
  <c r="H2472" i="35" s="1"/>
  <c r="I2471" i="35"/>
  <c r="F2471" i="35"/>
  <c r="J2471" i="35" s="1"/>
  <c r="H2471" i="35" s="1"/>
  <c r="I2470" i="35"/>
  <c r="H2470" i="35"/>
  <c r="F2470" i="35"/>
  <c r="J2470" i="35" s="1"/>
  <c r="I2469" i="35"/>
  <c r="F2469" i="35"/>
  <c r="J2469" i="35" s="1"/>
  <c r="H2469" i="35" s="1"/>
  <c r="I2468" i="35"/>
  <c r="F2468" i="35"/>
  <c r="J2468" i="35" s="1"/>
  <c r="H2468" i="35" s="1"/>
  <c r="I2467" i="35"/>
  <c r="F2467" i="35"/>
  <c r="J2467" i="35" s="1"/>
  <c r="H2467" i="35" s="1"/>
  <c r="I2466" i="35"/>
  <c r="H2466" i="35"/>
  <c r="F2466" i="35"/>
  <c r="J2466" i="35" s="1"/>
  <c r="I2465" i="35"/>
  <c r="F2465" i="35"/>
  <c r="J2465" i="35" s="1"/>
  <c r="H2465" i="35" s="1"/>
  <c r="I2464" i="35"/>
  <c r="F2464" i="35"/>
  <c r="J2464" i="35" s="1"/>
  <c r="H2464" i="35" s="1"/>
  <c r="I2463" i="35"/>
  <c r="F2463" i="35"/>
  <c r="J2463" i="35" s="1"/>
  <c r="H2463" i="35" s="1"/>
  <c r="I2462" i="35"/>
  <c r="H2462" i="35"/>
  <c r="F2462" i="35"/>
  <c r="J2462" i="35" s="1"/>
  <c r="I2461" i="35"/>
  <c r="F2461" i="35"/>
  <c r="J2461" i="35" s="1"/>
  <c r="H2461" i="35" s="1"/>
  <c r="I2460" i="35"/>
  <c r="F2460" i="35"/>
  <c r="J2460" i="35" s="1"/>
  <c r="H2460" i="35" s="1"/>
  <c r="I2459" i="35"/>
  <c r="F2459" i="35"/>
  <c r="J2459" i="35" s="1"/>
  <c r="H2459" i="35" s="1"/>
  <c r="I2458" i="35"/>
  <c r="H2458" i="35"/>
  <c r="F2458" i="35"/>
  <c r="J2458" i="35" s="1"/>
  <c r="I2457" i="35"/>
  <c r="F2457" i="35"/>
  <c r="J2457" i="35" s="1"/>
  <c r="H2457" i="35" s="1"/>
  <c r="I2456" i="35"/>
  <c r="F2456" i="35"/>
  <c r="J2456" i="35" s="1"/>
  <c r="H2456" i="35" s="1"/>
  <c r="I2455" i="35"/>
  <c r="F2455" i="35"/>
  <c r="J2455" i="35" s="1"/>
  <c r="H2455" i="35" s="1"/>
  <c r="I2454" i="35"/>
  <c r="H2454" i="35"/>
  <c r="F2454" i="35"/>
  <c r="J2454" i="35" s="1"/>
  <c r="I2453" i="35"/>
  <c r="F2453" i="35"/>
  <c r="J2453" i="35" s="1"/>
  <c r="H2453" i="35" s="1"/>
  <c r="I2452" i="35"/>
  <c r="F2452" i="35"/>
  <c r="J2452" i="35" s="1"/>
  <c r="H2452" i="35" s="1"/>
  <c r="I2451" i="35"/>
  <c r="F2451" i="35"/>
  <c r="J2451" i="35" s="1"/>
  <c r="H2451" i="35" s="1"/>
  <c r="I2450" i="35"/>
  <c r="H2450" i="35"/>
  <c r="F2450" i="35"/>
  <c r="J2450" i="35" s="1"/>
  <c r="I2449" i="35"/>
  <c r="F2449" i="35"/>
  <c r="J2449" i="35" s="1"/>
  <c r="H2449" i="35" s="1"/>
  <c r="I2448" i="35"/>
  <c r="F2448" i="35"/>
  <c r="J2448" i="35" s="1"/>
  <c r="H2448" i="35" s="1"/>
  <c r="I2447" i="35"/>
  <c r="F2447" i="35"/>
  <c r="J2447" i="35" s="1"/>
  <c r="H2447" i="35" s="1"/>
  <c r="I2446" i="35"/>
  <c r="H2446" i="35"/>
  <c r="F2446" i="35"/>
  <c r="J2446" i="35" s="1"/>
  <c r="I2445" i="35"/>
  <c r="F2445" i="35"/>
  <c r="J2445" i="35" s="1"/>
  <c r="H2445" i="35" s="1"/>
  <c r="I2444" i="35"/>
  <c r="F2444" i="35"/>
  <c r="J2444" i="35" s="1"/>
  <c r="H2444" i="35" s="1"/>
  <c r="I2443" i="35"/>
  <c r="F2443" i="35"/>
  <c r="J2443" i="35" s="1"/>
  <c r="H2443" i="35" s="1"/>
  <c r="B2443" i="35"/>
  <c r="J2442" i="35"/>
  <c r="I2442" i="35"/>
  <c r="H2442" i="35" s="1"/>
  <c r="F2442" i="35"/>
  <c r="B2442" i="35"/>
  <c r="J2441" i="35"/>
  <c r="F2441" i="35"/>
  <c r="B2441" i="35"/>
  <c r="I2441" i="35" s="1"/>
  <c r="F2440" i="35"/>
  <c r="J2440" i="35" s="1"/>
  <c r="B2440" i="35"/>
  <c r="I2440" i="35" s="1"/>
  <c r="H2440" i="35" s="1"/>
  <c r="I2439" i="35"/>
  <c r="F2439" i="35"/>
  <c r="J2439" i="35" s="1"/>
  <c r="H2439" i="35" s="1"/>
  <c r="B2439" i="35"/>
  <c r="J2438" i="35"/>
  <c r="I2438" i="35"/>
  <c r="H2438" i="35" s="1"/>
  <c r="F2438" i="35"/>
  <c r="B2438" i="35"/>
  <c r="J2437" i="35"/>
  <c r="F2437" i="35"/>
  <c r="B2437" i="35"/>
  <c r="I2437" i="35" s="1"/>
  <c r="H2437" i="35" s="1"/>
  <c r="F2436" i="35"/>
  <c r="J2436" i="35" s="1"/>
  <c r="B2436" i="35"/>
  <c r="I2436" i="35" s="1"/>
  <c r="I2435" i="35"/>
  <c r="F2435" i="35"/>
  <c r="J2435" i="35" s="1"/>
  <c r="H2435" i="35" s="1"/>
  <c r="B2435" i="35"/>
  <c r="J2434" i="35"/>
  <c r="I2434" i="35"/>
  <c r="H2434" i="35" s="1"/>
  <c r="F2434" i="35"/>
  <c r="B2434" i="35"/>
  <c r="J2433" i="35"/>
  <c r="F2433" i="35"/>
  <c r="B2433" i="35"/>
  <c r="I2433" i="35" s="1"/>
  <c r="H2433" i="35" s="1"/>
  <c r="F2432" i="35"/>
  <c r="J2432" i="35" s="1"/>
  <c r="B2432" i="35"/>
  <c r="I2432" i="35" s="1"/>
  <c r="I2431" i="35"/>
  <c r="H2431" i="35"/>
  <c r="F2431" i="35"/>
  <c r="J2431" i="35" s="1"/>
  <c r="B2431" i="35"/>
  <c r="J2430" i="35"/>
  <c r="I2430" i="35"/>
  <c r="H2430" i="35" s="1"/>
  <c r="F2430" i="35"/>
  <c r="B2430" i="35"/>
  <c r="J2429" i="35"/>
  <c r="F2429" i="35"/>
  <c r="B2429" i="35"/>
  <c r="I2429" i="35" s="1"/>
  <c r="F2428" i="35"/>
  <c r="J2428" i="35" s="1"/>
  <c r="B2428" i="35"/>
  <c r="I2428" i="35" s="1"/>
  <c r="H2428" i="35" s="1"/>
  <c r="I2427" i="35"/>
  <c r="H2427" i="35"/>
  <c r="F2427" i="35"/>
  <c r="J2427" i="35" s="1"/>
  <c r="B2427" i="35"/>
  <c r="J2426" i="35"/>
  <c r="I2426" i="35"/>
  <c r="H2426" i="35" s="1"/>
  <c r="F2426" i="35"/>
  <c r="B2426" i="35"/>
  <c r="J2425" i="35"/>
  <c r="F2425" i="35"/>
  <c r="B2425" i="35"/>
  <c r="I2425" i="35" s="1"/>
  <c r="F2424" i="35"/>
  <c r="J2424" i="35" s="1"/>
  <c r="B2424" i="35"/>
  <c r="I2424" i="35" s="1"/>
  <c r="H2424" i="35" s="1"/>
  <c r="I2423" i="35"/>
  <c r="F2423" i="35"/>
  <c r="J2423" i="35" s="1"/>
  <c r="H2423" i="35" s="1"/>
  <c r="B2423" i="35"/>
  <c r="J2422" i="35"/>
  <c r="I2422" i="35"/>
  <c r="H2422" i="35" s="1"/>
  <c r="F2422" i="35"/>
  <c r="B2422" i="35"/>
  <c r="J2421" i="35"/>
  <c r="F2421" i="35"/>
  <c r="B2421" i="35"/>
  <c r="I2421" i="35" s="1"/>
  <c r="H2421" i="35" s="1"/>
  <c r="F2420" i="35"/>
  <c r="J2420" i="35" s="1"/>
  <c r="B2420" i="35"/>
  <c r="I2420" i="35" s="1"/>
  <c r="I2419" i="35"/>
  <c r="F2419" i="35"/>
  <c r="J2419" i="35" s="1"/>
  <c r="H2419" i="35" s="1"/>
  <c r="B2419" i="35"/>
  <c r="J2418" i="35"/>
  <c r="I2418" i="35"/>
  <c r="H2418" i="35" s="1"/>
  <c r="F2418" i="35"/>
  <c r="B2418" i="35"/>
  <c r="F2417" i="35"/>
  <c r="J2417" i="35" s="1"/>
  <c r="B2417" i="35"/>
  <c r="I2417" i="35" s="1"/>
  <c r="F2416" i="35"/>
  <c r="J2416" i="35" s="1"/>
  <c r="B2416" i="35"/>
  <c r="I2416" i="35" s="1"/>
  <c r="H2416" i="35" s="1"/>
  <c r="I2415" i="35"/>
  <c r="H2415" i="35" s="1"/>
  <c r="F2415" i="35"/>
  <c r="J2415" i="35" s="1"/>
  <c r="B2415" i="35"/>
  <c r="J2414" i="35"/>
  <c r="F2414" i="35"/>
  <c r="B2414" i="35"/>
  <c r="I2414" i="35" s="1"/>
  <c r="H2414" i="35" s="1"/>
  <c r="J2413" i="35"/>
  <c r="F2413" i="35"/>
  <c r="B2413" i="35"/>
  <c r="I2413" i="35" s="1"/>
  <c r="F2412" i="35"/>
  <c r="J2412" i="35" s="1"/>
  <c r="H2412" i="35" s="1"/>
  <c r="B2412" i="35"/>
  <c r="I2412" i="35" s="1"/>
  <c r="I2411" i="35"/>
  <c r="F2411" i="35"/>
  <c r="J2411" i="35" s="1"/>
  <c r="H2411" i="35" s="1"/>
  <c r="B2411" i="35"/>
  <c r="J2410" i="35"/>
  <c r="I2410" i="35"/>
  <c r="H2410" i="35" s="1"/>
  <c r="F2410" i="35"/>
  <c r="B2410" i="35"/>
  <c r="F2409" i="35"/>
  <c r="J2409" i="35" s="1"/>
  <c r="B2409" i="35"/>
  <c r="I2409" i="35" s="1"/>
  <c r="F2408" i="35"/>
  <c r="J2408" i="35" s="1"/>
  <c r="B2408" i="35"/>
  <c r="I2408" i="35" s="1"/>
  <c r="H2408" i="35" s="1"/>
  <c r="I2407" i="35"/>
  <c r="H2407" i="35" s="1"/>
  <c r="F2407" i="35"/>
  <c r="J2407" i="35" s="1"/>
  <c r="B2407" i="35"/>
  <c r="J2406" i="35"/>
  <c r="F2406" i="35"/>
  <c r="B2406" i="35"/>
  <c r="I2406" i="35" s="1"/>
  <c r="J2405" i="35"/>
  <c r="F2405" i="35"/>
  <c r="B2405" i="35"/>
  <c r="I2405" i="35" s="1"/>
  <c r="F2404" i="35"/>
  <c r="J2404" i="35" s="1"/>
  <c r="H2404" i="35" s="1"/>
  <c r="B2404" i="35"/>
  <c r="I2404" i="35" s="1"/>
  <c r="I2403" i="35"/>
  <c r="F2403" i="35"/>
  <c r="J2403" i="35" s="1"/>
  <c r="B2403" i="35"/>
  <c r="J2402" i="35"/>
  <c r="I2402" i="35"/>
  <c r="F2402" i="35"/>
  <c r="B2402" i="35"/>
  <c r="J2401" i="35"/>
  <c r="F2401" i="35"/>
  <c r="B2401" i="35"/>
  <c r="I2401" i="35" s="1"/>
  <c r="H2401" i="35" s="1"/>
  <c r="F2400" i="35"/>
  <c r="J2400" i="35" s="1"/>
  <c r="B2400" i="35"/>
  <c r="I2400" i="35" s="1"/>
  <c r="H2400" i="35" s="1"/>
  <c r="I2399" i="35"/>
  <c r="H2399" i="35" s="1"/>
  <c r="F2399" i="35"/>
  <c r="J2399" i="35" s="1"/>
  <c r="B2399" i="35"/>
  <c r="J2398" i="35"/>
  <c r="F2398" i="35"/>
  <c r="B2398" i="35"/>
  <c r="I2398" i="35" s="1"/>
  <c r="H2398" i="35" s="1"/>
  <c r="J2397" i="35"/>
  <c r="F2397" i="35"/>
  <c r="B2397" i="35"/>
  <c r="I2397" i="35" s="1"/>
  <c r="F2396" i="35"/>
  <c r="J2396" i="35" s="1"/>
  <c r="H2396" i="35" s="1"/>
  <c r="B2396" i="35"/>
  <c r="I2396" i="35" s="1"/>
  <c r="I2395" i="35"/>
  <c r="H2395" i="35" s="1"/>
  <c r="F2395" i="35"/>
  <c r="J2395" i="35" s="1"/>
  <c r="B2395" i="35"/>
  <c r="J2394" i="35"/>
  <c r="I2394" i="35"/>
  <c r="F2394" i="35"/>
  <c r="B2394" i="35"/>
  <c r="J2393" i="35"/>
  <c r="F2393" i="35"/>
  <c r="B2393" i="35"/>
  <c r="I2393" i="35" s="1"/>
  <c r="H2393" i="35" s="1"/>
  <c r="F2392" i="35"/>
  <c r="J2392" i="35" s="1"/>
  <c r="B2392" i="35"/>
  <c r="I2392" i="35" s="1"/>
  <c r="H2392" i="35" s="1"/>
  <c r="I2391" i="35"/>
  <c r="H2391" i="35" s="1"/>
  <c r="F2391" i="35"/>
  <c r="J2391" i="35" s="1"/>
  <c r="B2391" i="35"/>
  <c r="J2390" i="35"/>
  <c r="F2390" i="35"/>
  <c r="B2390" i="35"/>
  <c r="I2390" i="35" s="1"/>
  <c r="H2390" i="35" s="1"/>
  <c r="J2389" i="35"/>
  <c r="F2389" i="35"/>
  <c r="B2389" i="35"/>
  <c r="I2389" i="35" s="1"/>
  <c r="F2388" i="35"/>
  <c r="J2388" i="35" s="1"/>
  <c r="H2388" i="35" s="1"/>
  <c r="B2388" i="35"/>
  <c r="I2388" i="35" s="1"/>
  <c r="I2387" i="35"/>
  <c r="F2387" i="35"/>
  <c r="J2387" i="35" s="1"/>
  <c r="B2387" i="35"/>
  <c r="J2386" i="35"/>
  <c r="I2386" i="35"/>
  <c r="F2386" i="35"/>
  <c r="B2386" i="35"/>
  <c r="J2385" i="35"/>
  <c r="F2385" i="35"/>
  <c r="B2385" i="35"/>
  <c r="I2385" i="35" s="1"/>
  <c r="H2385" i="35" s="1"/>
  <c r="F2384" i="35"/>
  <c r="J2384" i="35" s="1"/>
  <c r="B2384" i="35"/>
  <c r="I2384" i="35" s="1"/>
  <c r="H2384" i="35" s="1"/>
  <c r="I2383" i="35"/>
  <c r="H2383" i="35" s="1"/>
  <c r="F2383" i="35"/>
  <c r="J2383" i="35" s="1"/>
  <c r="B2383" i="35"/>
  <c r="J2382" i="35"/>
  <c r="F2382" i="35"/>
  <c r="B2382" i="35"/>
  <c r="I2382" i="35" s="1"/>
  <c r="F2381" i="35"/>
  <c r="J2381" i="35" s="1"/>
  <c r="B2381" i="35"/>
  <c r="I2381" i="35" s="1"/>
  <c r="H2381" i="35" s="1"/>
  <c r="F2380" i="35"/>
  <c r="J2380" i="35" s="1"/>
  <c r="B2380" i="35"/>
  <c r="I2380" i="35" s="1"/>
  <c r="H2380" i="35" s="1"/>
  <c r="I2379" i="35"/>
  <c r="H2379" i="35"/>
  <c r="F2379" i="35"/>
  <c r="J2379" i="35" s="1"/>
  <c r="B2379" i="35"/>
  <c r="J2378" i="35"/>
  <c r="I2378" i="35"/>
  <c r="H2378" i="35" s="1"/>
  <c r="F2378" i="35"/>
  <c r="B2378" i="35"/>
  <c r="I2377" i="35"/>
  <c r="F2377" i="35"/>
  <c r="J2377" i="35" s="1"/>
  <c r="B2377" i="35"/>
  <c r="F2376" i="35"/>
  <c r="J2376" i="35" s="1"/>
  <c r="H2376" i="35" s="1"/>
  <c r="B2376" i="35"/>
  <c r="I2376" i="35" s="1"/>
  <c r="I2375" i="35"/>
  <c r="H2375" i="35" s="1"/>
  <c r="F2375" i="35"/>
  <c r="J2375" i="35" s="1"/>
  <c r="B2375" i="35"/>
  <c r="J2374" i="35"/>
  <c r="H2374" i="35"/>
  <c r="F2374" i="35"/>
  <c r="B2374" i="35"/>
  <c r="I2374" i="35" s="1"/>
  <c r="J2373" i="35"/>
  <c r="I2373" i="35"/>
  <c r="H2373" i="35" s="1"/>
  <c r="F2373" i="35"/>
  <c r="B2373" i="35"/>
  <c r="J2372" i="35"/>
  <c r="H2372" i="35"/>
  <c r="F2372" i="35"/>
  <c r="B2372" i="35"/>
  <c r="I2372" i="35" s="1"/>
  <c r="I2371" i="35"/>
  <c r="H2371" i="35"/>
  <c r="F2371" i="35"/>
  <c r="J2371" i="35" s="1"/>
  <c r="B2371" i="35"/>
  <c r="J2370" i="35"/>
  <c r="I2370" i="35"/>
  <c r="H2370" i="35" s="1"/>
  <c r="F2370" i="35"/>
  <c r="B2370" i="35"/>
  <c r="J2369" i="35"/>
  <c r="F2369" i="35"/>
  <c r="B2369" i="35"/>
  <c r="I2369" i="35" s="1"/>
  <c r="J2368" i="35"/>
  <c r="F2368" i="35"/>
  <c r="B2368" i="35"/>
  <c r="I2368" i="35" s="1"/>
  <c r="H2368" i="35" s="1"/>
  <c r="I2367" i="35"/>
  <c r="H2367" i="35" s="1"/>
  <c r="F2367" i="35"/>
  <c r="J2367" i="35" s="1"/>
  <c r="B2367" i="35"/>
  <c r="J2366" i="35"/>
  <c r="F2366" i="35"/>
  <c r="B2366" i="35"/>
  <c r="I2366" i="35" s="1"/>
  <c r="F2365" i="35"/>
  <c r="J2365" i="35" s="1"/>
  <c r="B2365" i="35"/>
  <c r="I2365" i="35" s="1"/>
  <c r="H2365" i="35" s="1"/>
  <c r="F2364" i="35"/>
  <c r="J2364" i="35" s="1"/>
  <c r="B2364" i="35"/>
  <c r="I2364" i="35" s="1"/>
  <c r="H2364" i="35" s="1"/>
  <c r="I2363" i="35"/>
  <c r="H2363" i="35"/>
  <c r="F2363" i="35"/>
  <c r="J2363" i="35" s="1"/>
  <c r="B2363" i="35"/>
  <c r="J2362" i="35"/>
  <c r="I2362" i="35"/>
  <c r="H2362" i="35" s="1"/>
  <c r="F2362" i="35"/>
  <c r="B2362" i="35"/>
  <c r="I2361" i="35"/>
  <c r="F2361" i="35"/>
  <c r="J2361" i="35" s="1"/>
  <c r="B2361" i="35"/>
  <c r="F2360" i="35"/>
  <c r="J2360" i="35" s="1"/>
  <c r="H2360" i="35" s="1"/>
  <c r="B2360" i="35"/>
  <c r="I2360" i="35" s="1"/>
  <c r="I2359" i="35"/>
  <c r="H2359" i="35" s="1"/>
  <c r="F2359" i="35"/>
  <c r="J2359" i="35" s="1"/>
  <c r="B2359" i="35"/>
  <c r="J2358" i="35"/>
  <c r="H2358" i="35"/>
  <c r="F2358" i="35"/>
  <c r="B2358" i="35"/>
  <c r="I2358" i="35" s="1"/>
  <c r="J2357" i="35"/>
  <c r="I2357" i="35"/>
  <c r="H2357" i="35" s="1"/>
  <c r="F2357" i="35"/>
  <c r="B2357" i="35"/>
  <c r="J2356" i="35"/>
  <c r="H2356" i="35"/>
  <c r="F2356" i="35"/>
  <c r="B2356" i="35"/>
  <c r="I2356" i="35" s="1"/>
  <c r="I2355" i="35"/>
  <c r="H2355" i="35"/>
  <c r="F2355" i="35"/>
  <c r="J2355" i="35" s="1"/>
  <c r="B2355" i="35"/>
  <c r="J2354" i="35"/>
  <c r="I2354" i="35"/>
  <c r="H2354" i="35" s="1"/>
  <c r="F2354" i="35"/>
  <c r="B2354" i="35"/>
  <c r="J2353" i="35"/>
  <c r="F2353" i="35"/>
  <c r="B2353" i="35"/>
  <c r="I2353" i="35" s="1"/>
  <c r="H2353" i="35" s="1"/>
  <c r="J2352" i="35"/>
  <c r="F2352" i="35"/>
  <c r="B2352" i="35"/>
  <c r="I2352" i="35" s="1"/>
  <c r="H2352" i="35" s="1"/>
  <c r="I2351" i="35"/>
  <c r="H2351" i="35" s="1"/>
  <c r="F2351" i="35"/>
  <c r="J2351" i="35" s="1"/>
  <c r="B2351" i="35"/>
  <c r="J2350" i="35"/>
  <c r="F2350" i="35"/>
  <c r="B2350" i="35"/>
  <c r="I2350" i="35" s="1"/>
  <c r="F2349" i="35"/>
  <c r="J2349" i="35" s="1"/>
  <c r="B2349" i="35"/>
  <c r="I2349" i="35" s="1"/>
  <c r="H2349" i="35" s="1"/>
  <c r="F2348" i="35"/>
  <c r="J2348" i="35" s="1"/>
  <c r="B2348" i="35"/>
  <c r="I2348" i="35" s="1"/>
  <c r="H2348" i="35" s="1"/>
  <c r="I2347" i="35"/>
  <c r="H2347" i="35"/>
  <c r="F2347" i="35"/>
  <c r="J2347" i="35" s="1"/>
  <c r="B2347" i="35"/>
  <c r="J2346" i="35"/>
  <c r="I2346" i="35"/>
  <c r="H2346" i="35" s="1"/>
  <c r="F2346" i="35"/>
  <c r="B2346" i="35"/>
  <c r="I2345" i="35"/>
  <c r="F2345" i="35"/>
  <c r="J2345" i="35" s="1"/>
  <c r="B2345" i="35"/>
  <c r="F2344" i="35"/>
  <c r="J2344" i="35" s="1"/>
  <c r="H2344" i="35" s="1"/>
  <c r="B2344" i="35"/>
  <c r="I2344" i="35" s="1"/>
  <c r="I2343" i="35"/>
  <c r="H2343" i="35" s="1"/>
  <c r="F2343" i="35"/>
  <c r="J2343" i="35" s="1"/>
  <c r="B2343" i="35"/>
  <c r="J2342" i="35"/>
  <c r="H2342" i="35"/>
  <c r="F2342" i="35"/>
  <c r="B2342" i="35"/>
  <c r="I2342" i="35" s="1"/>
  <c r="J2341" i="35"/>
  <c r="I2341" i="35"/>
  <c r="H2341" i="35" s="1"/>
  <c r="F2341" i="35"/>
  <c r="B2341" i="35"/>
  <c r="J2340" i="35"/>
  <c r="H2340" i="35"/>
  <c r="F2340" i="35"/>
  <c r="B2340" i="35"/>
  <c r="I2340" i="35" s="1"/>
  <c r="I2339" i="35"/>
  <c r="H2339" i="35"/>
  <c r="F2339" i="35"/>
  <c r="J2339" i="35" s="1"/>
  <c r="B2339" i="35"/>
  <c r="J2338" i="35"/>
  <c r="I2338" i="35"/>
  <c r="H2338" i="35" s="1"/>
  <c r="F2338" i="35"/>
  <c r="B2338" i="35"/>
  <c r="J2337" i="35"/>
  <c r="I2337" i="35"/>
  <c r="F2337" i="35"/>
  <c r="B2337" i="35"/>
  <c r="J2336" i="35"/>
  <c r="H2336" i="35" s="1"/>
  <c r="F2336" i="35"/>
  <c r="B2336" i="35"/>
  <c r="I2336" i="35" s="1"/>
  <c r="I2335" i="35"/>
  <c r="H2335" i="35" s="1"/>
  <c r="F2335" i="35"/>
  <c r="J2335" i="35" s="1"/>
  <c r="B2335" i="35"/>
  <c r="J2334" i="35"/>
  <c r="F2334" i="35"/>
  <c r="B2334" i="35"/>
  <c r="I2334" i="35" s="1"/>
  <c r="J2333" i="35"/>
  <c r="F2333" i="35"/>
  <c r="B2333" i="35"/>
  <c r="I2333" i="35" s="1"/>
  <c r="H2333" i="35" s="1"/>
  <c r="J2332" i="35"/>
  <c r="F2332" i="35"/>
  <c r="B2332" i="35"/>
  <c r="I2332" i="35" s="1"/>
  <c r="H2332" i="35" s="1"/>
  <c r="F2331" i="35"/>
  <c r="J2331" i="35" s="1"/>
  <c r="B2331" i="35"/>
  <c r="I2331" i="35" s="1"/>
  <c r="H2330" i="35"/>
  <c r="F2330" i="35"/>
  <c r="J2330" i="35" s="1"/>
  <c r="B2330" i="35"/>
  <c r="I2330" i="35" s="1"/>
  <c r="I2329" i="35"/>
  <c r="F2329" i="35"/>
  <c r="J2329" i="35" s="1"/>
  <c r="B2329" i="35"/>
  <c r="J2328" i="35"/>
  <c r="F2328" i="35"/>
  <c r="B2328" i="35"/>
  <c r="I2328" i="35" s="1"/>
  <c r="H2328" i="35" s="1"/>
  <c r="F2327" i="35"/>
  <c r="J2327" i="35" s="1"/>
  <c r="B2327" i="35"/>
  <c r="I2327" i="35" s="1"/>
  <c r="H2327" i="35" s="1"/>
  <c r="F2326" i="35"/>
  <c r="J2326" i="35" s="1"/>
  <c r="B2326" i="35"/>
  <c r="I2326" i="35" s="1"/>
  <c r="H2326" i="35" s="1"/>
  <c r="I2325" i="35"/>
  <c r="H2325" i="35" s="1"/>
  <c r="F2325" i="35"/>
  <c r="J2325" i="35" s="1"/>
  <c r="B2325" i="35"/>
  <c r="J2324" i="35"/>
  <c r="F2324" i="35"/>
  <c r="B2324" i="35"/>
  <c r="I2324" i="35" s="1"/>
  <c r="F2323" i="35"/>
  <c r="J2323" i="35" s="1"/>
  <c r="B2323" i="35"/>
  <c r="I2323" i="35" s="1"/>
  <c r="F2322" i="35"/>
  <c r="J2322" i="35" s="1"/>
  <c r="B2322" i="35"/>
  <c r="I2322" i="35" s="1"/>
  <c r="H2322" i="35" s="1"/>
  <c r="I2321" i="35"/>
  <c r="F2321" i="35"/>
  <c r="J2321" i="35" s="1"/>
  <c r="B2321" i="35"/>
  <c r="J2320" i="35"/>
  <c r="F2320" i="35"/>
  <c r="B2320" i="35"/>
  <c r="I2320" i="35" s="1"/>
  <c r="F2319" i="35"/>
  <c r="J2319" i="35" s="1"/>
  <c r="B2319" i="35"/>
  <c r="I2319" i="35" s="1"/>
  <c r="H2319" i="35" s="1"/>
  <c r="F2318" i="35"/>
  <c r="J2318" i="35" s="1"/>
  <c r="B2318" i="35"/>
  <c r="I2318" i="35" s="1"/>
  <c r="H2318" i="35" s="1"/>
  <c r="I2317" i="35"/>
  <c r="H2317" i="35" s="1"/>
  <c r="F2317" i="35"/>
  <c r="J2317" i="35" s="1"/>
  <c r="B2317" i="35"/>
  <c r="J2316" i="35"/>
  <c r="F2316" i="35"/>
  <c r="B2316" i="35"/>
  <c r="I2316" i="35" s="1"/>
  <c r="F2315" i="35"/>
  <c r="J2315" i="35" s="1"/>
  <c r="B2315" i="35"/>
  <c r="I2315" i="35" s="1"/>
  <c r="H2314" i="35"/>
  <c r="F2314" i="35"/>
  <c r="J2314" i="35" s="1"/>
  <c r="B2314" i="35"/>
  <c r="I2314" i="35" s="1"/>
  <c r="I2313" i="35"/>
  <c r="F2313" i="35"/>
  <c r="J2313" i="35" s="1"/>
  <c r="B2313" i="35"/>
  <c r="J2312" i="35"/>
  <c r="F2312" i="35"/>
  <c r="B2312" i="35"/>
  <c r="I2312" i="35" s="1"/>
  <c r="H2312" i="35" s="1"/>
  <c r="F2311" i="35"/>
  <c r="J2311" i="35" s="1"/>
  <c r="B2311" i="35"/>
  <c r="I2311" i="35" s="1"/>
  <c r="H2311" i="35" s="1"/>
  <c r="F2310" i="35"/>
  <c r="J2310" i="35" s="1"/>
  <c r="H2310" i="35" s="1"/>
  <c r="B2310" i="35"/>
  <c r="I2310" i="35" s="1"/>
  <c r="I2309" i="35"/>
  <c r="H2309" i="35" s="1"/>
  <c r="F2309" i="35"/>
  <c r="J2309" i="35" s="1"/>
  <c r="B2309" i="35"/>
  <c r="J2308" i="35"/>
  <c r="F2308" i="35"/>
  <c r="B2308" i="35"/>
  <c r="I2308" i="35" s="1"/>
  <c r="H2308" i="35" s="1"/>
  <c r="F2307" i="35"/>
  <c r="J2307" i="35" s="1"/>
  <c r="B2307" i="35"/>
  <c r="I2307" i="35" s="1"/>
  <c r="I2306" i="35"/>
  <c r="F2306" i="35"/>
  <c r="J2306" i="35" s="1"/>
  <c r="H2306" i="35" s="1"/>
  <c r="B2306" i="35"/>
  <c r="J2305" i="35"/>
  <c r="I2305" i="35"/>
  <c r="H2305" i="35" s="1"/>
  <c r="F2305" i="35"/>
  <c r="B2305" i="35"/>
  <c r="J2304" i="35"/>
  <c r="F2304" i="35"/>
  <c r="B2304" i="35"/>
  <c r="I2304" i="35" s="1"/>
  <c r="H2304" i="35" s="1"/>
  <c r="F2303" i="35"/>
  <c r="J2303" i="35" s="1"/>
  <c r="B2303" i="35"/>
  <c r="I2303" i="35" s="1"/>
  <c r="H2303" i="35" s="1"/>
  <c r="I2302" i="35"/>
  <c r="H2302" i="35"/>
  <c r="F2302" i="35"/>
  <c r="J2302" i="35" s="1"/>
  <c r="B2302" i="35"/>
  <c r="J2301" i="35"/>
  <c r="I2301" i="35"/>
  <c r="H2301" i="35" s="1"/>
  <c r="F2301" i="35"/>
  <c r="B2301" i="35"/>
  <c r="J2300" i="35"/>
  <c r="F2300" i="35"/>
  <c r="B2300" i="35"/>
  <c r="I2300" i="35" s="1"/>
  <c r="F2299" i="35"/>
  <c r="J2299" i="35" s="1"/>
  <c r="B2299" i="35"/>
  <c r="I2299" i="35" s="1"/>
  <c r="I2298" i="35"/>
  <c r="F2298" i="35"/>
  <c r="J2298" i="35" s="1"/>
  <c r="H2298" i="35" s="1"/>
  <c r="B2298" i="35"/>
  <c r="J2297" i="35"/>
  <c r="I2297" i="35"/>
  <c r="H2297" i="35" s="1"/>
  <c r="F2297" i="35"/>
  <c r="B2297" i="35"/>
  <c r="J2296" i="35"/>
  <c r="F2296" i="35"/>
  <c r="B2296" i="35"/>
  <c r="I2296" i="35" s="1"/>
  <c r="I2295" i="35"/>
  <c r="F2295" i="35"/>
  <c r="J2295" i="35" s="1"/>
  <c r="H2295" i="35" s="1"/>
  <c r="F2294" i="35"/>
  <c r="J2294" i="35" s="1"/>
  <c r="B2294" i="35"/>
  <c r="I2294" i="35" s="1"/>
  <c r="H2294" i="35" s="1"/>
  <c r="I2293" i="35"/>
  <c r="H2293" i="35"/>
  <c r="F2293" i="35"/>
  <c r="J2293" i="35" s="1"/>
  <c r="B2293" i="35"/>
  <c r="J2292" i="35"/>
  <c r="I2292" i="35"/>
  <c r="H2292" i="35" s="1"/>
  <c r="F2292" i="35"/>
  <c r="B2292" i="35"/>
  <c r="J2291" i="35"/>
  <c r="F2291" i="35"/>
  <c r="B2291" i="35"/>
  <c r="I2291" i="35" s="1"/>
  <c r="H2291" i="35" s="1"/>
  <c r="F2290" i="35"/>
  <c r="J2290" i="35" s="1"/>
  <c r="B2290" i="35"/>
  <c r="I2290" i="35" s="1"/>
  <c r="I2289" i="35"/>
  <c r="H2289" i="35"/>
  <c r="F2289" i="35"/>
  <c r="J2289" i="35" s="1"/>
  <c r="B2289" i="35"/>
  <c r="J2288" i="35"/>
  <c r="I2288" i="35"/>
  <c r="H2288" i="35" s="1"/>
  <c r="F2288" i="35"/>
  <c r="B2288" i="35"/>
  <c r="J2287" i="35"/>
  <c r="F2287" i="35"/>
  <c r="B2287" i="35"/>
  <c r="I2287" i="35" s="1"/>
  <c r="F2286" i="35"/>
  <c r="J2286" i="35" s="1"/>
  <c r="B2286" i="35"/>
  <c r="I2286" i="35" s="1"/>
  <c r="H2286" i="35" s="1"/>
  <c r="I2285" i="35"/>
  <c r="H2285" i="35"/>
  <c r="F2285" i="35"/>
  <c r="J2285" i="35" s="1"/>
  <c r="B2285" i="35"/>
  <c r="J2284" i="35"/>
  <c r="I2284" i="35"/>
  <c r="H2284" i="35" s="1"/>
  <c r="F2284" i="35"/>
  <c r="B2284" i="35"/>
  <c r="J2283" i="35"/>
  <c r="F2283" i="35"/>
  <c r="B2283" i="35"/>
  <c r="I2283" i="35" s="1"/>
  <c r="F2282" i="35"/>
  <c r="J2282" i="35" s="1"/>
  <c r="B2282" i="35"/>
  <c r="I2282" i="35" s="1"/>
  <c r="I2281" i="35"/>
  <c r="F2281" i="35"/>
  <c r="J2281" i="35" s="1"/>
  <c r="H2281" i="35" s="1"/>
  <c r="B2281" i="35"/>
  <c r="J2280" i="35"/>
  <c r="I2280" i="35"/>
  <c r="H2280" i="35" s="1"/>
  <c r="F2280" i="35"/>
  <c r="B2280" i="35"/>
  <c r="J2279" i="35"/>
  <c r="F2279" i="35"/>
  <c r="B2279" i="35"/>
  <c r="I2279" i="35" s="1"/>
  <c r="H2279" i="35" s="1"/>
  <c r="I2278" i="35"/>
  <c r="F2278" i="35"/>
  <c r="J2278" i="35" s="1"/>
  <c r="H2278" i="35" s="1"/>
  <c r="B2278" i="35"/>
  <c r="J2277" i="35"/>
  <c r="I2277" i="35"/>
  <c r="H2277" i="35"/>
  <c r="F2277" i="35"/>
  <c r="B2277" i="35"/>
  <c r="J2276" i="35"/>
  <c r="I2276" i="35"/>
  <c r="H2276" i="35" s="1"/>
  <c r="F2276" i="35"/>
  <c r="B2276" i="35"/>
  <c r="J2275" i="35"/>
  <c r="F2275" i="35"/>
  <c r="B2275" i="35"/>
  <c r="I2275" i="35" s="1"/>
  <c r="I2274" i="35"/>
  <c r="F2274" i="35"/>
  <c r="J2274" i="35" s="1"/>
  <c r="H2274" i="35" s="1"/>
  <c r="B2274" i="35"/>
  <c r="J2273" i="35"/>
  <c r="I2273" i="35"/>
  <c r="H2273" i="35"/>
  <c r="F2273" i="35"/>
  <c r="B2273" i="35"/>
  <c r="J2272" i="35"/>
  <c r="I2272" i="35"/>
  <c r="H2272" i="35" s="1"/>
  <c r="F2272" i="35"/>
  <c r="B2272" i="35"/>
  <c r="J2271" i="35"/>
  <c r="F2271" i="35"/>
  <c r="B2271" i="35"/>
  <c r="I2271" i="35" s="1"/>
  <c r="I2270" i="35"/>
  <c r="F2270" i="35"/>
  <c r="J2270" i="35" s="1"/>
  <c r="H2270" i="35" s="1"/>
  <c r="B2270" i="35"/>
  <c r="J2269" i="35"/>
  <c r="I2269" i="35"/>
  <c r="H2269" i="35"/>
  <c r="F2269" i="35"/>
  <c r="B2269" i="35"/>
  <c r="J2268" i="35"/>
  <c r="I2268" i="35"/>
  <c r="H2268" i="35" s="1"/>
  <c r="F2268" i="35"/>
  <c r="B2268" i="35"/>
  <c r="J2267" i="35"/>
  <c r="F2267" i="35"/>
  <c r="B2267" i="35"/>
  <c r="I2267" i="35" s="1"/>
  <c r="H2267" i="35" s="1"/>
  <c r="I2266" i="35"/>
  <c r="F2266" i="35"/>
  <c r="J2266" i="35" s="1"/>
  <c r="H2266" i="35" s="1"/>
  <c r="B2266" i="35"/>
  <c r="J2265" i="35"/>
  <c r="I2265" i="35"/>
  <c r="H2265" i="35"/>
  <c r="F2265" i="35"/>
  <c r="B2265" i="35"/>
  <c r="J2264" i="35"/>
  <c r="I2264" i="35"/>
  <c r="H2264" i="35" s="1"/>
  <c r="F2264" i="35"/>
  <c r="B2264" i="35"/>
  <c r="J2263" i="35"/>
  <c r="F2263" i="35"/>
  <c r="B2263" i="35"/>
  <c r="I2263" i="35" s="1"/>
  <c r="H2263" i="35" s="1"/>
  <c r="I2262" i="35"/>
  <c r="F2262" i="35"/>
  <c r="J2262" i="35" s="1"/>
  <c r="H2262" i="35" s="1"/>
  <c r="B2262" i="35"/>
  <c r="J2261" i="35"/>
  <c r="I2261" i="35"/>
  <c r="H2261" i="35"/>
  <c r="F2261" i="35"/>
  <c r="B2261" i="35"/>
  <c r="J2260" i="35"/>
  <c r="I2260" i="35"/>
  <c r="H2260" i="35" s="1"/>
  <c r="F2260" i="35"/>
  <c r="B2260" i="35"/>
  <c r="J2259" i="35"/>
  <c r="F2259" i="35"/>
  <c r="B2259" i="35"/>
  <c r="I2259" i="35" s="1"/>
  <c r="I2258" i="35"/>
  <c r="F2258" i="35"/>
  <c r="J2258" i="35" s="1"/>
  <c r="H2258" i="35" s="1"/>
  <c r="B2258" i="35"/>
  <c r="J2257" i="35"/>
  <c r="I2257" i="35"/>
  <c r="H2257" i="35"/>
  <c r="F2257" i="35"/>
  <c r="B2257" i="35"/>
  <c r="J2256" i="35"/>
  <c r="I2256" i="35"/>
  <c r="H2256" i="35" s="1"/>
  <c r="F2256" i="35"/>
  <c r="B2256" i="35"/>
  <c r="J2255" i="35"/>
  <c r="H2255" i="35" s="1"/>
  <c r="I2255" i="35"/>
  <c r="F2255" i="35"/>
  <c r="J2254" i="35"/>
  <c r="H2254" i="35" s="1"/>
  <c r="I2254" i="35"/>
  <c r="F2254" i="35"/>
  <c r="J2253" i="35"/>
  <c r="F2253" i="35"/>
  <c r="B2253" i="35"/>
  <c r="I2253" i="35" s="1"/>
  <c r="H2253" i="35" s="1"/>
  <c r="I2252" i="35"/>
  <c r="F2252" i="35"/>
  <c r="J2252" i="35" s="1"/>
  <c r="H2252" i="35" s="1"/>
  <c r="B2252" i="35"/>
  <c r="J2251" i="35"/>
  <c r="I2251" i="35"/>
  <c r="H2251" i="35"/>
  <c r="F2251" i="35"/>
  <c r="B2251" i="35"/>
  <c r="J2250" i="35"/>
  <c r="I2250" i="35"/>
  <c r="H2250" i="35" s="1"/>
  <c r="F2250" i="35"/>
  <c r="B2250" i="35"/>
  <c r="J2249" i="35"/>
  <c r="F2249" i="35"/>
  <c r="B2249" i="35"/>
  <c r="I2249" i="35" s="1"/>
  <c r="I2248" i="35"/>
  <c r="F2248" i="35"/>
  <c r="J2248" i="35" s="1"/>
  <c r="H2248" i="35" s="1"/>
  <c r="B2248" i="35"/>
  <c r="J2247" i="35"/>
  <c r="I2247" i="35"/>
  <c r="H2247" i="35"/>
  <c r="F2247" i="35"/>
  <c r="B2247" i="35"/>
  <c r="J2246" i="35"/>
  <c r="I2246" i="35"/>
  <c r="H2246" i="35" s="1"/>
  <c r="F2246" i="35"/>
  <c r="B2246" i="35"/>
  <c r="J2245" i="35"/>
  <c r="F2245" i="35"/>
  <c r="B2245" i="35"/>
  <c r="I2245" i="35" s="1"/>
  <c r="I2244" i="35"/>
  <c r="F2244" i="35"/>
  <c r="J2244" i="35" s="1"/>
  <c r="H2244" i="35" s="1"/>
  <c r="B2244" i="35"/>
  <c r="J2243" i="35"/>
  <c r="I2243" i="35"/>
  <c r="H2243" i="35"/>
  <c r="F2243" i="35"/>
  <c r="B2243" i="35"/>
  <c r="J2242" i="35"/>
  <c r="I2242" i="35"/>
  <c r="H2242" i="35" s="1"/>
  <c r="F2242" i="35"/>
  <c r="B2242" i="35"/>
  <c r="J2241" i="35"/>
  <c r="F2241" i="35"/>
  <c r="B2241" i="35"/>
  <c r="I2241" i="35" s="1"/>
  <c r="H2241" i="35" s="1"/>
  <c r="I2240" i="35"/>
  <c r="F2240" i="35"/>
  <c r="J2240" i="35" s="1"/>
  <c r="H2240" i="35" s="1"/>
  <c r="B2240" i="35"/>
  <c r="J2239" i="35"/>
  <c r="F2239" i="35"/>
  <c r="B2239" i="35"/>
  <c r="I2239" i="35" s="1"/>
  <c r="H2239" i="35" s="1"/>
  <c r="I2238" i="35"/>
  <c r="F2238" i="35"/>
  <c r="J2238" i="35" s="1"/>
  <c r="B2238" i="35"/>
  <c r="J2237" i="35"/>
  <c r="F2237" i="35"/>
  <c r="B2237" i="35"/>
  <c r="I2237" i="35" s="1"/>
  <c r="I2236" i="35"/>
  <c r="F2236" i="35"/>
  <c r="J2236" i="35" s="1"/>
  <c r="B2236" i="35"/>
  <c r="J2235" i="35"/>
  <c r="F2235" i="35"/>
  <c r="B2235" i="35"/>
  <c r="I2235" i="35" s="1"/>
  <c r="H2235" i="35" s="1"/>
  <c r="F2234" i="35"/>
  <c r="J2234" i="35" s="1"/>
  <c r="B2234" i="35"/>
  <c r="I2234" i="35" s="1"/>
  <c r="H2234" i="35" s="1"/>
  <c r="J2233" i="35"/>
  <c r="F2233" i="35"/>
  <c r="B2233" i="35"/>
  <c r="I2233" i="35" s="1"/>
  <c r="H2233" i="35" s="1"/>
  <c r="I2232" i="35"/>
  <c r="H2232" i="35" s="1"/>
  <c r="F2232" i="35"/>
  <c r="J2232" i="35" s="1"/>
  <c r="B2232" i="35"/>
  <c r="J2231" i="35"/>
  <c r="F2231" i="35"/>
  <c r="B2231" i="35"/>
  <c r="I2231" i="35" s="1"/>
  <c r="H2231" i="35" s="1"/>
  <c r="F2230" i="35"/>
  <c r="J2230" i="35" s="1"/>
  <c r="B2230" i="35"/>
  <c r="I2230" i="35" s="1"/>
  <c r="F2229" i="35"/>
  <c r="J2229" i="35" s="1"/>
  <c r="B2229" i="35"/>
  <c r="I2229" i="35" s="1"/>
  <c r="I2228" i="35"/>
  <c r="H2228" i="35" s="1"/>
  <c r="F2228" i="35"/>
  <c r="J2228" i="35" s="1"/>
  <c r="B2228" i="35"/>
  <c r="J2227" i="35"/>
  <c r="H2227" i="35"/>
  <c r="F2227" i="35"/>
  <c r="B2227" i="35"/>
  <c r="I2227" i="35" s="1"/>
  <c r="I2226" i="35"/>
  <c r="F2226" i="35"/>
  <c r="J2226" i="35" s="1"/>
  <c r="F2225" i="35"/>
  <c r="J2225" i="35" s="1"/>
  <c r="B2225" i="35"/>
  <c r="I2225" i="35" s="1"/>
  <c r="F2224" i="35"/>
  <c r="J2224" i="35" s="1"/>
  <c r="B2224" i="35"/>
  <c r="I2224" i="35" s="1"/>
  <c r="H2224" i="35" s="1"/>
  <c r="I2223" i="35"/>
  <c r="H2223" i="35" s="1"/>
  <c r="F2223" i="35"/>
  <c r="J2223" i="35" s="1"/>
  <c r="B2223" i="35"/>
  <c r="J2222" i="35"/>
  <c r="H2222" i="35"/>
  <c r="F2222" i="35"/>
  <c r="B2222" i="35"/>
  <c r="I2222" i="35" s="1"/>
  <c r="I2221" i="35"/>
  <c r="H2221" i="35" s="1"/>
  <c r="F2221" i="35"/>
  <c r="J2221" i="35" s="1"/>
  <c r="B2221" i="35"/>
  <c r="F2220" i="35"/>
  <c r="J2220" i="35" s="1"/>
  <c r="H2220" i="35" s="1"/>
  <c r="B2220" i="35"/>
  <c r="I2220" i="35" s="1"/>
  <c r="I2219" i="35"/>
  <c r="H2219" i="35"/>
  <c r="F2219" i="35"/>
  <c r="J2219" i="35" s="1"/>
  <c r="B2219" i="35"/>
  <c r="J2218" i="35"/>
  <c r="I2218" i="35"/>
  <c r="H2218" i="35" s="1"/>
  <c r="F2218" i="35"/>
  <c r="B2218" i="35"/>
  <c r="J2217" i="35"/>
  <c r="I2217" i="35"/>
  <c r="F2217" i="35"/>
  <c r="B2217" i="35"/>
  <c r="J2216" i="35"/>
  <c r="H2216" i="35" s="1"/>
  <c r="F2216" i="35"/>
  <c r="B2216" i="35"/>
  <c r="I2216" i="35" s="1"/>
  <c r="I2215" i="35"/>
  <c r="H2215" i="35" s="1"/>
  <c r="F2215" i="35"/>
  <c r="J2215" i="35" s="1"/>
  <c r="B2215" i="35"/>
  <c r="J2214" i="35"/>
  <c r="F2214" i="35"/>
  <c r="B2214" i="35"/>
  <c r="I2214" i="35" s="1"/>
  <c r="J2213" i="35"/>
  <c r="F2213" i="35"/>
  <c r="B2213" i="35"/>
  <c r="I2213" i="35" s="1"/>
  <c r="H2213" i="35" s="1"/>
  <c r="J2212" i="35"/>
  <c r="F2212" i="35"/>
  <c r="B2212" i="35"/>
  <c r="I2212" i="35" s="1"/>
  <c r="H2212" i="35" s="1"/>
  <c r="I2211" i="35"/>
  <c r="H2211" i="35" s="1"/>
  <c r="F2211" i="35"/>
  <c r="J2211" i="35" s="1"/>
  <c r="B2211" i="35"/>
  <c r="J2210" i="35"/>
  <c r="F2210" i="35"/>
  <c r="B2210" i="35"/>
  <c r="I2210" i="35" s="1"/>
  <c r="H2210" i="35" s="1"/>
  <c r="F2209" i="35"/>
  <c r="J2209" i="35" s="1"/>
  <c r="B2209" i="35"/>
  <c r="I2209" i="35" s="1"/>
  <c r="H2209" i="35" s="1"/>
  <c r="I2208" i="35"/>
  <c r="H2208" i="35"/>
  <c r="F2208" i="35"/>
  <c r="J2208" i="35" s="1"/>
  <c r="H2207" i="35"/>
  <c r="F2207" i="35"/>
  <c r="J2207" i="35" s="1"/>
  <c r="B2207" i="35"/>
  <c r="I2207" i="35" s="1"/>
  <c r="J2206" i="35"/>
  <c r="I2206" i="35"/>
  <c r="H2206" i="35" s="1"/>
  <c r="F2206" i="35"/>
  <c r="B2206" i="35"/>
  <c r="J2205" i="35"/>
  <c r="F2205" i="35"/>
  <c r="B2205" i="35"/>
  <c r="I2205" i="35" s="1"/>
  <c r="H2205" i="35" s="1"/>
  <c r="F2204" i="35"/>
  <c r="J2204" i="35" s="1"/>
  <c r="B2204" i="35"/>
  <c r="I2204" i="35" s="1"/>
  <c r="I2203" i="35"/>
  <c r="H2203" i="35"/>
  <c r="F2203" i="35"/>
  <c r="J2203" i="35" s="1"/>
  <c r="B2203" i="35"/>
  <c r="J2202" i="35"/>
  <c r="I2202" i="35"/>
  <c r="H2202" i="35" s="1"/>
  <c r="F2202" i="35"/>
  <c r="B2202" i="35"/>
  <c r="J2201" i="35"/>
  <c r="F2201" i="35"/>
  <c r="B2201" i="35"/>
  <c r="I2201" i="35" s="1"/>
  <c r="I2200" i="35"/>
  <c r="F2200" i="35"/>
  <c r="J2200" i="35" s="1"/>
  <c r="I2199" i="35"/>
  <c r="H2199" i="35" s="1"/>
  <c r="F2199" i="35"/>
  <c r="J2199" i="35" s="1"/>
  <c r="B2199" i="35"/>
  <c r="J2198" i="35"/>
  <c r="H2198" i="35"/>
  <c r="F2198" i="35"/>
  <c r="B2198" i="35"/>
  <c r="I2198" i="35" s="1"/>
  <c r="I2197" i="35"/>
  <c r="H2197" i="35" s="1"/>
  <c r="F2197" i="35"/>
  <c r="J2197" i="35" s="1"/>
  <c r="B2197" i="35"/>
  <c r="J2196" i="35"/>
  <c r="F2196" i="35"/>
  <c r="B2196" i="35"/>
  <c r="I2196" i="35" s="1"/>
  <c r="H2196" i="35" s="1"/>
  <c r="I2195" i="35"/>
  <c r="F2195" i="35"/>
  <c r="J2195" i="35" s="1"/>
  <c r="B2195" i="35"/>
  <c r="J2194" i="35"/>
  <c r="F2194" i="35"/>
  <c r="B2194" i="35"/>
  <c r="I2194" i="35" s="1"/>
  <c r="H2194" i="35" s="1"/>
  <c r="I2193" i="35"/>
  <c r="H2193" i="35" s="1"/>
  <c r="F2193" i="35"/>
  <c r="J2193" i="35" s="1"/>
  <c r="B2193" i="35"/>
  <c r="J2192" i="35"/>
  <c r="F2192" i="35"/>
  <c r="B2192" i="35"/>
  <c r="I2192" i="35" s="1"/>
  <c r="I2191" i="35"/>
  <c r="F2191" i="35"/>
  <c r="J2191" i="35" s="1"/>
  <c r="B2191" i="35"/>
  <c r="J2190" i="35"/>
  <c r="F2190" i="35"/>
  <c r="B2190" i="35"/>
  <c r="I2190" i="35" s="1"/>
  <c r="H2190" i="35" s="1"/>
  <c r="I2189" i="35"/>
  <c r="H2189" i="35" s="1"/>
  <c r="F2189" i="35"/>
  <c r="J2189" i="35" s="1"/>
  <c r="I2188" i="35"/>
  <c r="H2188" i="35" s="1"/>
  <c r="F2188" i="35"/>
  <c r="J2188" i="35" s="1"/>
  <c r="B2188" i="35"/>
  <c r="J2187" i="35"/>
  <c r="F2187" i="35"/>
  <c r="B2187" i="35"/>
  <c r="I2187" i="35" s="1"/>
  <c r="H2187" i="35" s="1"/>
  <c r="I2186" i="35"/>
  <c r="F2186" i="35"/>
  <c r="J2186" i="35" s="1"/>
  <c r="B2186" i="35"/>
  <c r="J2185" i="35"/>
  <c r="F2185" i="35"/>
  <c r="B2185" i="35"/>
  <c r="I2185" i="35" s="1"/>
  <c r="H2185" i="35" s="1"/>
  <c r="I2184" i="35"/>
  <c r="H2184" i="35" s="1"/>
  <c r="F2184" i="35"/>
  <c r="J2184" i="35" s="1"/>
  <c r="B2184" i="35"/>
  <c r="J2183" i="35"/>
  <c r="F2183" i="35"/>
  <c r="B2183" i="35"/>
  <c r="I2183" i="35" s="1"/>
  <c r="I2182" i="35"/>
  <c r="F2182" i="35"/>
  <c r="J2182" i="35" s="1"/>
  <c r="B2182" i="35"/>
  <c r="J2181" i="35"/>
  <c r="F2181" i="35"/>
  <c r="B2181" i="35"/>
  <c r="I2181" i="35" s="1"/>
  <c r="H2181" i="35" s="1"/>
  <c r="I2180" i="35"/>
  <c r="H2180" i="35" s="1"/>
  <c r="F2180" i="35"/>
  <c r="J2180" i="35" s="1"/>
  <c r="B2180" i="35"/>
  <c r="J2179" i="35"/>
  <c r="H2179" i="35" s="1"/>
  <c r="I2179" i="35"/>
  <c r="F2179" i="35"/>
  <c r="J2178" i="35"/>
  <c r="F2178" i="35"/>
  <c r="B2178" i="35"/>
  <c r="I2178" i="35" s="1"/>
  <c r="I2177" i="35"/>
  <c r="F2177" i="35"/>
  <c r="J2177" i="35" s="1"/>
  <c r="B2177" i="35"/>
  <c r="J2176" i="35"/>
  <c r="F2176" i="35"/>
  <c r="B2176" i="35"/>
  <c r="I2176" i="35" s="1"/>
  <c r="H2176" i="35" s="1"/>
  <c r="I2175" i="35"/>
  <c r="H2175" i="35" s="1"/>
  <c r="F2175" i="35"/>
  <c r="J2175" i="35" s="1"/>
  <c r="B2175" i="35"/>
  <c r="J2174" i="35"/>
  <c r="F2174" i="35"/>
  <c r="B2174" i="35"/>
  <c r="I2174" i="35" s="1"/>
  <c r="I2173" i="35"/>
  <c r="H2173" i="35" s="1"/>
  <c r="F2173" i="35"/>
  <c r="J2173" i="35" s="1"/>
  <c r="B2173" i="35"/>
  <c r="J2172" i="35"/>
  <c r="I2172" i="35"/>
  <c r="H2172" i="35"/>
  <c r="F2172" i="35"/>
  <c r="J2171" i="35"/>
  <c r="I2171" i="35"/>
  <c r="H2171" i="35"/>
  <c r="F2171" i="35"/>
  <c r="J2170" i="35"/>
  <c r="H2170" i="35"/>
  <c r="F2170" i="35"/>
  <c r="B2170" i="35"/>
  <c r="I2170" i="35" s="1"/>
  <c r="I2169" i="35"/>
  <c r="F2169" i="35"/>
  <c r="J2169" i="35" s="1"/>
  <c r="B2169" i="35"/>
  <c r="J2168" i="35"/>
  <c r="F2168" i="35"/>
  <c r="B2168" i="35"/>
  <c r="I2168" i="35" s="1"/>
  <c r="H2168" i="35" s="1"/>
  <c r="I2167" i="35"/>
  <c r="H2167" i="35" s="1"/>
  <c r="F2167" i="35"/>
  <c r="J2167" i="35" s="1"/>
  <c r="B2167" i="35"/>
  <c r="J2166" i="35"/>
  <c r="H2166" i="35"/>
  <c r="F2166" i="35"/>
  <c r="B2166" i="35"/>
  <c r="I2166" i="35" s="1"/>
  <c r="I2165" i="35"/>
  <c r="H2165" i="35" s="1"/>
  <c r="F2165" i="35"/>
  <c r="J2165" i="35" s="1"/>
  <c r="B2165" i="35"/>
  <c r="J2164" i="35"/>
  <c r="F2164" i="35"/>
  <c r="B2164" i="35"/>
  <c r="I2164" i="35" s="1"/>
  <c r="H2164" i="35" s="1"/>
  <c r="I2163" i="35"/>
  <c r="H2163" i="35" s="1"/>
  <c r="F2163" i="35"/>
  <c r="J2163" i="35" s="1"/>
  <c r="B2163" i="35"/>
  <c r="J2162" i="35"/>
  <c r="F2162" i="35"/>
  <c r="B2162" i="35"/>
  <c r="I2162" i="35" s="1"/>
  <c r="H2162" i="35" s="1"/>
  <c r="I2161" i="35"/>
  <c r="H2161" i="35" s="1"/>
  <c r="F2161" i="35"/>
  <c r="J2161" i="35" s="1"/>
  <c r="B2161" i="35"/>
  <c r="J2160" i="35"/>
  <c r="F2160" i="35"/>
  <c r="B2160" i="35"/>
  <c r="I2160" i="35" s="1"/>
  <c r="I2159" i="35"/>
  <c r="F2159" i="35"/>
  <c r="J2159" i="35" s="1"/>
  <c r="B2159" i="35"/>
  <c r="J2158" i="35"/>
  <c r="F2158" i="35"/>
  <c r="B2158" i="35"/>
  <c r="I2158" i="35" s="1"/>
  <c r="H2158" i="35" s="1"/>
  <c r="I2157" i="35"/>
  <c r="H2157" i="35" s="1"/>
  <c r="F2157" i="35"/>
  <c r="J2157" i="35" s="1"/>
  <c r="B2157" i="35"/>
  <c r="J2156" i="35"/>
  <c r="F2156" i="35"/>
  <c r="B2156" i="35"/>
  <c r="I2156" i="35" s="1"/>
  <c r="I2155" i="35"/>
  <c r="H2155" i="35" s="1"/>
  <c r="F2155" i="35"/>
  <c r="J2155" i="35" s="1"/>
  <c r="B2155" i="35"/>
  <c r="J2154" i="35"/>
  <c r="H2154" i="35"/>
  <c r="F2154" i="35"/>
  <c r="B2154" i="35"/>
  <c r="I2154" i="35" s="1"/>
  <c r="I2153" i="35"/>
  <c r="F2153" i="35"/>
  <c r="J2153" i="35" s="1"/>
  <c r="B2153" i="35"/>
  <c r="J2152" i="35"/>
  <c r="F2152" i="35"/>
  <c r="B2152" i="35"/>
  <c r="I2152" i="35" s="1"/>
  <c r="H2152" i="35" s="1"/>
  <c r="I2151" i="35"/>
  <c r="H2151" i="35" s="1"/>
  <c r="F2151" i="35"/>
  <c r="J2151" i="35" s="1"/>
  <c r="B2151" i="35"/>
  <c r="J2150" i="35"/>
  <c r="I2150" i="35"/>
  <c r="H2150" i="35"/>
  <c r="F2150" i="35"/>
  <c r="J2149" i="35"/>
  <c r="I2149" i="35"/>
  <c r="H2149" i="35"/>
  <c r="F2149" i="35"/>
  <c r="J2148" i="35"/>
  <c r="I2148" i="35"/>
  <c r="H2148" i="35"/>
  <c r="F2148" i="35"/>
  <c r="J2147" i="35"/>
  <c r="H2147" i="35"/>
  <c r="F2147" i="35"/>
  <c r="B2147" i="35"/>
  <c r="I2147" i="35" s="1"/>
  <c r="I2146" i="35"/>
  <c r="H2146" i="35" s="1"/>
  <c r="F2146" i="35"/>
  <c r="J2146" i="35" s="1"/>
  <c r="B2146" i="35"/>
  <c r="J2145" i="35"/>
  <c r="F2145" i="35"/>
  <c r="B2145" i="35"/>
  <c r="I2145" i="35" s="1"/>
  <c r="H2145" i="35" s="1"/>
  <c r="I2144" i="35"/>
  <c r="H2144" i="35" s="1"/>
  <c r="F2144" i="35"/>
  <c r="J2144" i="35" s="1"/>
  <c r="B2144" i="35"/>
  <c r="J2143" i="35"/>
  <c r="F2143" i="35"/>
  <c r="B2143" i="35"/>
  <c r="I2143" i="35" s="1"/>
  <c r="H2143" i="35" s="1"/>
  <c r="I2142" i="35"/>
  <c r="H2142" i="35" s="1"/>
  <c r="F2142" i="35"/>
  <c r="J2142" i="35" s="1"/>
  <c r="B2142" i="35"/>
  <c r="J2141" i="35"/>
  <c r="F2141" i="35"/>
  <c r="B2141" i="35"/>
  <c r="I2141" i="35" s="1"/>
  <c r="I2140" i="35"/>
  <c r="F2140" i="35"/>
  <c r="J2140" i="35" s="1"/>
  <c r="B2140" i="35"/>
  <c r="J2139" i="35"/>
  <c r="F2139" i="35"/>
  <c r="B2139" i="35"/>
  <c r="I2139" i="35" s="1"/>
  <c r="H2139" i="35" s="1"/>
  <c r="I2138" i="35"/>
  <c r="H2138" i="35" s="1"/>
  <c r="F2138" i="35"/>
  <c r="J2138" i="35" s="1"/>
  <c r="B2138" i="35"/>
  <c r="J2137" i="35"/>
  <c r="F2137" i="35"/>
  <c r="B2137" i="35"/>
  <c r="I2137" i="35" s="1"/>
  <c r="I2136" i="35"/>
  <c r="H2136" i="35" s="1"/>
  <c r="F2136" i="35"/>
  <c r="J2136" i="35" s="1"/>
  <c r="B2136" i="35"/>
  <c r="J2135" i="35"/>
  <c r="H2135" i="35"/>
  <c r="F2135" i="35"/>
  <c r="B2135" i="35"/>
  <c r="I2135" i="35" s="1"/>
  <c r="I2134" i="35"/>
  <c r="F2134" i="35"/>
  <c r="J2134" i="35" s="1"/>
  <c r="B2134" i="35"/>
  <c r="J2133" i="35"/>
  <c r="F2133" i="35"/>
  <c r="B2133" i="35"/>
  <c r="I2133" i="35" s="1"/>
  <c r="H2133" i="35" s="1"/>
  <c r="I2132" i="35"/>
  <c r="H2132" i="35" s="1"/>
  <c r="F2132" i="35"/>
  <c r="J2132" i="35" s="1"/>
  <c r="B2132" i="35"/>
  <c r="J2131" i="35"/>
  <c r="H2131" i="35"/>
  <c r="F2131" i="35"/>
  <c r="B2131" i="35"/>
  <c r="I2131" i="35" s="1"/>
  <c r="I2130" i="35"/>
  <c r="H2130" i="35" s="1"/>
  <c r="F2130" i="35"/>
  <c r="J2130" i="35" s="1"/>
  <c r="B2130" i="35"/>
  <c r="J2129" i="35"/>
  <c r="F2129" i="35"/>
  <c r="B2129" i="35"/>
  <c r="I2129" i="35" s="1"/>
  <c r="H2129" i="35" s="1"/>
  <c r="I2128" i="35"/>
  <c r="F2128" i="35"/>
  <c r="J2128" i="35" s="1"/>
  <c r="B2128" i="35"/>
  <c r="J2127" i="35"/>
  <c r="F2127" i="35"/>
  <c r="B2127" i="35"/>
  <c r="I2127" i="35" s="1"/>
  <c r="H2127" i="35" s="1"/>
  <c r="I2126" i="35"/>
  <c r="H2126" i="35" s="1"/>
  <c r="F2126" i="35"/>
  <c r="J2126" i="35" s="1"/>
  <c r="B2126" i="35"/>
  <c r="J2125" i="35"/>
  <c r="F2125" i="35"/>
  <c r="B2125" i="35"/>
  <c r="I2125" i="35" s="1"/>
  <c r="I2124" i="35"/>
  <c r="F2124" i="35"/>
  <c r="J2124" i="35" s="1"/>
  <c r="B2124" i="35"/>
  <c r="J2123" i="35"/>
  <c r="I2123" i="35"/>
  <c r="H2123" i="35"/>
  <c r="F2123" i="35"/>
  <c r="J2122" i="35"/>
  <c r="F2122" i="35"/>
  <c r="B2122" i="35"/>
  <c r="I2122" i="35" s="1"/>
  <c r="H2122" i="35" s="1"/>
  <c r="I2121" i="35"/>
  <c r="H2121" i="35" s="1"/>
  <c r="F2121" i="35"/>
  <c r="J2121" i="35" s="1"/>
  <c r="B2121" i="35"/>
  <c r="J2120" i="35"/>
  <c r="F2120" i="35"/>
  <c r="B2120" i="35"/>
  <c r="I2120" i="35" s="1"/>
  <c r="I2119" i="35"/>
  <c r="H2119" i="35" s="1"/>
  <c r="F2119" i="35"/>
  <c r="J2119" i="35" s="1"/>
  <c r="B2119" i="35"/>
  <c r="J2118" i="35"/>
  <c r="H2118" i="35"/>
  <c r="F2118" i="35"/>
  <c r="B2118" i="35"/>
  <c r="I2118" i="35" s="1"/>
  <c r="I2117" i="35"/>
  <c r="F2117" i="35"/>
  <c r="J2117" i="35" s="1"/>
  <c r="B2117" i="35"/>
  <c r="J2116" i="35"/>
  <c r="F2116" i="35"/>
  <c r="B2116" i="35"/>
  <c r="I2116" i="35" s="1"/>
  <c r="H2116" i="35" s="1"/>
  <c r="I2115" i="35"/>
  <c r="H2115" i="35" s="1"/>
  <c r="F2115" i="35"/>
  <c r="J2115" i="35" s="1"/>
  <c r="B2115" i="35"/>
  <c r="J2114" i="35"/>
  <c r="H2114" i="35"/>
  <c r="F2114" i="35"/>
  <c r="B2114" i="35"/>
  <c r="I2114" i="35" s="1"/>
  <c r="I2113" i="35"/>
  <c r="H2113" i="35" s="1"/>
  <c r="F2113" i="35"/>
  <c r="J2113" i="35" s="1"/>
  <c r="B2113" i="35"/>
  <c r="J2112" i="35"/>
  <c r="F2112" i="35"/>
  <c r="B2112" i="35"/>
  <c r="I2112" i="35" s="1"/>
  <c r="H2112" i="35" s="1"/>
  <c r="I2111" i="35"/>
  <c r="H2111" i="35" s="1"/>
  <c r="F2111" i="35"/>
  <c r="J2111" i="35" s="1"/>
  <c r="B2111" i="35"/>
  <c r="J2110" i="35"/>
  <c r="F2110" i="35"/>
  <c r="B2110" i="35"/>
  <c r="I2110" i="35" s="1"/>
  <c r="H2110" i="35" s="1"/>
  <c r="I2109" i="35"/>
  <c r="H2109" i="35" s="1"/>
  <c r="F2109" i="35"/>
  <c r="J2109" i="35" s="1"/>
  <c r="B2109" i="35"/>
  <c r="J2108" i="35"/>
  <c r="F2108" i="35"/>
  <c r="B2108" i="35"/>
  <c r="I2108" i="35" s="1"/>
  <c r="I2107" i="35"/>
  <c r="F2107" i="35"/>
  <c r="J2107" i="35" s="1"/>
  <c r="B2107" i="35"/>
  <c r="J2106" i="35"/>
  <c r="F2106" i="35"/>
  <c r="B2106" i="35"/>
  <c r="I2106" i="35" s="1"/>
  <c r="H2106" i="35" s="1"/>
  <c r="I2105" i="35"/>
  <c r="H2105" i="35" s="1"/>
  <c r="F2105" i="35"/>
  <c r="J2105" i="35" s="1"/>
  <c r="B2105" i="35"/>
  <c r="J2104" i="35"/>
  <c r="F2104" i="35"/>
  <c r="B2104" i="35"/>
  <c r="I2104" i="35" s="1"/>
  <c r="I2103" i="35"/>
  <c r="H2103" i="35" s="1"/>
  <c r="F2103" i="35"/>
  <c r="J2103" i="35" s="1"/>
  <c r="B2103" i="35"/>
  <c r="J2102" i="35"/>
  <c r="H2102" i="35"/>
  <c r="F2102" i="35"/>
  <c r="B2102" i="35"/>
  <c r="I2102" i="35" s="1"/>
  <c r="I2101" i="35"/>
  <c r="F2101" i="35"/>
  <c r="J2101" i="35" s="1"/>
  <c r="B2101" i="35"/>
  <c r="J2100" i="35"/>
  <c r="F2100" i="35"/>
  <c r="B2100" i="35"/>
  <c r="I2100" i="35" s="1"/>
  <c r="H2100" i="35" s="1"/>
  <c r="I2099" i="35"/>
  <c r="H2099" i="35" s="1"/>
  <c r="F2099" i="35"/>
  <c r="J2099" i="35" s="1"/>
  <c r="B2099" i="35"/>
  <c r="J2098" i="35"/>
  <c r="F2098" i="35"/>
  <c r="B2098" i="35"/>
  <c r="I2098" i="35" s="1"/>
  <c r="H2098" i="35" s="1"/>
  <c r="I2097" i="35"/>
  <c r="H2097" i="35" s="1"/>
  <c r="F2097" i="35"/>
  <c r="J2097" i="35" s="1"/>
  <c r="B2097" i="35"/>
  <c r="J2096" i="35"/>
  <c r="H2096" i="35" s="1"/>
  <c r="F2096" i="35"/>
  <c r="B2096" i="35"/>
  <c r="I2096" i="35" s="1"/>
  <c r="I2095" i="35"/>
  <c r="H2095" i="35" s="1"/>
  <c r="F2095" i="35"/>
  <c r="J2095" i="35" s="1"/>
  <c r="B2095" i="35"/>
  <c r="J2094" i="35"/>
  <c r="H2094" i="35"/>
  <c r="F2094" i="35"/>
  <c r="B2094" i="35"/>
  <c r="I2094" i="35" s="1"/>
  <c r="I2093" i="35"/>
  <c r="F2093" i="35"/>
  <c r="J2093" i="35" s="1"/>
  <c r="B2093" i="35"/>
  <c r="J2092" i="35"/>
  <c r="F2092" i="35"/>
  <c r="B2092" i="35"/>
  <c r="I2092" i="35" s="1"/>
  <c r="H2092" i="35" s="1"/>
  <c r="I2091" i="35"/>
  <c r="H2091" i="35" s="1"/>
  <c r="F2091" i="35"/>
  <c r="J2091" i="35" s="1"/>
  <c r="B2091" i="35"/>
  <c r="J2090" i="35"/>
  <c r="F2090" i="35"/>
  <c r="B2090" i="35"/>
  <c r="I2090" i="35" s="1"/>
  <c r="H2090" i="35" s="1"/>
  <c r="I2089" i="35"/>
  <c r="H2089" i="35" s="1"/>
  <c r="F2089" i="35"/>
  <c r="J2089" i="35" s="1"/>
  <c r="B2089" i="35"/>
  <c r="J2088" i="35"/>
  <c r="H2088" i="35" s="1"/>
  <c r="F2088" i="35"/>
  <c r="B2088" i="35"/>
  <c r="I2088" i="35" s="1"/>
  <c r="I2087" i="35"/>
  <c r="H2087" i="35" s="1"/>
  <c r="F2087" i="35"/>
  <c r="J2087" i="35" s="1"/>
  <c r="B2087" i="35"/>
  <c r="J2086" i="35"/>
  <c r="H2086" i="35"/>
  <c r="F2086" i="35"/>
  <c r="B2086" i="35"/>
  <c r="I2086" i="35" s="1"/>
  <c r="I2085" i="35"/>
  <c r="F2085" i="35"/>
  <c r="J2085" i="35" s="1"/>
  <c r="B2085" i="35"/>
  <c r="J2084" i="35"/>
  <c r="F2084" i="35"/>
  <c r="B2084" i="35"/>
  <c r="I2084" i="35" s="1"/>
  <c r="H2084" i="35" s="1"/>
  <c r="I2083" i="35"/>
  <c r="H2083" i="35" s="1"/>
  <c r="F2083" i="35"/>
  <c r="J2083" i="35" s="1"/>
  <c r="B2083" i="35"/>
  <c r="J2082" i="35"/>
  <c r="F2082" i="35"/>
  <c r="B2082" i="35"/>
  <c r="I2082" i="35" s="1"/>
  <c r="H2082" i="35" s="1"/>
  <c r="I2081" i="35"/>
  <c r="H2081" i="35" s="1"/>
  <c r="F2081" i="35"/>
  <c r="J2081" i="35" s="1"/>
  <c r="B2081" i="35"/>
  <c r="J2080" i="35"/>
  <c r="H2080" i="35" s="1"/>
  <c r="F2080" i="35"/>
  <c r="B2080" i="35"/>
  <c r="I2080" i="35" s="1"/>
  <c r="I2079" i="35"/>
  <c r="H2079" i="35" s="1"/>
  <c r="F2079" i="35"/>
  <c r="J2079" i="35" s="1"/>
  <c r="B2079" i="35"/>
  <c r="J2078" i="35"/>
  <c r="H2078" i="35"/>
  <c r="F2078" i="35"/>
  <c r="B2078" i="35"/>
  <c r="I2078" i="35" s="1"/>
  <c r="I2077" i="35"/>
  <c r="F2077" i="35"/>
  <c r="J2077" i="35" s="1"/>
  <c r="B2077" i="35"/>
  <c r="J2076" i="35"/>
  <c r="F2076" i="35"/>
  <c r="B2076" i="35"/>
  <c r="I2076" i="35" s="1"/>
  <c r="H2076" i="35" s="1"/>
  <c r="I2075" i="35"/>
  <c r="H2075" i="35" s="1"/>
  <c r="F2075" i="35"/>
  <c r="J2075" i="35" s="1"/>
  <c r="B2075" i="35"/>
  <c r="J2074" i="35"/>
  <c r="F2074" i="35"/>
  <c r="B2074" i="35"/>
  <c r="I2074" i="35" s="1"/>
  <c r="H2074" i="35" s="1"/>
  <c r="I2073" i="35"/>
  <c r="H2073" i="35" s="1"/>
  <c r="F2073" i="35"/>
  <c r="J2073" i="35" s="1"/>
  <c r="B2073" i="35"/>
  <c r="J2072" i="35"/>
  <c r="H2072" i="35" s="1"/>
  <c r="F2072" i="35"/>
  <c r="B2072" i="35"/>
  <c r="I2072" i="35" s="1"/>
  <c r="I2071" i="35"/>
  <c r="H2071" i="35" s="1"/>
  <c r="F2071" i="35"/>
  <c r="J2071" i="35" s="1"/>
  <c r="I2070" i="35"/>
  <c r="H2070" i="35" s="1"/>
  <c r="F2070" i="35"/>
  <c r="J2070" i="35" s="1"/>
  <c r="I2069" i="35"/>
  <c r="H2069" i="35" s="1"/>
  <c r="F2069" i="35"/>
  <c r="J2069" i="35" s="1"/>
  <c r="I2068" i="35"/>
  <c r="H2068" i="35" s="1"/>
  <c r="F2068" i="35"/>
  <c r="J2068" i="35" s="1"/>
  <c r="I2067" i="35"/>
  <c r="H2067" i="35" s="1"/>
  <c r="F2067" i="35"/>
  <c r="J2067" i="35" s="1"/>
  <c r="I2066" i="35"/>
  <c r="H2066" i="35" s="1"/>
  <c r="F2066" i="35"/>
  <c r="J2066" i="35" s="1"/>
  <c r="B2066" i="35"/>
  <c r="J2065" i="35"/>
  <c r="F2065" i="35"/>
  <c r="B2065" i="35"/>
  <c r="I2065" i="35" s="1"/>
  <c r="H2065" i="35" s="1"/>
  <c r="I2064" i="35"/>
  <c r="H2064" i="35" s="1"/>
  <c r="F2064" i="35"/>
  <c r="J2064" i="35" s="1"/>
  <c r="B2064" i="35"/>
  <c r="J2063" i="35"/>
  <c r="H2063" i="35" s="1"/>
  <c r="F2063" i="35"/>
  <c r="B2063" i="35"/>
  <c r="I2063" i="35" s="1"/>
  <c r="I2062" i="35"/>
  <c r="H2062" i="35" s="1"/>
  <c r="F2062" i="35"/>
  <c r="J2062" i="35" s="1"/>
  <c r="B2062" i="35"/>
  <c r="J2061" i="35"/>
  <c r="H2061" i="35"/>
  <c r="F2061" i="35"/>
  <c r="B2061" i="35"/>
  <c r="I2061" i="35" s="1"/>
  <c r="I2060" i="35"/>
  <c r="F2060" i="35"/>
  <c r="J2060" i="35" s="1"/>
  <c r="B2060" i="35"/>
  <c r="J2059" i="35"/>
  <c r="F2059" i="35"/>
  <c r="B2059" i="35"/>
  <c r="I2059" i="35" s="1"/>
  <c r="H2059" i="35" s="1"/>
  <c r="I2058" i="35"/>
  <c r="H2058" i="35" s="1"/>
  <c r="F2058" i="35"/>
  <c r="J2058" i="35" s="1"/>
  <c r="B2058" i="35"/>
  <c r="J2057" i="35"/>
  <c r="F2057" i="35"/>
  <c r="B2057" i="35"/>
  <c r="I2057" i="35" s="1"/>
  <c r="H2057" i="35" s="1"/>
  <c r="I2056" i="35"/>
  <c r="H2056" i="35" s="1"/>
  <c r="F2056" i="35"/>
  <c r="J2056" i="35" s="1"/>
  <c r="B2056" i="35"/>
  <c r="J2055" i="35"/>
  <c r="H2055" i="35" s="1"/>
  <c r="F2055" i="35"/>
  <c r="B2055" i="35"/>
  <c r="I2055" i="35" s="1"/>
  <c r="I2054" i="35"/>
  <c r="H2054" i="35" s="1"/>
  <c r="F2054" i="35"/>
  <c r="J2054" i="35" s="1"/>
  <c r="B2054" i="35"/>
  <c r="J2053" i="35"/>
  <c r="I2053" i="35"/>
  <c r="H2053" i="35"/>
  <c r="F2053" i="35"/>
  <c r="J2052" i="35"/>
  <c r="H2052" i="35"/>
  <c r="F2052" i="35"/>
  <c r="B2052" i="35"/>
  <c r="I2052" i="35" s="1"/>
  <c r="I2051" i="35"/>
  <c r="F2051" i="35"/>
  <c r="J2051" i="35" s="1"/>
  <c r="B2051" i="35"/>
  <c r="J2050" i="35"/>
  <c r="F2050" i="35"/>
  <c r="B2050" i="35"/>
  <c r="I2050" i="35" s="1"/>
  <c r="H2050" i="35" s="1"/>
  <c r="I2049" i="35"/>
  <c r="H2049" i="35" s="1"/>
  <c r="F2049" i="35"/>
  <c r="J2049" i="35" s="1"/>
  <c r="B2049" i="35"/>
  <c r="J2048" i="35"/>
  <c r="F2048" i="35"/>
  <c r="B2048" i="35"/>
  <c r="I2048" i="35" s="1"/>
  <c r="H2048" i="35" s="1"/>
  <c r="I2047" i="35"/>
  <c r="H2047" i="35" s="1"/>
  <c r="F2047" i="35"/>
  <c r="J2047" i="35" s="1"/>
  <c r="B2047" i="35"/>
  <c r="J2046" i="35"/>
  <c r="H2046" i="35" s="1"/>
  <c r="F2046" i="35"/>
  <c r="B2046" i="35"/>
  <c r="I2046" i="35" s="1"/>
  <c r="I2045" i="35"/>
  <c r="H2045" i="35" s="1"/>
  <c r="F2045" i="35"/>
  <c r="J2045" i="35" s="1"/>
  <c r="B2045" i="35"/>
  <c r="J2044" i="35"/>
  <c r="H2044" i="35"/>
  <c r="F2044" i="35"/>
  <c r="B2044" i="35"/>
  <c r="I2044" i="35" s="1"/>
  <c r="I2043" i="35"/>
  <c r="F2043" i="35"/>
  <c r="J2043" i="35" s="1"/>
  <c r="B2043" i="35"/>
  <c r="J2042" i="35"/>
  <c r="F2042" i="35"/>
  <c r="B2042" i="35"/>
  <c r="I2042" i="35" s="1"/>
  <c r="H2042" i="35" s="1"/>
  <c r="I2041" i="35"/>
  <c r="F2041" i="35"/>
  <c r="J2041" i="35" s="1"/>
  <c r="B2041" i="35"/>
  <c r="J2040" i="35"/>
  <c r="F2040" i="35"/>
  <c r="B2040" i="35"/>
  <c r="I2040" i="35" s="1"/>
  <c r="H2040" i="35" s="1"/>
  <c r="I2039" i="35"/>
  <c r="H2039" i="35" s="1"/>
  <c r="F2039" i="35"/>
  <c r="J2039" i="35" s="1"/>
  <c r="B2039" i="35"/>
  <c r="J2038" i="35"/>
  <c r="H2038" i="35" s="1"/>
  <c r="F2038" i="35"/>
  <c r="B2038" i="35"/>
  <c r="I2038" i="35" s="1"/>
  <c r="I2037" i="35"/>
  <c r="H2037" i="35" s="1"/>
  <c r="F2037" i="35"/>
  <c r="J2037" i="35" s="1"/>
  <c r="B2037" i="35"/>
  <c r="J2036" i="35"/>
  <c r="H2036" i="35"/>
  <c r="F2036" i="35"/>
  <c r="B2036" i="35"/>
  <c r="I2036" i="35" s="1"/>
  <c r="I2035" i="35"/>
  <c r="F2035" i="35"/>
  <c r="J2035" i="35" s="1"/>
  <c r="B2035" i="35"/>
  <c r="J2034" i="35"/>
  <c r="F2034" i="35"/>
  <c r="B2034" i="35"/>
  <c r="I2034" i="35" s="1"/>
  <c r="H2034" i="35" s="1"/>
  <c r="I2033" i="35"/>
  <c r="H2033" i="35" s="1"/>
  <c r="F2033" i="35"/>
  <c r="J2033" i="35" s="1"/>
  <c r="B2033" i="35"/>
  <c r="J2032" i="35"/>
  <c r="F2032" i="35"/>
  <c r="B2032" i="35"/>
  <c r="I2032" i="35" s="1"/>
  <c r="H2032" i="35" s="1"/>
  <c r="I2031" i="35"/>
  <c r="H2031" i="35" s="1"/>
  <c r="F2031" i="35"/>
  <c r="J2031" i="35" s="1"/>
  <c r="I2030" i="35"/>
  <c r="F2030" i="35"/>
  <c r="J2030" i="35" s="1"/>
  <c r="I2029" i="35"/>
  <c r="H2029" i="35" s="1"/>
  <c r="F2029" i="35"/>
  <c r="J2029" i="35" s="1"/>
  <c r="I2028" i="35"/>
  <c r="F2028" i="35"/>
  <c r="J2028" i="35" s="1"/>
  <c r="B2028" i="35"/>
  <c r="J2027" i="35"/>
  <c r="F2027" i="35"/>
  <c r="B2027" i="35"/>
  <c r="I2027" i="35" s="1"/>
  <c r="H2027" i="35" s="1"/>
  <c r="I2026" i="35"/>
  <c r="H2026" i="35" s="1"/>
  <c r="F2026" i="35"/>
  <c r="J2026" i="35" s="1"/>
  <c r="B2026" i="35"/>
  <c r="J2025" i="35"/>
  <c r="F2025" i="35"/>
  <c r="B2025" i="35"/>
  <c r="I2025" i="35" s="1"/>
  <c r="H2025" i="35" s="1"/>
  <c r="I2024" i="35"/>
  <c r="H2024" i="35" s="1"/>
  <c r="F2024" i="35"/>
  <c r="J2024" i="35" s="1"/>
  <c r="B2024" i="35"/>
  <c r="J2023" i="35"/>
  <c r="H2023" i="35" s="1"/>
  <c r="F2023" i="35"/>
  <c r="B2023" i="35"/>
  <c r="I2023" i="35" s="1"/>
  <c r="I2022" i="35"/>
  <c r="H2022" i="35" s="1"/>
  <c r="F2022" i="35"/>
  <c r="J2022" i="35" s="1"/>
  <c r="B2022" i="35"/>
  <c r="J2021" i="35"/>
  <c r="H2021" i="35"/>
  <c r="F2021" i="35"/>
  <c r="B2021" i="35"/>
  <c r="I2021" i="35" s="1"/>
  <c r="I2020" i="35"/>
  <c r="F2020" i="35"/>
  <c r="J2020" i="35" s="1"/>
  <c r="B2020" i="35"/>
  <c r="J2019" i="35"/>
  <c r="F2019" i="35"/>
  <c r="B2019" i="35"/>
  <c r="I2019" i="35" s="1"/>
  <c r="H2019" i="35" s="1"/>
  <c r="I2018" i="35"/>
  <c r="H2018" i="35" s="1"/>
  <c r="F2018" i="35"/>
  <c r="J2018" i="35" s="1"/>
  <c r="B2018" i="35"/>
  <c r="F2017" i="35"/>
  <c r="J2017" i="35" s="1"/>
  <c r="B2017" i="35"/>
  <c r="I2017" i="35" s="1"/>
  <c r="I2016" i="35"/>
  <c r="F2016" i="35"/>
  <c r="J2016" i="35" s="1"/>
  <c r="H2016" i="35" s="1"/>
  <c r="F2015" i="35"/>
  <c r="J2015" i="35" s="1"/>
  <c r="H2015" i="35" s="1"/>
  <c r="B2015" i="35"/>
  <c r="I2015" i="35" s="1"/>
  <c r="I2014" i="35"/>
  <c r="H2014" i="35" s="1"/>
  <c r="F2014" i="35"/>
  <c r="J2014" i="35" s="1"/>
  <c r="B2014" i="35"/>
  <c r="J2013" i="35"/>
  <c r="I2013" i="35"/>
  <c r="H2013" i="35" s="1"/>
  <c r="F2013" i="35"/>
  <c r="J2012" i="35"/>
  <c r="I2012" i="35"/>
  <c r="F2012" i="35"/>
  <c r="J2011" i="35"/>
  <c r="F2011" i="35"/>
  <c r="B2011" i="35"/>
  <c r="I2011" i="35" s="1"/>
  <c r="F2010" i="35"/>
  <c r="J2010" i="35" s="1"/>
  <c r="B2010" i="35"/>
  <c r="I2010" i="35" s="1"/>
  <c r="H2009" i="35"/>
  <c r="F2009" i="35"/>
  <c r="J2009" i="35" s="1"/>
  <c r="B2009" i="35"/>
  <c r="I2009" i="35" s="1"/>
  <c r="I2008" i="35"/>
  <c r="F2008" i="35"/>
  <c r="J2008" i="35" s="1"/>
  <c r="B2008" i="35"/>
  <c r="J2007" i="35"/>
  <c r="F2007" i="35"/>
  <c r="B2007" i="35"/>
  <c r="I2007" i="35" s="1"/>
  <c r="H2007" i="35" s="1"/>
  <c r="F2006" i="35"/>
  <c r="J2006" i="35" s="1"/>
  <c r="B2006" i="35"/>
  <c r="I2006" i="35" s="1"/>
  <c r="H2006" i="35" s="1"/>
  <c r="F2005" i="35"/>
  <c r="J2005" i="35" s="1"/>
  <c r="B2005" i="35"/>
  <c r="I2005" i="35" s="1"/>
  <c r="H2005" i="35" s="1"/>
  <c r="I2004" i="35"/>
  <c r="H2004" i="35" s="1"/>
  <c r="F2004" i="35"/>
  <c r="J2004" i="35" s="1"/>
  <c r="B2004" i="35"/>
  <c r="J2003" i="35"/>
  <c r="F2003" i="35"/>
  <c r="B2003" i="35"/>
  <c r="I2003" i="35" s="1"/>
  <c r="F2002" i="35"/>
  <c r="J2002" i="35" s="1"/>
  <c r="B2002" i="35"/>
  <c r="I2002" i="35" s="1"/>
  <c r="F2001" i="35"/>
  <c r="J2001" i="35" s="1"/>
  <c r="B2001" i="35"/>
  <c r="I2001" i="35" s="1"/>
  <c r="H2001" i="35" s="1"/>
  <c r="I2000" i="35"/>
  <c r="F2000" i="35"/>
  <c r="J2000" i="35" s="1"/>
  <c r="B2000" i="35"/>
  <c r="J1999" i="35"/>
  <c r="F1999" i="35"/>
  <c r="B1999" i="35"/>
  <c r="I1999" i="35" s="1"/>
  <c r="F1998" i="35"/>
  <c r="J1998" i="35" s="1"/>
  <c r="B1998" i="35"/>
  <c r="I1998" i="35" s="1"/>
  <c r="H1998" i="35" s="1"/>
  <c r="F1997" i="35"/>
  <c r="J1997" i="35" s="1"/>
  <c r="B1997" i="35"/>
  <c r="I1997" i="35" s="1"/>
  <c r="H1997" i="35" s="1"/>
  <c r="I1996" i="35"/>
  <c r="H1996" i="35" s="1"/>
  <c r="F1996" i="35"/>
  <c r="J1996" i="35" s="1"/>
  <c r="B1996" i="35"/>
  <c r="J1995" i="35"/>
  <c r="F1995" i="35"/>
  <c r="B1995" i="35"/>
  <c r="I1995" i="35" s="1"/>
  <c r="H1995" i="35" s="1"/>
  <c r="F1994" i="35"/>
  <c r="J1994" i="35" s="1"/>
  <c r="B1994" i="35"/>
  <c r="I1994" i="35" s="1"/>
  <c r="H1993" i="35"/>
  <c r="F1993" i="35"/>
  <c r="J1993" i="35" s="1"/>
  <c r="B1993" i="35"/>
  <c r="I1993" i="35" s="1"/>
  <c r="I1992" i="35"/>
  <c r="F1992" i="35"/>
  <c r="J1992" i="35" s="1"/>
  <c r="B1992" i="35"/>
  <c r="J1991" i="35"/>
  <c r="F1991" i="35"/>
  <c r="B1991" i="35"/>
  <c r="I1991" i="35" s="1"/>
  <c r="H1991" i="35" s="1"/>
  <c r="F1990" i="35"/>
  <c r="J1990" i="35" s="1"/>
  <c r="B1990" i="35"/>
  <c r="I1990" i="35" s="1"/>
  <c r="H1990" i="35" s="1"/>
  <c r="F1989" i="35"/>
  <c r="J1989" i="35" s="1"/>
  <c r="B1989" i="35"/>
  <c r="I1989" i="35" s="1"/>
  <c r="H1989" i="35" s="1"/>
  <c r="I1988" i="35"/>
  <c r="H1988" i="35" s="1"/>
  <c r="F1988" i="35"/>
  <c r="J1988" i="35" s="1"/>
  <c r="B1988" i="35"/>
  <c r="J1987" i="35"/>
  <c r="F1987" i="35"/>
  <c r="B1987" i="35"/>
  <c r="I1987" i="35" s="1"/>
  <c r="F1986" i="35"/>
  <c r="J1986" i="35" s="1"/>
  <c r="B1986" i="35"/>
  <c r="I1986" i="35" s="1"/>
  <c r="F1985" i="35"/>
  <c r="J1985" i="35" s="1"/>
  <c r="B1985" i="35"/>
  <c r="I1985" i="35" s="1"/>
  <c r="H1985" i="35" s="1"/>
  <c r="I1984" i="35"/>
  <c r="H1984" i="35" s="1"/>
  <c r="F1984" i="35"/>
  <c r="J1984" i="35" s="1"/>
  <c r="B1984" i="35"/>
  <c r="J1983" i="35"/>
  <c r="F1983" i="35"/>
  <c r="B1983" i="35"/>
  <c r="I1983" i="35" s="1"/>
  <c r="F1982" i="35"/>
  <c r="J1982" i="35" s="1"/>
  <c r="B1982" i="35"/>
  <c r="I1982" i="35" s="1"/>
  <c r="H1982" i="35" s="1"/>
  <c r="I1981" i="35"/>
  <c r="H1981" i="35"/>
  <c r="F1981" i="35"/>
  <c r="J1981" i="35" s="1"/>
  <c r="B1981" i="35"/>
  <c r="J1980" i="35"/>
  <c r="I1980" i="35"/>
  <c r="H1980" i="35" s="1"/>
  <c r="F1980" i="35"/>
  <c r="B1980" i="35"/>
  <c r="J1979" i="35"/>
  <c r="F1979" i="35"/>
  <c r="B1979" i="35"/>
  <c r="I1979" i="35" s="1"/>
  <c r="F1978" i="35"/>
  <c r="J1978" i="35" s="1"/>
  <c r="B1978" i="35"/>
  <c r="I1978" i="35" s="1"/>
  <c r="I1977" i="35"/>
  <c r="F1977" i="35"/>
  <c r="J1977" i="35" s="1"/>
  <c r="H1977" i="35" s="1"/>
  <c r="B1977" i="35"/>
  <c r="J1976" i="35"/>
  <c r="I1976" i="35"/>
  <c r="H1976" i="35" s="1"/>
  <c r="F1976" i="35"/>
  <c r="B1976" i="35"/>
  <c r="J1975" i="35"/>
  <c r="F1975" i="35"/>
  <c r="B1975" i="35"/>
  <c r="I1975" i="35" s="1"/>
  <c r="H1975" i="35" s="1"/>
  <c r="I1974" i="35"/>
  <c r="F1974" i="35"/>
  <c r="J1974" i="35" s="1"/>
  <c r="H1974" i="35" s="1"/>
  <c r="I1973" i="35"/>
  <c r="F1973" i="35"/>
  <c r="J1973" i="35" s="1"/>
  <c r="H1973" i="35" s="1"/>
  <c r="I1972" i="35"/>
  <c r="F1972" i="35"/>
  <c r="J1972" i="35" s="1"/>
  <c r="H1972" i="35" s="1"/>
  <c r="I1971" i="35"/>
  <c r="F1971" i="35"/>
  <c r="J1971" i="35" s="1"/>
  <c r="H1971" i="35" s="1"/>
  <c r="F1970" i="35"/>
  <c r="J1970" i="35" s="1"/>
  <c r="B1970" i="35"/>
  <c r="I1970" i="35" s="1"/>
  <c r="H1970" i="35" s="1"/>
  <c r="I1969" i="35"/>
  <c r="H1969" i="35"/>
  <c r="F1969" i="35"/>
  <c r="J1969" i="35" s="1"/>
  <c r="B1969" i="35"/>
  <c r="J1968" i="35"/>
  <c r="I1968" i="35"/>
  <c r="H1968" i="35" s="1"/>
  <c r="F1968" i="35"/>
  <c r="B1968" i="35"/>
  <c r="J1967" i="35"/>
  <c r="F1967" i="35"/>
  <c r="B1967" i="35"/>
  <c r="I1967" i="35" s="1"/>
  <c r="H1967" i="35" s="1"/>
  <c r="F1966" i="35"/>
  <c r="J1966" i="35" s="1"/>
  <c r="B1966" i="35"/>
  <c r="I1966" i="35" s="1"/>
  <c r="I1965" i="35"/>
  <c r="F1965" i="35"/>
  <c r="J1965" i="35" s="1"/>
  <c r="H1965" i="35" s="1"/>
  <c r="B1965" i="35"/>
  <c r="J1964" i="35"/>
  <c r="I1964" i="35"/>
  <c r="H1964" i="35" s="1"/>
  <c r="F1964" i="35"/>
  <c r="B1964" i="35"/>
  <c r="J1963" i="35"/>
  <c r="F1963" i="35"/>
  <c r="B1963" i="35"/>
  <c r="I1963" i="35" s="1"/>
  <c r="F1962" i="35"/>
  <c r="J1962" i="35" s="1"/>
  <c r="B1962" i="35"/>
  <c r="I1962" i="35" s="1"/>
  <c r="H1962" i="35" s="1"/>
  <c r="I1961" i="35"/>
  <c r="H1961" i="35"/>
  <c r="F1961" i="35"/>
  <c r="J1961" i="35" s="1"/>
  <c r="B1961" i="35"/>
  <c r="J1960" i="35"/>
  <c r="I1960" i="35"/>
  <c r="H1960" i="35" s="1"/>
  <c r="F1960" i="35"/>
  <c r="J1959" i="35"/>
  <c r="I1959" i="35"/>
  <c r="H1959" i="35" s="1"/>
  <c r="F1959" i="35"/>
  <c r="J1958" i="35"/>
  <c r="I1958" i="35"/>
  <c r="H1958" i="35" s="1"/>
  <c r="F1958" i="35"/>
  <c r="J1957" i="35"/>
  <c r="I1957" i="35"/>
  <c r="H1957" i="35" s="1"/>
  <c r="F1957" i="35"/>
  <c r="J1956" i="35"/>
  <c r="I1956" i="35"/>
  <c r="H1956" i="35" s="1"/>
  <c r="F1956" i="35"/>
  <c r="J1955" i="35"/>
  <c r="I1955" i="35"/>
  <c r="H1955" i="35" s="1"/>
  <c r="F1955" i="35"/>
  <c r="B1955" i="35"/>
  <c r="J1954" i="35"/>
  <c r="F1954" i="35"/>
  <c r="B1954" i="35"/>
  <c r="I1954" i="35" s="1"/>
  <c r="I1953" i="35"/>
  <c r="F1953" i="35"/>
  <c r="J1953" i="35" s="1"/>
  <c r="H1953" i="35" s="1"/>
  <c r="F1952" i="35"/>
  <c r="J1952" i="35" s="1"/>
  <c r="B1952" i="35"/>
  <c r="I1952" i="35" s="1"/>
  <c r="I1951" i="35"/>
  <c r="H1951" i="35"/>
  <c r="F1951" i="35"/>
  <c r="J1951" i="35" s="1"/>
  <c r="B1951" i="35"/>
  <c r="J1950" i="35"/>
  <c r="I1950" i="35"/>
  <c r="H1950" i="35" s="1"/>
  <c r="F1950" i="35"/>
  <c r="B1950" i="35"/>
  <c r="J1949" i="35"/>
  <c r="I1949" i="35"/>
  <c r="H1949" i="35" s="1"/>
  <c r="F1949" i="35"/>
  <c r="J1948" i="35"/>
  <c r="I1948" i="35"/>
  <c r="F1948" i="35"/>
  <c r="J1947" i="35"/>
  <c r="F1947" i="35"/>
  <c r="B1947" i="35"/>
  <c r="I1947" i="35" s="1"/>
  <c r="F1946" i="35"/>
  <c r="J1946" i="35" s="1"/>
  <c r="B1946" i="35"/>
  <c r="I1946" i="35" s="1"/>
  <c r="I1945" i="35"/>
  <c r="F1945" i="35"/>
  <c r="J1945" i="35" s="1"/>
  <c r="H1945" i="35" s="1"/>
  <c r="B1945" i="35"/>
  <c r="J1944" i="35"/>
  <c r="I1944" i="35"/>
  <c r="H1944" i="35" s="1"/>
  <c r="F1944" i="35"/>
  <c r="B1944" i="35"/>
  <c r="J1943" i="35"/>
  <c r="F1943" i="35"/>
  <c r="B1943" i="35"/>
  <c r="I1943" i="35" s="1"/>
  <c r="H1943" i="35" s="1"/>
  <c r="F1942" i="35"/>
  <c r="J1942" i="35" s="1"/>
  <c r="B1942" i="35"/>
  <c r="I1942" i="35" s="1"/>
  <c r="I1941" i="35"/>
  <c r="H1941" i="35"/>
  <c r="F1941" i="35"/>
  <c r="J1941" i="35" s="1"/>
  <c r="B1941" i="35"/>
  <c r="J1940" i="35"/>
  <c r="I1940" i="35"/>
  <c r="H1940" i="35" s="1"/>
  <c r="F1940" i="35"/>
  <c r="B1940" i="35"/>
  <c r="J1939" i="35"/>
  <c r="F1939" i="35"/>
  <c r="B1939" i="35"/>
  <c r="I1939" i="35" s="1"/>
  <c r="H1939" i="35" s="1"/>
  <c r="F1938" i="35"/>
  <c r="J1938" i="35" s="1"/>
  <c r="B1938" i="35"/>
  <c r="I1938" i="35" s="1"/>
  <c r="I1937" i="35"/>
  <c r="H1937" i="35"/>
  <c r="F1937" i="35"/>
  <c r="J1937" i="35" s="1"/>
  <c r="B1937" i="35"/>
  <c r="J1936" i="35"/>
  <c r="I1936" i="35"/>
  <c r="H1936" i="35" s="1"/>
  <c r="F1936" i="35"/>
  <c r="B1936" i="35"/>
  <c r="J1935" i="35"/>
  <c r="F1935" i="35"/>
  <c r="B1935" i="35"/>
  <c r="I1935" i="35" s="1"/>
  <c r="F1934" i="35"/>
  <c r="J1934" i="35" s="1"/>
  <c r="B1934" i="35"/>
  <c r="I1934" i="35" s="1"/>
  <c r="H1934" i="35" s="1"/>
  <c r="I1933" i="35"/>
  <c r="H1933" i="35"/>
  <c r="F1933" i="35"/>
  <c r="J1933" i="35" s="1"/>
  <c r="B1933" i="35"/>
  <c r="J1932" i="35"/>
  <c r="I1932" i="35"/>
  <c r="H1932" i="35" s="1"/>
  <c r="F1932" i="35"/>
  <c r="B1932" i="35"/>
  <c r="J1931" i="35"/>
  <c r="F1931" i="35"/>
  <c r="B1931" i="35"/>
  <c r="I1931" i="35" s="1"/>
  <c r="F1930" i="35"/>
  <c r="J1930" i="35" s="1"/>
  <c r="B1930" i="35"/>
  <c r="I1930" i="35" s="1"/>
  <c r="I1929" i="35"/>
  <c r="F1929" i="35"/>
  <c r="J1929" i="35" s="1"/>
  <c r="H1929" i="35" s="1"/>
  <c r="B1929" i="35"/>
  <c r="J1928" i="35"/>
  <c r="I1928" i="35"/>
  <c r="H1928" i="35" s="1"/>
  <c r="F1928" i="35"/>
  <c r="B1928" i="35"/>
  <c r="J1927" i="35"/>
  <c r="F1927" i="35"/>
  <c r="B1927" i="35"/>
  <c r="I1927" i="35" s="1"/>
  <c r="H1927" i="35" s="1"/>
  <c r="F1926" i="35"/>
  <c r="J1926" i="35" s="1"/>
  <c r="B1926" i="35"/>
  <c r="I1926" i="35" s="1"/>
  <c r="I1925" i="35"/>
  <c r="H1925" i="35"/>
  <c r="F1925" i="35"/>
  <c r="J1925" i="35" s="1"/>
  <c r="B1925" i="35"/>
  <c r="J1924" i="35"/>
  <c r="I1924" i="35"/>
  <c r="H1924" i="35" s="1"/>
  <c r="F1924" i="35"/>
  <c r="B1924" i="35"/>
  <c r="J1923" i="35"/>
  <c r="F1923" i="35"/>
  <c r="B1923" i="35"/>
  <c r="I1923" i="35" s="1"/>
  <c r="H1923" i="35" s="1"/>
  <c r="I1922" i="35"/>
  <c r="F1922" i="35"/>
  <c r="J1922" i="35" s="1"/>
  <c r="H1922" i="35" s="1"/>
  <c r="I1921" i="35"/>
  <c r="F1921" i="35"/>
  <c r="J1921" i="35" s="1"/>
  <c r="H1921" i="35" s="1"/>
  <c r="I1920" i="35"/>
  <c r="F1920" i="35"/>
  <c r="J1920" i="35" s="1"/>
  <c r="H1920" i="35" s="1"/>
  <c r="F1919" i="35"/>
  <c r="J1919" i="35" s="1"/>
  <c r="B1919" i="35"/>
  <c r="I1919" i="35" s="1"/>
  <c r="I1918" i="35"/>
  <c r="F1918" i="35"/>
  <c r="J1918" i="35" s="1"/>
  <c r="H1918" i="35" s="1"/>
  <c r="B1918" i="35"/>
  <c r="J1917" i="35"/>
  <c r="I1917" i="35"/>
  <c r="H1917" i="35" s="1"/>
  <c r="F1917" i="35"/>
  <c r="B1917" i="35"/>
  <c r="J1916" i="35"/>
  <c r="F1916" i="35"/>
  <c r="B1916" i="35"/>
  <c r="I1916" i="35" s="1"/>
  <c r="H1916" i="35" s="1"/>
  <c r="F1915" i="35"/>
  <c r="J1915" i="35" s="1"/>
  <c r="B1915" i="35"/>
  <c r="I1915" i="35" s="1"/>
  <c r="I1914" i="35"/>
  <c r="H1914" i="35"/>
  <c r="F1914" i="35"/>
  <c r="J1914" i="35" s="1"/>
  <c r="B1914" i="35"/>
  <c r="J1913" i="35"/>
  <c r="I1913" i="35"/>
  <c r="H1913" i="35" s="1"/>
  <c r="F1913" i="35"/>
  <c r="B1913" i="35"/>
  <c r="J1912" i="35"/>
  <c r="F1912" i="35"/>
  <c r="B1912" i="35"/>
  <c r="I1912" i="35" s="1"/>
  <c r="H1912" i="35" s="1"/>
  <c r="F1911" i="35"/>
  <c r="J1911" i="35" s="1"/>
  <c r="B1911" i="35"/>
  <c r="I1911" i="35" s="1"/>
  <c r="I1910" i="35"/>
  <c r="H1910" i="35"/>
  <c r="F1910" i="35"/>
  <c r="J1910" i="35" s="1"/>
  <c r="B1910" i="35"/>
  <c r="J1909" i="35"/>
  <c r="I1909" i="35"/>
  <c r="H1909" i="35" s="1"/>
  <c r="F1909" i="35"/>
  <c r="B1909" i="35"/>
  <c r="J1908" i="35"/>
  <c r="F1908" i="35"/>
  <c r="B1908" i="35"/>
  <c r="I1908" i="35" s="1"/>
  <c r="F1907" i="35"/>
  <c r="J1907" i="35" s="1"/>
  <c r="B1907" i="35"/>
  <c r="I1907" i="35" s="1"/>
  <c r="H1907" i="35" s="1"/>
  <c r="I1906" i="35"/>
  <c r="F1906" i="35"/>
  <c r="J1906" i="35" s="1"/>
  <c r="H1906" i="35" s="1"/>
  <c r="B1906" i="35"/>
  <c r="J1905" i="35"/>
  <c r="I1905" i="35"/>
  <c r="H1905" i="35" s="1"/>
  <c r="F1905" i="35"/>
  <c r="B1905" i="35"/>
  <c r="J1904" i="35"/>
  <c r="F1904" i="35"/>
  <c r="B1904" i="35"/>
  <c r="I1904" i="35" s="1"/>
  <c r="F1903" i="35"/>
  <c r="J1903" i="35" s="1"/>
  <c r="B1903" i="35"/>
  <c r="I1903" i="35" s="1"/>
  <c r="I1902" i="35"/>
  <c r="F1902" i="35"/>
  <c r="J1902" i="35" s="1"/>
  <c r="H1902" i="35" s="1"/>
  <c r="B1902" i="35"/>
  <c r="J1901" i="35"/>
  <c r="I1901" i="35"/>
  <c r="H1901" i="35" s="1"/>
  <c r="F1901" i="35"/>
  <c r="B1901" i="35"/>
  <c r="J1900" i="35"/>
  <c r="F1900" i="35"/>
  <c r="B1900" i="35"/>
  <c r="I1900" i="35" s="1"/>
  <c r="H1900" i="35" s="1"/>
  <c r="F1899" i="35"/>
  <c r="J1899" i="35" s="1"/>
  <c r="B1899" i="35"/>
  <c r="I1899" i="35" s="1"/>
  <c r="I1898" i="35"/>
  <c r="H1898" i="35"/>
  <c r="F1898" i="35"/>
  <c r="J1898" i="35" s="1"/>
  <c r="B1898" i="35"/>
  <c r="J1897" i="35"/>
  <c r="I1897" i="35"/>
  <c r="H1897" i="35" s="1"/>
  <c r="F1897" i="35"/>
  <c r="B1897" i="35"/>
  <c r="J1896" i="35"/>
  <c r="F1896" i="35"/>
  <c r="B1896" i="35"/>
  <c r="I1896" i="35" s="1"/>
  <c r="H1896" i="35" s="1"/>
  <c r="F1895" i="35"/>
  <c r="J1895" i="35" s="1"/>
  <c r="B1895" i="35"/>
  <c r="I1895" i="35" s="1"/>
  <c r="I1894" i="35"/>
  <c r="H1894" i="35"/>
  <c r="F1894" i="35"/>
  <c r="J1894" i="35" s="1"/>
  <c r="B1894" i="35"/>
  <c r="J1893" i="35"/>
  <c r="I1893" i="35"/>
  <c r="H1893" i="35" s="1"/>
  <c r="F1893" i="35"/>
  <c r="B1893" i="35"/>
  <c r="J1892" i="35"/>
  <c r="F1892" i="35"/>
  <c r="B1892" i="35"/>
  <c r="I1892" i="35" s="1"/>
  <c r="F1891" i="35"/>
  <c r="J1891" i="35" s="1"/>
  <c r="B1891" i="35"/>
  <c r="I1891" i="35" s="1"/>
  <c r="H1891" i="35" s="1"/>
  <c r="I1890" i="35"/>
  <c r="H1890" i="35"/>
  <c r="F1890" i="35"/>
  <c r="J1890" i="35" s="1"/>
  <c r="B1890" i="35"/>
  <c r="J1889" i="35"/>
  <c r="I1889" i="35"/>
  <c r="H1889" i="35" s="1"/>
  <c r="F1889" i="35"/>
  <c r="B1889" i="35"/>
  <c r="J1888" i="35"/>
  <c r="F1888" i="35"/>
  <c r="B1888" i="35"/>
  <c r="I1888" i="35" s="1"/>
  <c r="F1887" i="35"/>
  <c r="J1887" i="35" s="1"/>
  <c r="B1887" i="35"/>
  <c r="I1887" i="35" s="1"/>
  <c r="I1886" i="35"/>
  <c r="F1886" i="35"/>
  <c r="J1886" i="35" s="1"/>
  <c r="H1886" i="35" s="1"/>
  <c r="B1886" i="35"/>
  <c r="J1885" i="35"/>
  <c r="I1885" i="35"/>
  <c r="H1885" i="35" s="1"/>
  <c r="F1885" i="35"/>
  <c r="B1885" i="35"/>
  <c r="J1884" i="35"/>
  <c r="F1884" i="35"/>
  <c r="B1884" i="35"/>
  <c r="I1884" i="35" s="1"/>
  <c r="H1884" i="35" s="1"/>
  <c r="F1883" i="35"/>
  <c r="J1883" i="35" s="1"/>
  <c r="B1883" i="35"/>
  <c r="I1883" i="35" s="1"/>
  <c r="I1882" i="35"/>
  <c r="H1882" i="35"/>
  <c r="F1882" i="35"/>
  <c r="J1882" i="35" s="1"/>
  <c r="B1882" i="35"/>
  <c r="J1881" i="35"/>
  <c r="I1881" i="35"/>
  <c r="H1881" i="35" s="1"/>
  <c r="F1881" i="35"/>
  <c r="J1880" i="35"/>
  <c r="I1880" i="35"/>
  <c r="H1880" i="35" s="1"/>
  <c r="F1880" i="35"/>
  <c r="J1879" i="35"/>
  <c r="I1879" i="35"/>
  <c r="H1879" i="35" s="1"/>
  <c r="F1879" i="35"/>
  <c r="J1878" i="35"/>
  <c r="I1878" i="35"/>
  <c r="H1878" i="35" s="1"/>
  <c r="F1878" i="35"/>
  <c r="J1877" i="35"/>
  <c r="I1877" i="35"/>
  <c r="H1877" i="35" s="1"/>
  <c r="F1877" i="35"/>
  <c r="B1877" i="35"/>
  <c r="J1876" i="35"/>
  <c r="F1876" i="35"/>
  <c r="B1876" i="35"/>
  <c r="I1876" i="35" s="1"/>
  <c r="H1876" i="35" s="1"/>
  <c r="F1875" i="35"/>
  <c r="J1875" i="35" s="1"/>
  <c r="B1875" i="35"/>
  <c r="I1875" i="35" s="1"/>
  <c r="I1874" i="35"/>
  <c r="H1874" i="35"/>
  <c r="F1874" i="35"/>
  <c r="J1874" i="35" s="1"/>
  <c r="B1874" i="35"/>
  <c r="J1873" i="35"/>
  <c r="I1873" i="35"/>
  <c r="H1873" i="35" s="1"/>
  <c r="F1873" i="35"/>
  <c r="B1873" i="35"/>
  <c r="J1872" i="35"/>
  <c r="F1872" i="35"/>
  <c r="B1872" i="35"/>
  <c r="I1872" i="35" s="1"/>
  <c r="F1871" i="35"/>
  <c r="J1871" i="35" s="1"/>
  <c r="B1871" i="35"/>
  <c r="I1871" i="35" s="1"/>
  <c r="H1871" i="35" s="1"/>
  <c r="I1870" i="35"/>
  <c r="H1870" i="35"/>
  <c r="F1870" i="35"/>
  <c r="J1870" i="35" s="1"/>
  <c r="B1870" i="35"/>
  <c r="J1869" i="35"/>
  <c r="I1869" i="35"/>
  <c r="H1869" i="35" s="1"/>
  <c r="F1869" i="35"/>
  <c r="B1869" i="35"/>
  <c r="J1868" i="35"/>
  <c r="F1868" i="35"/>
  <c r="B1868" i="35"/>
  <c r="I1868" i="35" s="1"/>
  <c r="F1867" i="35"/>
  <c r="J1867" i="35" s="1"/>
  <c r="B1867" i="35"/>
  <c r="I1867" i="35" s="1"/>
  <c r="H1867" i="35" s="1"/>
  <c r="I1866" i="35"/>
  <c r="F1866" i="35"/>
  <c r="J1866" i="35" s="1"/>
  <c r="H1866" i="35" s="1"/>
  <c r="B1866" i="35"/>
  <c r="J1865" i="35"/>
  <c r="I1865" i="35"/>
  <c r="H1865" i="35" s="1"/>
  <c r="F1865" i="35"/>
  <c r="B1865" i="35"/>
  <c r="J1864" i="35"/>
  <c r="F1864" i="35"/>
  <c r="B1864" i="35"/>
  <c r="I1864" i="35" s="1"/>
  <c r="H1864" i="35" s="1"/>
  <c r="F1863" i="35"/>
  <c r="J1863" i="35" s="1"/>
  <c r="B1863" i="35"/>
  <c r="I1863" i="35" s="1"/>
  <c r="I1862" i="35"/>
  <c r="H1862" i="35"/>
  <c r="F1862" i="35"/>
  <c r="J1862" i="35" s="1"/>
  <c r="B1862" i="35"/>
  <c r="J1861" i="35"/>
  <c r="I1861" i="35"/>
  <c r="H1861" i="35" s="1"/>
  <c r="F1861" i="35"/>
  <c r="B1861" i="35"/>
  <c r="J1860" i="35"/>
  <c r="F1860" i="35"/>
  <c r="B1860" i="35"/>
  <c r="I1860" i="35" s="1"/>
  <c r="H1860" i="35" s="1"/>
  <c r="F1859" i="35"/>
  <c r="J1859" i="35" s="1"/>
  <c r="B1859" i="35"/>
  <c r="I1859" i="35" s="1"/>
  <c r="H1859" i="35" s="1"/>
  <c r="I1858" i="35"/>
  <c r="H1858" i="35"/>
  <c r="F1858" i="35"/>
  <c r="J1858" i="35" s="1"/>
  <c r="B1858" i="35"/>
  <c r="J1857" i="35"/>
  <c r="I1857" i="35"/>
  <c r="H1857" i="35" s="1"/>
  <c r="F1857" i="35"/>
  <c r="B1857" i="35"/>
  <c r="J1856" i="35"/>
  <c r="F1856" i="35"/>
  <c r="B1856" i="35"/>
  <c r="I1856" i="35" s="1"/>
  <c r="F1855" i="35"/>
  <c r="J1855" i="35" s="1"/>
  <c r="B1855" i="35"/>
  <c r="I1855" i="35" s="1"/>
  <c r="H1855" i="35" s="1"/>
  <c r="I1854" i="35"/>
  <c r="F1854" i="35"/>
  <c r="J1854" i="35" s="1"/>
  <c r="H1854" i="35" s="1"/>
  <c r="B1854" i="35"/>
  <c r="J1853" i="35"/>
  <c r="I1853" i="35"/>
  <c r="H1853" i="35" s="1"/>
  <c r="F1853" i="35"/>
  <c r="B1853" i="35"/>
  <c r="J1852" i="35"/>
  <c r="F1852" i="35"/>
  <c r="B1852" i="35"/>
  <c r="I1852" i="35" s="1"/>
  <c r="I1851" i="35"/>
  <c r="F1851" i="35"/>
  <c r="J1851" i="35" s="1"/>
  <c r="H1851" i="35" s="1"/>
  <c r="I1850" i="35"/>
  <c r="F1850" i="35"/>
  <c r="J1850" i="35" s="1"/>
  <c r="H1850" i="35" s="1"/>
  <c r="I1849" i="35"/>
  <c r="F1849" i="35"/>
  <c r="J1849" i="35" s="1"/>
  <c r="H1849" i="35" s="1"/>
  <c r="F1848" i="35"/>
  <c r="J1848" i="35" s="1"/>
  <c r="B1848" i="35"/>
  <c r="I1848" i="35" s="1"/>
  <c r="H1848" i="35" s="1"/>
  <c r="I1847" i="35"/>
  <c r="H1847" i="35"/>
  <c r="F1847" i="35"/>
  <c r="J1847" i="35" s="1"/>
  <c r="B1847" i="35"/>
  <c r="J1846" i="35"/>
  <c r="I1846" i="35"/>
  <c r="H1846" i="35" s="1"/>
  <c r="F1846" i="35"/>
  <c r="B1846" i="35"/>
  <c r="J1845" i="35"/>
  <c r="F1845" i="35"/>
  <c r="B1845" i="35"/>
  <c r="I1845" i="35" s="1"/>
  <c r="F1844" i="35"/>
  <c r="J1844" i="35" s="1"/>
  <c r="B1844" i="35"/>
  <c r="I1844" i="35" s="1"/>
  <c r="H1844" i="35" s="1"/>
  <c r="I1843" i="35"/>
  <c r="F1843" i="35"/>
  <c r="J1843" i="35" s="1"/>
  <c r="H1843" i="35" s="1"/>
  <c r="B1843" i="35"/>
  <c r="J1842" i="35"/>
  <c r="I1842" i="35"/>
  <c r="H1842" i="35" s="1"/>
  <c r="F1842" i="35"/>
  <c r="B1842" i="35"/>
  <c r="J1841" i="35"/>
  <c r="F1841" i="35"/>
  <c r="B1841" i="35"/>
  <c r="I1841" i="35" s="1"/>
  <c r="F1840" i="35"/>
  <c r="J1840" i="35" s="1"/>
  <c r="B1840" i="35"/>
  <c r="I1840" i="35" s="1"/>
  <c r="I1839" i="35"/>
  <c r="F1839" i="35"/>
  <c r="J1839" i="35" s="1"/>
  <c r="H1839" i="35" s="1"/>
  <c r="B1839" i="35"/>
  <c r="J1838" i="35"/>
  <c r="I1838" i="35"/>
  <c r="H1838" i="35" s="1"/>
  <c r="F1838" i="35"/>
  <c r="B1838" i="35"/>
  <c r="J1837" i="35"/>
  <c r="F1837" i="35"/>
  <c r="B1837" i="35"/>
  <c r="I1837" i="35" s="1"/>
  <c r="H1837" i="35" s="1"/>
  <c r="F1836" i="35"/>
  <c r="J1836" i="35" s="1"/>
  <c r="B1836" i="35"/>
  <c r="I1836" i="35" s="1"/>
  <c r="I1835" i="35"/>
  <c r="H1835" i="35"/>
  <c r="F1835" i="35"/>
  <c r="J1835" i="35" s="1"/>
  <c r="B1835" i="35"/>
  <c r="J1834" i="35"/>
  <c r="I1834" i="35"/>
  <c r="H1834" i="35" s="1"/>
  <c r="F1834" i="35"/>
  <c r="B1834" i="35"/>
  <c r="J1833" i="35"/>
  <c r="F1833" i="35"/>
  <c r="B1833" i="35"/>
  <c r="I1833" i="35" s="1"/>
  <c r="H1833" i="35" s="1"/>
  <c r="F1832" i="35"/>
  <c r="J1832" i="35" s="1"/>
  <c r="B1832" i="35"/>
  <c r="I1832" i="35" s="1"/>
  <c r="H1832" i="35" s="1"/>
  <c r="I1831" i="35"/>
  <c r="H1831" i="35"/>
  <c r="F1831" i="35"/>
  <c r="J1831" i="35" s="1"/>
  <c r="B1831" i="35"/>
  <c r="J1830" i="35"/>
  <c r="I1830" i="35"/>
  <c r="H1830" i="35" s="1"/>
  <c r="F1830" i="35"/>
  <c r="B1830" i="35"/>
  <c r="J1829" i="35"/>
  <c r="F1829" i="35"/>
  <c r="B1829" i="35"/>
  <c r="I1829" i="35" s="1"/>
  <c r="F1828" i="35"/>
  <c r="J1828" i="35" s="1"/>
  <c r="B1828" i="35"/>
  <c r="I1828" i="35" s="1"/>
  <c r="H1828" i="35" s="1"/>
  <c r="I1827" i="35"/>
  <c r="F1827" i="35"/>
  <c r="J1827" i="35" s="1"/>
  <c r="H1827" i="35" s="1"/>
  <c r="B1827" i="35"/>
  <c r="J1826" i="35"/>
  <c r="F1826" i="35"/>
  <c r="B1826" i="35"/>
  <c r="I1826" i="35" s="1"/>
  <c r="H1826" i="35" s="1"/>
  <c r="J1825" i="35"/>
  <c r="F1825" i="35"/>
  <c r="B1825" i="35"/>
  <c r="I1825" i="35" s="1"/>
  <c r="F1824" i="35"/>
  <c r="J1824" i="35" s="1"/>
  <c r="H1824" i="35" s="1"/>
  <c r="B1824" i="35"/>
  <c r="I1824" i="35" s="1"/>
  <c r="I1823" i="35"/>
  <c r="F1823" i="35"/>
  <c r="J1823" i="35" s="1"/>
  <c r="H1823" i="35" s="1"/>
  <c r="B1823" i="35"/>
  <c r="J1822" i="35"/>
  <c r="I1822" i="35"/>
  <c r="H1822" i="35" s="1"/>
  <c r="F1822" i="35"/>
  <c r="B1822" i="35"/>
  <c r="F1821" i="35"/>
  <c r="J1821" i="35" s="1"/>
  <c r="B1821" i="35"/>
  <c r="I1821" i="35" s="1"/>
  <c r="I1820" i="35"/>
  <c r="F1820" i="35"/>
  <c r="J1820" i="35" s="1"/>
  <c r="H1820" i="35" s="1"/>
  <c r="I1819" i="35"/>
  <c r="F1819" i="35"/>
  <c r="J1819" i="35" s="1"/>
  <c r="H1819" i="35" s="1"/>
  <c r="H1818" i="35"/>
  <c r="F1818" i="35"/>
  <c r="J1818" i="35" s="1"/>
  <c r="B1818" i="35"/>
  <c r="I1818" i="35" s="1"/>
  <c r="I1817" i="35"/>
  <c r="H1817" i="35"/>
  <c r="F1817" i="35"/>
  <c r="J1817" i="35" s="1"/>
  <c r="B1817" i="35"/>
  <c r="J1816" i="35"/>
  <c r="I1816" i="35"/>
  <c r="H1816" i="35" s="1"/>
  <c r="F1816" i="35"/>
  <c r="B1816" i="35"/>
  <c r="F1815" i="35"/>
  <c r="J1815" i="35" s="1"/>
  <c r="B1815" i="35"/>
  <c r="I1815" i="35" s="1"/>
  <c r="H1815" i="35" s="1"/>
  <c r="F1814" i="35"/>
  <c r="J1814" i="35" s="1"/>
  <c r="B1814" i="35"/>
  <c r="I1814" i="35" s="1"/>
  <c r="H1814" i="35" s="1"/>
  <c r="I1813" i="35"/>
  <c r="H1813" i="35" s="1"/>
  <c r="F1813" i="35"/>
  <c r="J1813" i="35" s="1"/>
  <c r="B1813" i="35"/>
  <c r="J1812" i="35"/>
  <c r="F1812" i="35"/>
  <c r="B1812" i="35"/>
  <c r="I1812" i="35" s="1"/>
  <c r="H1812" i="35" s="1"/>
  <c r="J1811" i="35"/>
  <c r="I1811" i="35"/>
  <c r="F1811" i="35"/>
  <c r="J1810" i="35"/>
  <c r="F1810" i="35"/>
  <c r="B1810" i="35"/>
  <c r="I1810" i="35" s="1"/>
  <c r="F1809" i="35"/>
  <c r="J1809" i="35" s="1"/>
  <c r="B1809" i="35"/>
  <c r="I1809" i="35" s="1"/>
  <c r="H1809" i="35" s="1"/>
  <c r="I1808" i="35"/>
  <c r="F1808" i="35"/>
  <c r="J1808" i="35" s="1"/>
  <c r="H1808" i="35" s="1"/>
  <c r="B1808" i="35"/>
  <c r="J1807" i="35"/>
  <c r="F1807" i="35"/>
  <c r="B1807" i="35"/>
  <c r="I1807" i="35" s="1"/>
  <c r="H1807" i="35" s="1"/>
  <c r="F1806" i="35"/>
  <c r="J1806" i="35" s="1"/>
  <c r="B1806" i="35"/>
  <c r="I1806" i="35" s="1"/>
  <c r="H1806" i="35" s="1"/>
  <c r="J1805" i="35"/>
  <c r="F1805" i="35"/>
  <c r="B1805" i="35"/>
  <c r="I1805" i="35" s="1"/>
  <c r="I1804" i="35"/>
  <c r="H1804" i="35" s="1"/>
  <c r="F1804" i="35"/>
  <c r="J1804" i="35" s="1"/>
  <c r="B1804" i="35"/>
  <c r="J1803" i="35"/>
  <c r="F1803" i="35"/>
  <c r="B1803" i="35"/>
  <c r="I1803" i="35" s="1"/>
  <c r="H1803" i="35" s="1"/>
  <c r="F1802" i="35"/>
  <c r="J1802" i="35" s="1"/>
  <c r="B1802" i="35"/>
  <c r="I1802" i="35" s="1"/>
  <c r="F1801" i="35"/>
  <c r="J1801" i="35" s="1"/>
  <c r="B1801" i="35"/>
  <c r="I1801" i="35" s="1"/>
  <c r="I1800" i="35"/>
  <c r="F1800" i="35"/>
  <c r="J1800" i="35" s="1"/>
  <c r="H1800" i="35" s="1"/>
  <c r="B1800" i="35"/>
  <c r="J1799" i="35"/>
  <c r="I1799" i="35"/>
  <c r="H1799" i="35"/>
  <c r="F1799" i="35"/>
  <c r="B1799" i="35"/>
  <c r="I1798" i="35"/>
  <c r="H1798" i="35" s="1"/>
  <c r="F1798" i="35"/>
  <c r="J1798" i="35" s="1"/>
  <c r="B1798" i="35"/>
  <c r="H1797" i="35"/>
  <c r="F1797" i="35"/>
  <c r="J1797" i="35" s="1"/>
  <c r="B1797" i="35"/>
  <c r="I1797" i="35" s="1"/>
  <c r="I1796" i="35"/>
  <c r="H1796" i="35"/>
  <c r="F1796" i="35"/>
  <c r="J1796" i="35" s="1"/>
  <c r="B1796" i="35"/>
  <c r="J1795" i="35"/>
  <c r="I1795" i="35"/>
  <c r="H1795" i="35" s="1"/>
  <c r="F1795" i="35"/>
  <c r="B1795" i="35"/>
  <c r="J1794" i="35"/>
  <c r="I1794" i="35"/>
  <c r="F1794" i="35"/>
  <c r="B1794" i="35"/>
  <c r="J1793" i="35"/>
  <c r="H1793" i="35" s="1"/>
  <c r="I1793" i="35"/>
  <c r="F1793" i="35"/>
  <c r="J1792" i="35"/>
  <c r="H1792" i="35" s="1"/>
  <c r="F1792" i="35"/>
  <c r="B1792" i="35"/>
  <c r="I1792" i="35" s="1"/>
  <c r="I1791" i="35"/>
  <c r="H1791" i="35" s="1"/>
  <c r="F1791" i="35"/>
  <c r="J1791" i="35" s="1"/>
  <c r="B1791" i="35"/>
  <c r="J1790" i="35"/>
  <c r="I1790" i="35"/>
  <c r="F1790" i="35"/>
  <c r="B1790" i="35"/>
  <c r="J1789" i="35"/>
  <c r="F1789" i="35"/>
  <c r="B1789" i="35"/>
  <c r="I1789" i="35" s="1"/>
  <c r="J1788" i="35"/>
  <c r="F1788" i="35"/>
  <c r="B1788" i="35"/>
  <c r="I1788" i="35" s="1"/>
  <c r="H1788" i="35" s="1"/>
  <c r="I1787" i="35"/>
  <c r="H1787" i="35" s="1"/>
  <c r="F1787" i="35"/>
  <c r="J1787" i="35" s="1"/>
  <c r="B1787" i="35"/>
  <c r="J1786" i="35"/>
  <c r="F1786" i="35"/>
  <c r="B1786" i="35"/>
  <c r="I1786" i="35" s="1"/>
  <c r="F1785" i="35"/>
  <c r="J1785" i="35" s="1"/>
  <c r="B1785" i="35"/>
  <c r="I1785" i="35" s="1"/>
  <c r="F1784" i="35"/>
  <c r="J1784" i="35" s="1"/>
  <c r="B1784" i="35"/>
  <c r="I1784" i="35" s="1"/>
  <c r="I1783" i="35"/>
  <c r="F1783" i="35"/>
  <c r="J1783" i="35" s="1"/>
  <c r="H1783" i="35" s="1"/>
  <c r="B1783" i="35"/>
  <c r="J1782" i="35"/>
  <c r="I1782" i="35"/>
  <c r="H1782" i="35"/>
  <c r="F1782" i="35"/>
  <c r="B1782" i="35"/>
  <c r="I1781" i="35"/>
  <c r="H1781" i="35" s="1"/>
  <c r="F1781" i="35"/>
  <c r="J1781" i="35" s="1"/>
  <c r="B1781" i="35"/>
  <c r="F1780" i="35"/>
  <c r="J1780" i="35" s="1"/>
  <c r="H1780" i="35" s="1"/>
  <c r="B1780" i="35"/>
  <c r="I1780" i="35" s="1"/>
  <c r="I1779" i="35"/>
  <c r="F1779" i="35"/>
  <c r="J1779" i="35" s="1"/>
  <c r="H1779" i="35" s="1"/>
  <c r="B1779" i="35"/>
  <c r="J1778" i="35"/>
  <c r="I1778" i="35"/>
  <c r="H1778" i="35"/>
  <c r="F1778" i="35"/>
  <c r="B1778" i="35"/>
  <c r="J1777" i="35"/>
  <c r="I1777" i="35"/>
  <c r="H1777" i="35" s="1"/>
  <c r="F1777" i="35"/>
  <c r="B1777" i="35"/>
  <c r="J1776" i="35"/>
  <c r="H1776" i="35"/>
  <c r="F1776" i="35"/>
  <c r="B1776" i="35"/>
  <c r="I1776" i="35" s="1"/>
  <c r="I1775" i="35"/>
  <c r="H1775" i="35"/>
  <c r="F1775" i="35"/>
  <c r="J1775" i="35" s="1"/>
  <c r="B1775" i="35"/>
  <c r="J1774" i="35"/>
  <c r="I1774" i="35"/>
  <c r="H1774" i="35" s="1"/>
  <c r="F1774" i="35"/>
  <c r="B1774" i="35"/>
  <c r="J1773" i="35"/>
  <c r="I1773" i="35"/>
  <c r="F1773" i="35"/>
  <c r="J1772" i="35"/>
  <c r="I1772" i="35"/>
  <c r="F1772" i="35"/>
  <c r="I1771" i="35"/>
  <c r="H1771" i="35" s="1"/>
  <c r="F1771" i="35"/>
  <c r="J1771" i="35" s="1"/>
  <c r="B1771" i="35"/>
  <c r="H1770" i="35"/>
  <c r="F1770" i="35"/>
  <c r="J1770" i="35" s="1"/>
  <c r="B1770" i="35"/>
  <c r="I1770" i="35" s="1"/>
  <c r="I1769" i="35"/>
  <c r="H1769" i="35"/>
  <c r="F1769" i="35"/>
  <c r="J1769" i="35" s="1"/>
  <c r="B1769" i="35"/>
  <c r="J1768" i="35"/>
  <c r="I1768" i="35"/>
  <c r="H1768" i="35" s="1"/>
  <c r="F1768" i="35"/>
  <c r="B1768" i="35"/>
  <c r="J1767" i="35"/>
  <c r="I1767" i="35"/>
  <c r="F1767" i="35"/>
  <c r="B1767" i="35"/>
  <c r="J1766" i="35"/>
  <c r="H1766" i="35" s="1"/>
  <c r="F1766" i="35"/>
  <c r="B1766" i="35"/>
  <c r="I1766" i="35" s="1"/>
  <c r="I1765" i="35"/>
  <c r="H1765" i="35" s="1"/>
  <c r="F1765" i="35"/>
  <c r="J1765" i="35" s="1"/>
  <c r="B1765" i="35"/>
  <c r="J1764" i="35"/>
  <c r="I1764" i="35"/>
  <c r="F1764" i="35"/>
  <c r="B1764" i="35"/>
  <c r="J1763" i="35"/>
  <c r="F1763" i="35"/>
  <c r="B1763" i="35"/>
  <c r="I1763" i="35" s="1"/>
  <c r="J1762" i="35"/>
  <c r="F1762" i="35"/>
  <c r="B1762" i="35"/>
  <c r="I1762" i="35" s="1"/>
  <c r="H1762" i="35" s="1"/>
  <c r="I1761" i="35"/>
  <c r="H1761" i="35" s="1"/>
  <c r="F1761" i="35"/>
  <c r="J1761" i="35" s="1"/>
  <c r="B1761" i="35"/>
  <c r="J1760" i="35"/>
  <c r="F1760" i="35"/>
  <c r="B1760" i="35"/>
  <c r="I1760" i="35" s="1"/>
  <c r="F1759" i="35"/>
  <c r="J1759" i="35" s="1"/>
  <c r="B1759" i="35"/>
  <c r="I1759" i="35" s="1"/>
  <c r="F1758" i="35"/>
  <c r="J1758" i="35" s="1"/>
  <c r="B1758" i="35"/>
  <c r="I1758" i="35" s="1"/>
  <c r="I1757" i="35"/>
  <c r="F1757" i="35"/>
  <c r="J1757" i="35" s="1"/>
  <c r="H1757" i="35" s="1"/>
  <c r="B1757" i="35"/>
  <c r="J1756" i="35"/>
  <c r="I1756" i="35"/>
  <c r="H1756" i="35"/>
  <c r="F1756" i="35"/>
  <c r="B1756" i="35"/>
  <c r="I1755" i="35"/>
  <c r="H1755" i="35" s="1"/>
  <c r="F1755" i="35"/>
  <c r="J1755" i="35" s="1"/>
  <c r="B1755" i="35"/>
  <c r="F1754" i="35"/>
  <c r="J1754" i="35" s="1"/>
  <c r="H1754" i="35" s="1"/>
  <c r="B1754" i="35"/>
  <c r="I1754" i="35" s="1"/>
  <c r="I1753" i="35"/>
  <c r="F1753" i="35"/>
  <c r="J1753" i="35" s="1"/>
  <c r="H1753" i="35" s="1"/>
  <c r="B1753" i="35"/>
  <c r="J1752" i="35"/>
  <c r="I1752" i="35"/>
  <c r="H1752" i="35"/>
  <c r="F1752" i="35"/>
  <c r="B1752" i="35"/>
  <c r="J1751" i="35"/>
  <c r="I1751" i="35"/>
  <c r="H1751" i="35" s="1"/>
  <c r="F1751" i="35"/>
  <c r="B1751" i="35"/>
  <c r="J1750" i="35"/>
  <c r="H1750" i="35"/>
  <c r="F1750" i="35"/>
  <c r="B1750" i="35"/>
  <c r="I1750" i="35" s="1"/>
  <c r="I1749" i="35"/>
  <c r="H1749" i="35"/>
  <c r="F1749" i="35"/>
  <c r="J1749" i="35" s="1"/>
  <c r="B1749" i="35"/>
  <c r="J1748" i="35"/>
  <c r="I1748" i="35"/>
  <c r="H1748" i="35" s="1"/>
  <c r="F1748" i="35"/>
  <c r="B1748" i="35"/>
  <c r="J1747" i="35"/>
  <c r="F1747" i="35"/>
  <c r="B1747" i="35"/>
  <c r="I1747" i="35" s="1"/>
  <c r="H1747" i="35" s="1"/>
  <c r="J1746" i="35"/>
  <c r="F1746" i="35"/>
  <c r="B1746" i="35"/>
  <c r="I1746" i="35" s="1"/>
  <c r="H1746" i="35" s="1"/>
  <c r="I1745" i="35"/>
  <c r="H1745" i="35" s="1"/>
  <c r="F1745" i="35"/>
  <c r="J1745" i="35" s="1"/>
  <c r="B1745" i="35"/>
  <c r="J1744" i="35"/>
  <c r="F1744" i="35"/>
  <c r="B1744" i="35"/>
  <c r="I1744" i="35" s="1"/>
  <c r="F1743" i="35"/>
  <c r="J1743" i="35" s="1"/>
  <c r="B1743" i="35"/>
  <c r="I1743" i="35" s="1"/>
  <c r="H1743" i="35" s="1"/>
  <c r="I1742" i="35"/>
  <c r="F1742" i="35"/>
  <c r="J1742" i="35" s="1"/>
  <c r="H1742" i="35" s="1"/>
  <c r="B1742" i="35"/>
  <c r="J1741" i="35"/>
  <c r="I1741" i="35"/>
  <c r="H1741" i="35"/>
  <c r="F1741" i="35"/>
  <c r="B1741" i="35"/>
  <c r="J1740" i="35"/>
  <c r="F1740" i="35"/>
  <c r="B1740" i="35"/>
  <c r="I1740" i="35" s="1"/>
  <c r="H1740" i="35" s="1"/>
  <c r="F1739" i="35"/>
  <c r="J1739" i="35" s="1"/>
  <c r="B1739" i="35"/>
  <c r="I1739" i="35" s="1"/>
  <c r="I1738" i="35"/>
  <c r="F1738" i="35"/>
  <c r="J1738" i="35" s="1"/>
  <c r="H1738" i="35" s="1"/>
  <c r="B1738" i="35"/>
  <c r="J1737" i="35"/>
  <c r="I1737" i="35"/>
  <c r="H1737" i="35"/>
  <c r="F1737" i="35"/>
  <c r="B1737" i="35"/>
  <c r="J1736" i="35"/>
  <c r="F1736" i="35"/>
  <c r="B1736" i="35"/>
  <c r="I1736" i="35" s="1"/>
  <c r="H1736" i="35" s="1"/>
  <c r="F1735" i="35"/>
  <c r="J1735" i="35" s="1"/>
  <c r="B1735" i="35"/>
  <c r="I1735" i="35" s="1"/>
  <c r="H1735" i="35" s="1"/>
  <c r="I1734" i="35"/>
  <c r="F1734" i="35"/>
  <c r="J1734" i="35" s="1"/>
  <c r="H1734" i="35" s="1"/>
  <c r="B1734" i="35"/>
  <c r="J1733" i="35"/>
  <c r="I1733" i="35"/>
  <c r="H1733" i="35"/>
  <c r="F1733" i="35"/>
  <c r="J1732" i="35"/>
  <c r="I1732" i="35"/>
  <c r="H1732" i="35"/>
  <c r="F1732" i="35"/>
  <c r="B1732" i="35"/>
  <c r="J1731" i="35"/>
  <c r="F1731" i="35"/>
  <c r="B1731" i="35"/>
  <c r="I1731" i="35" s="1"/>
  <c r="H1731" i="35" s="1"/>
  <c r="F1730" i="35"/>
  <c r="J1730" i="35" s="1"/>
  <c r="B1730" i="35"/>
  <c r="I1730" i="35" s="1"/>
  <c r="I1729" i="35"/>
  <c r="F1729" i="35"/>
  <c r="J1729" i="35" s="1"/>
  <c r="H1729" i="35" s="1"/>
  <c r="B1729" i="35"/>
  <c r="J1728" i="35"/>
  <c r="I1728" i="35"/>
  <c r="H1728" i="35"/>
  <c r="F1728" i="35"/>
  <c r="B1728" i="35"/>
  <c r="J1727" i="35"/>
  <c r="F1727" i="35"/>
  <c r="B1727" i="35"/>
  <c r="I1727" i="35" s="1"/>
  <c r="H1727" i="35" s="1"/>
  <c r="F1726" i="35"/>
  <c r="J1726" i="35" s="1"/>
  <c r="B1726" i="35"/>
  <c r="I1726" i="35" s="1"/>
  <c r="H1726" i="35" s="1"/>
  <c r="I1725" i="35"/>
  <c r="F1725" i="35"/>
  <c r="J1725" i="35" s="1"/>
  <c r="H1725" i="35" s="1"/>
  <c r="B1725" i="35"/>
  <c r="J1724" i="35"/>
  <c r="I1724" i="35"/>
  <c r="H1724" i="35"/>
  <c r="F1724" i="35"/>
  <c r="B1724" i="35"/>
  <c r="J1723" i="35"/>
  <c r="F1723" i="35"/>
  <c r="B1723" i="35"/>
  <c r="I1723" i="35" s="1"/>
  <c r="H1723" i="35" s="1"/>
  <c r="F1722" i="35"/>
  <c r="J1722" i="35" s="1"/>
  <c r="B1722" i="35"/>
  <c r="I1722" i="35" s="1"/>
  <c r="I1721" i="35"/>
  <c r="F1721" i="35"/>
  <c r="J1721" i="35" s="1"/>
  <c r="H1721" i="35" s="1"/>
  <c r="B1721" i="35"/>
  <c r="J1720" i="35"/>
  <c r="I1720" i="35"/>
  <c r="H1720" i="35"/>
  <c r="F1720" i="35"/>
  <c r="B1720" i="35"/>
  <c r="J1719" i="35"/>
  <c r="F1719" i="35"/>
  <c r="B1719" i="35"/>
  <c r="I1719" i="35" s="1"/>
  <c r="H1719" i="35" s="1"/>
  <c r="J1718" i="35"/>
  <c r="F1718" i="35"/>
  <c r="B1718" i="35"/>
  <c r="I1718" i="35" s="1"/>
  <c r="H1718" i="35" s="1"/>
  <c r="I1717" i="35"/>
  <c r="H1717" i="35"/>
  <c r="F1717" i="35"/>
  <c r="J1717" i="35" s="1"/>
  <c r="B1717" i="35"/>
  <c r="J1716" i="35"/>
  <c r="I1716" i="35"/>
  <c r="H1716" i="35" s="1"/>
  <c r="F1716" i="35"/>
  <c r="B1716" i="35"/>
  <c r="J1715" i="35"/>
  <c r="F1715" i="35"/>
  <c r="B1715" i="35"/>
  <c r="I1715" i="35" s="1"/>
  <c r="H1715" i="35" s="1"/>
  <c r="J1714" i="35"/>
  <c r="F1714" i="35"/>
  <c r="B1714" i="35"/>
  <c r="I1714" i="35" s="1"/>
  <c r="H1714" i="35" s="1"/>
  <c r="I1713" i="35"/>
  <c r="H1713" i="35"/>
  <c r="F1713" i="35"/>
  <c r="J1713" i="35" s="1"/>
  <c r="B1713" i="35"/>
  <c r="J1712" i="35"/>
  <c r="I1712" i="35"/>
  <c r="H1712" i="35" s="1"/>
  <c r="F1712" i="35"/>
  <c r="J1711" i="35"/>
  <c r="I1711" i="35"/>
  <c r="H1711" i="35" s="1"/>
  <c r="F1711" i="35"/>
  <c r="B1711" i="35"/>
  <c r="J1710" i="35"/>
  <c r="F1710" i="35"/>
  <c r="B1710" i="35"/>
  <c r="I1710" i="35" s="1"/>
  <c r="H1710" i="35" s="1"/>
  <c r="J1709" i="35"/>
  <c r="F1709" i="35"/>
  <c r="B1709" i="35"/>
  <c r="I1709" i="35" s="1"/>
  <c r="H1709" i="35" s="1"/>
  <c r="I1708" i="35"/>
  <c r="H1708" i="35"/>
  <c r="F1708" i="35"/>
  <c r="J1708" i="35" s="1"/>
  <c r="B1708" i="35"/>
  <c r="J1707" i="35"/>
  <c r="I1707" i="35"/>
  <c r="H1707" i="35" s="1"/>
  <c r="F1707" i="35"/>
  <c r="B1707" i="35"/>
  <c r="J1706" i="35"/>
  <c r="I1706" i="35"/>
  <c r="F1706" i="35"/>
  <c r="B1706" i="35"/>
  <c r="J1705" i="35"/>
  <c r="F1705" i="35"/>
  <c r="B1705" i="35"/>
  <c r="I1705" i="35" s="1"/>
  <c r="H1705" i="35" s="1"/>
  <c r="I1704" i="35"/>
  <c r="H1704" i="35"/>
  <c r="F1704" i="35"/>
  <c r="J1704" i="35" s="1"/>
  <c r="B1704" i="35"/>
  <c r="J1703" i="35"/>
  <c r="I1703" i="35"/>
  <c r="H1703" i="35" s="1"/>
  <c r="F1703" i="35"/>
  <c r="B1703" i="35"/>
  <c r="J1702" i="35"/>
  <c r="I1702" i="35"/>
  <c r="F1702" i="35"/>
  <c r="B1702" i="35"/>
  <c r="J1701" i="35"/>
  <c r="F1701" i="35"/>
  <c r="B1701" i="35"/>
  <c r="I1701" i="35" s="1"/>
  <c r="H1701" i="35" s="1"/>
  <c r="I1700" i="35"/>
  <c r="H1700" i="35"/>
  <c r="F1700" i="35"/>
  <c r="J1700" i="35" s="1"/>
  <c r="B1700" i="35"/>
  <c r="J1699" i="35"/>
  <c r="I1699" i="35"/>
  <c r="H1699" i="35" s="1"/>
  <c r="F1699" i="35"/>
  <c r="B1699" i="35"/>
  <c r="J1698" i="35"/>
  <c r="I1698" i="35"/>
  <c r="F1698" i="35"/>
  <c r="B1698" i="35"/>
  <c r="J1697" i="35"/>
  <c r="F1697" i="35"/>
  <c r="B1697" i="35"/>
  <c r="I1697" i="35" s="1"/>
  <c r="H1697" i="35" s="1"/>
  <c r="I1696" i="35"/>
  <c r="H1696" i="35"/>
  <c r="F1696" i="35"/>
  <c r="J1696" i="35" s="1"/>
  <c r="B1696" i="35"/>
  <c r="J1695" i="35"/>
  <c r="I1695" i="35"/>
  <c r="H1695" i="35" s="1"/>
  <c r="F1695" i="35"/>
  <c r="B1695" i="35"/>
  <c r="J1694" i="35"/>
  <c r="I1694" i="35"/>
  <c r="F1694" i="35"/>
  <c r="B1694" i="35"/>
  <c r="J1693" i="35"/>
  <c r="F1693" i="35"/>
  <c r="B1693" i="35"/>
  <c r="I1693" i="35" s="1"/>
  <c r="H1693" i="35" s="1"/>
  <c r="I1692" i="35"/>
  <c r="H1692" i="35"/>
  <c r="F1692" i="35"/>
  <c r="J1692" i="35" s="1"/>
  <c r="B1692" i="35"/>
  <c r="J1691" i="35"/>
  <c r="I1691" i="35"/>
  <c r="H1691" i="35" s="1"/>
  <c r="F1691" i="35"/>
  <c r="B1691" i="35"/>
  <c r="J1690" i="35"/>
  <c r="I1690" i="35"/>
  <c r="F1690" i="35"/>
  <c r="B1690" i="35"/>
  <c r="J1689" i="35"/>
  <c r="F1689" i="35"/>
  <c r="B1689" i="35"/>
  <c r="I1689" i="35" s="1"/>
  <c r="H1689" i="35" s="1"/>
  <c r="I1688" i="35"/>
  <c r="H1688" i="35"/>
  <c r="F1688" i="35"/>
  <c r="J1688" i="35" s="1"/>
  <c r="I1687" i="35"/>
  <c r="F1687" i="35"/>
  <c r="J1687" i="35" s="1"/>
  <c r="H1687" i="35" s="1"/>
  <c r="I1686" i="35"/>
  <c r="H1686" i="35"/>
  <c r="F1686" i="35"/>
  <c r="J1686" i="35" s="1"/>
  <c r="I1685" i="35"/>
  <c r="F1685" i="35"/>
  <c r="J1685" i="35" s="1"/>
  <c r="H1685" i="35" s="1"/>
  <c r="I1684" i="35"/>
  <c r="H1684" i="35"/>
  <c r="F1684" i="35"/>
  <c r="J1684" i="35" s="1"/>
  <c r="I1683" i="35"/>
  <c r="F1683" i="35"/>
  <c r="J1683" i="35" s="1"/>
  <c r="H1683" i="35" s="1"/>
  <c r="I1682" i="35"/>
  <c r="H1682" i="35"/>
  <c r="F1682" i="35"/>
  <c r="J1682" i="35" s="1"/>
  <c r="I1681" i="35"/>
  <c r="F1681" i="35"/>
  <c r="J1681" i="35" s="1"/>
  <c r="H1681" i="35" s="1"/>
  <c r="B1681" i="35"/>
  <c r="J1680" i="35"/>
  <c r="I1680" i="35"/>
  <c r="H1680" i="35"/>
  <c r="F1680" i="35"/>
  <c r="B1680" i="35"/>
  <c r="J1679" i="35"/>
  <c r="I1679" i="35"/>
  <c r="H1679" i="35" s="1"/>
  <c r="F1679" i="35"/>
  <c r="B1679" i="35"/>
  <c r="F1678" i="35"/>
  <c r="J1678" i="35" s="1"/>
  <c r="B1678" i="35"/>
  <c r="I1678" i="35" s="1"/>
  <c r="I1677" i="35"/>
  <c r="F1677" i="35"/>
  <c r="J1677" i="35" s="1"/>
  <c r="H1677" i="35" s="1"/>
  <c r="B1677" i="35"/>
  <c r="J1676" i="35"/>
  <c r="I1676" i="35"/>
  <c r="H1676" i="35"/>
  <c r="F1676" i="35"/>
  <c r="B1676" i="35"/>
  <c r="J1675" i="35"/>
  <c r="I1675" i="35"/>
  <c r="H1675" i="35" s="1"/>
  <c r="F1675" i="35"/>
  <c r="B1675" i="35"/>
  <c r="F1674" i="35"/>
  <c r="J1674" i="35" s="1"/>
  <c r="B1674" i="35"/>
  <c r="I1674" i="35" s="1"/>
  <c r="I1673" i="35"/>
  <c r="F1673" i="35"/>
  <c r="J1673" i="35" s="1"/>
  <c r="H1673" i="35" s="1"/>
  <c r="B1673" i="35"/>
  <c r="J1672" i="35"/>
  <c r="I1672" i="35"/>
  <c r="H1672" i="35"/>
  <c r="F1672" i="35"/>
  <c r="B1672" i="35"/>
  <c r="J1671" i="35"/>
  <c r="I1671" i="35"/>
  <c r="H1671" i="35" s="1"/>
  <c r="F1671" i="35"/>
  <c r="B1671" i="35"/>
  <c r="F1670" i="35"/>
  <c r="J1670" i="35" s="1"/>
  <c r="B1670" i="35"/>
  <c r="I1670" i="35" s="1"/>
  <c r="I1669" i="35"/>
  <c r="F1669" i="35"/>
  <c r="J1669" i="35" s="1"/>
  <c r="H1669" i="35" s="1"/>
  <c r="B1669" i="35"/>
  <c r="J1668" i="35"/>
  <c r="I1668" i="35"/>
  <c r="H1668" i="35"/>
  <c r="F1668" i="35"/>
  <c r="B1668" i="35"/>
  <c r="J1667" i="35"/>
  <c r="I1667" i="35"/>
  <c r="H1667" i="35" s="1"/>
  <c r="F1667" i="35"/>
  <c r="B1667" i="35"/>
  <c r="F1666" i="35"/>
  <c r="J1666" i="35" s="1"/>
  <c r="B1666" i="35"/>
  <c r="I1666" i="35" s="1"/>
  <c r="I1665" i="35"/>
  <c r="F1665" i="35"/>
  <c r="J1665" i="35" s="1"/>
  <c r="H1665" i="35" s="1"/>
  <c r="B1665" i="35"/>
  <c r="J1664" i="35"/>
  <c r="I1664" i="35"/>
  <c r="H1664" i="35"/>
  <c r="F1664" i="35"/>
  <c r="B1664" i="35"/>
  <c r="J1663" i="35"/>
  <c r="I1663" i="35"/>
  <c r="H1663" i="35" s="1"/>
  <c r="F1663" i="35"/>
  <c r="B1663" i="35"/>
  <c r="F1662" i="35"/>
  <c r="J1662" i="35" s="1"/>
  <c r="B1662" i="35"/>
  <c r="I1662" i="35" s="1"/>
  <c r="I1661" i="35"/>
  <c r="F1661" i="35"/>
  <c r="J1661" i="35" s="1"/>
  <c r="H1661" i="35" s="1"/>
  <c r="B1661" i="35"/>
  <c r="J1660" i="35"/>
  <c r="I1660" i="35"/>
  <c r="H1660" i="35"/>
  <c r="F1660" i="35"/>
  <c r="B1660" i="35"/>
  <c r="J1659" i="35"/>
  <c r="I1659" i="35"/>
  <c r="H1659" i="35" s="1"/>
  <c r="F1659" i="35"/>
  <c r="B1659" i="35"/>
  <c r="F1658" i="35"/>
  <c r="J1658" i="35" s="1"/>
  <c r="B1658" i="35"/>
  <c r="I1658" i="35" s="1"/>
  <c r="I1657" i="35"/>
  <c r="F1657" i="35"/>
  <c r="J1657" i="35" s="1"/>
  <c r="H1657" i="35" s="1"/>
  <c r="B1657" i="35"/>
  <c r="J1656" i="35"/>
  <c r="I1656" i="35"/>
  <c r="H1656" i="35"/>
  <c r="F1656" i="35"/>
  <c r="B1656" i="35"/>
  <c r="J1655" i="35"/>
  <c r="I1655" i="35"/>
  <c r="H1655" i="35" s="1"/>
  <c r="F1655" i="35"/>
  <c r="B1655" i="35"/>
  <c r="F1654" i="35"/>
  <c r="J1654" i="35" s="1"/>
  <c r="B1654" i="35"/>
  <c r="I1654" i="35" s="1"/>
  <c r="I1653" i="35"/>
  <c r="F1653" i="35"/>
  <c r="J1653" i="35" s="1"/>
  <c r="H1653" i="35" s="1"/>
  <c r="B1653" i="35"/>
  <c r="J1652" i="35"/>
  <c r="I1652" i="35"/>
  <c r="H1652" i="35"/>
  <c r="F1652" i="35"/>
  <c r="B1652" i="35"/>
  <c r="J1651" i="35"/>
  <c r="I1651" i="35"/>
  <c r="H1651" i="35" s="1"/>
  <c r="F1651" i="35"/>
  <c r="B1651" i="35"/>
  <c r="F1650" i="35"/>
  <c r="J1650" i="35" s="1"/>
  <c r="B1650" i="35"/>
  <c r="I1650" i="35" s="1"/>
  <c r="I1649" i="35"/>
  <c r="F1649" i="35"/>
  <c r="J1649" i="35" s="1"/>
  <c r="H1649" i="35" s="1"/>
  <c r="B1649" i="35"/>
  <c r="J1648" i="35"/>
  <c r="I1648" i="35"/>
  <c r="H1648" i="35"/>
  <c r="F1648" i="35"/>
  <c r="B1648" i="35"/>
  <c r="J1647" i="35"/>
  <c r="I1647" i="35"/>
  <c r="H1647" i="35" s="1"/>
  <c r="F1647" i="35"/>
  <c r="B1647" i="35"/>
  <c r="F1646" i="35"/>
  <c r="J1646" i="35" s="1"/>
  <c r="B1646" i="35"/>
  <c r="I1646" i="35" s="1"/>
  <c r="I1645" i="35"/>
  <c r="F1645" i="35"/>
  <c r="J1645" i="35" s="1"/>
  <c r="H1645" i="35" s="1"/>
  <c r="B1645" i="35"/>
  <c r="J1644" i="35"/>
  <c r="I1644" i="35"/>
  <c r="H1644" i="35"/>
  <c r="F1644" i="35"/>
  <c r="B1644" i="35"/>
  <c r="J1643" i="35"/>
  <c r="I1643" i="35"/>
  <c r="H1643" i="35" s="1"/>
  <c r="F1643" i="35"/>
  <c r="B1643" i="35"/>
  <c r="F1642" i="35"/>
  <c r="J1642" i="35" s="1"/>
  <c r="B1642" i="35"/>
  <c r="I1642" i="35" s="1"/>
  <c r="I1641" i="35"/>
  <c r="F1641" i="35"/>
  <c r="J1641" i="35" s="1"/>
  <c r="H1641" i="35" s="1"/>
  <c r="B1641" i="35"/>
  <c r="J1640" i="35"/>
  <c r="I1640" i="35"/>
  <c r="H1640" i="35"/>
  <c r="F1640" i="35"/>
  <c r="B1640" i="35"/>
  <c r="J1639" i="35"/>
  <c r="I1639" i="35"/>
  <c r="H1639" i="35" s="1"/>
  <c r="F1639" i="35"/>
  <c r="B1639" i="35"/>
  <c r="F1638" i="35"/>
  <c r="J1638" i="35" s="1"/>
  <c r="B1638" i="35"/>
  <c r="I1638" i="35" s="1"/>
  <c r="I1637" i="35"/>
  <c r="F1637" i="35"/>
  <c r="J1637" i="35" s="1"/>
  <c r="H1637" i="35" s="1"/>
  <c r="B1637" i="35"/>
  <c r="J1636" i="35"/>
  <c r="I1636" i="35"/>
  <c r="H1636" i="35"/>
  <c r="F1636" i="35"/>
  <c r="B1636" i="35"/>
  <c r="J1635" i="35"/>
  <c r="I1635" i="35"/>
  <c r="H1635" i="35" s="1"/>
  <c r="F1635" i="35"/>
  <c r="B1635" i="35"/>
  <c r="F1634" i="35"/>
  <c r="J1634" i="35" s="1"/>
  <c r="B1634" i="35"/>
  <c r="I1634" i="35" s="1"/>
  <c r="I1633" i="35"/>
  <c r="F1633" i="35"/>
  <c r="J1633" i="35" s="1"/>
  <c r="H1633" i="35" s="1"/>
  <c r="B1633" i="35"/>
  <c r="J1632" i="35"/>
  <c r="I1632" i="35"/>
  <c r="H1632" i="35"/>
  <c r="F1632" i="35"/>
  <c r="B1632" i="35"/>
  <c r="J1631" i="35"/>
  <c r="I1631" i="35"/>
  <c r="H1631" i="35" s="1"/>
  <c r="F1631" i="35"/>
  <c r="B1631" i="35"/>
  <c r="F1630" i="35"/>
  <c r="J1630" i="35" s="1"/>
  <c r="B1630" i="35"/>
  <c r="I1630" i="35" s="1"/>
  <c r="I1629" i="35"/>
  <c r="F1629" i="35"/>
  <c r="J1629" i="35" s="1"/>
  <c r="H1629" i="35" s="1"/>
  <c r="B1629" i="35"/>
  <c r="J1628" i="35"/>
  <c r="I1628" i="35"/>
  <c r="H1628" i="35"/>
  <c r="F1628" i="35"/>
  <c r="B1628" i="35"/>
  <c r="J1627" i="35"/>
  <c r="I1627" i="35"/>
  <c r="H1627" i="35" s="1"/>
  <c r="F1627" i="35"/>
  <c r="B1627" i="35"/>
  <c r="F1626" i="35"/>
  <c r="J1626" i="35" s="1"/>
  <c r="B1626" i="35"/>
  <c r="I1626" i="35" s="1"/>
  <c r="I1625" i="35"/>
  <c r="F1625" i="35"/>
  <c r="J1625" i="35" s="1"/>
  <c r="H1625" i="35" s="1"/>
  <c r="B1625" i="35"/>
  <c r="J1624" i="35"/>
  <c r="I1624" i="35"/>
  <c r="H1624" i="35"/>
  <c r="F1624" i="35"/>
  <c r="B1624" i="35"/>
  <c r="J1623" i="35"/>
  <c r="I1623" i="35"/>
  <c r="H1623" i="35" s="1"/>
  <c r="F1623" i="35"/>
  <c r="B1623" i="35"/>
  <c r="F1622" i="35"/>
  <c r="J1622" i="35" s="1"/>
  <c r="B1622" i="35"/>
  <c r="I1622" i="35" s="1"/>
  <c r="I1621" i="35"/>
  <c r="F1621" i="35"/>
  <c r="J1621" i="35" s="1"/>
  <c r="H1621" i="35" s="1"/>
  <c r="B1621" i="35"/>
  <c r="J1620" i="35"/>
  <c r="I1620" i="35"/>
  <c r="H1620" i="35"/>
  <c r="F1620" i="35"/>
  <c r="B1620" i="35"/>
  <c r="J1619" i="35"/>
  <c r="I1619" i="35"/>
  <c r="H1619" i="35" s="1"/>
  <c r="F1619" i="35"/>
  <c r="B1619" i="35"/>
  <c r="F1618" i="35"/>
  <c r="J1618" i="35" s="1"/>
  <c r="B1618" i="35"/>
  <c r="I1618" i="35" s="1"/>
  <c r="I1617" i="35"/>
  <c r="F1617" i="35"/>
  <c r="J1617" i="35" s="1"/>
  <c r="H1617" i="35" s="1"/>
  <c r="B1617" i="35"/>
  <c r="J1616" i="35"/>
  <c r="I1616" i="35"/>
  <c r="H1616" i="35"/>
  <c r="F1616" i="35"/>
  <c r="B1616" i="35"/>
  <c r="J1615" i="35"/>
  <c r="I1615" i="35"/>
  <c r="H1615" i="35" s="1"/>
  <c r="F1615" i="35"/>
  <c r="B1615" i="35"/>
  <c r="F1614" i="35"/>
  <c r="J1614" i="35" s="1"/>
  <c r="B1614" i="35"/>
  <c r="I1614" i="35" s="1"/>
  <c r="I1613" i="35"/>
  <c r="F1613" i="35"/>
  <c r="J1613" i="35" s="1"/>
  <c r="H1613" i="35" s="1"/>
  <c r="B1613" i="35"/>
  <c r="J1612" i="35"/>
  <c r="F1612" i="35"/>
  <c r="B1612" i="35"/>
  <c r="I1612" i="35" s="1"/>
  <c r="H1612" i="35" s="1"/>
  <c r="J1611" i="35"/>
  <c r="I1611" i="35"/>
  <c r="H1611" i="35" s="1"/>
  <c r="F1611" i="35"/>
  <c r="B1611" i="35"/>
  <c r="J1610" i="35"/>
  <c r="H1610" i="35"/>
  <c r="F1610" i="35"/>
  <c r="B1610" i="35"/>
  <c r="I1610" i="35" s="1"/>
  <c r="I1609" i="35"/>
  <c r="H1609" i="35"/>
  <c r="F1609" i="35"/>
  <c r="J1609" i="35" s="1"/>
  <c r="B1609" i="35"/>
  <c r="J1608" i="35"/>
  <c r="I1608" i="35"/>
  <c r="H1608" i="35" s="1"/>
  <c r="F1608" i="35"/>
  <c r="B1608" i="35"/>
  <c r="J1607" i="35"/>
  <c r="F1607" i="35"/>
  <c r="B1607" i="35"/>
  <c r="I1607" i="35" s="1"/>
  <c r="J1606" i="35"/>
  <c r="F1606" i="35"/>
  <c r="B1606" i="35"/>
  <c r="I1606" i="35" s="1"/>
  <c r="I1605" i="35"/>
  <c r="H1605" i="35" s="1"/>
  <c r="F1605" i="35"/>
  <c r="J1605" i="35" s="1"/>
  <c r="B1605" i="35"/>
  <c r="J1604" i="35"/>
  <c r="F1604" i="35"/>
  <c r="B1604" i="35"/>
  <c r="I1604" i="35" s="1"/>
  <c r="H1604" i="35" s="1"/>
  <c r="F1603" i="35"/>
  <c r="J1603" i="35" s="1"/>
  <c r="B1603" i="35"/>
  <c r="I1603" i="35" s="1"/>
  <c r="F1602" i="35"/>
  <c r="J1602" i="35" s="1"/>
  <c r="B1602" i="35"/>
  <c r="I1602" i="35" s="1"/>
  <c r="H1602" i="35" s="1"/>
  <c r="I1601" i="35"/>
  <c r="H1601" i="35"/>
  <c r="F1601" i="35"/>
  <c r="J1601" i="35" s="1"/>
  <c r="I1600" i="35"/>
  <c r="H1600" i="35" s="1"/>
  <c r="F1600" i="35"/>
  <c r="J1600" i="35" s="1"/>
  <c r="I1599" i="35"/>
  <c r="H1599" i="35"/>
  <c r="F1599" i="35"/>
  <c r="J1599" i="35" s="1"/>
  <c r="B1599" i="35"/>
  <c r="J1598" i="35"/>
  <c r="I1598" i="35"/>
  <c r="H1598" i="35" s="1"/>
  <c r="F1598" i="35"/>
  <c r="B1598" i="35"/>
  <c r="J1597" i="35"/>
  <c r="F1597" i="35"/>
  <c r="B1597" i="35"/>
  <c r="I1597" i="35" s="1"/>
  <c r="H1597" i="35" s="1"/>
  <c r="J1596" i="35"/>
  <c r="F1596" i="35"/>
  <c r="B1596" i="35"/>
  <c r="I1596" i="35" s="1"/>
  <c r="H1596" i="35" s="1"/>
  <c r="I1595" i="35"/>
  <c r="H1595" i="35" s="1"/>
  <c r="F1595" i="35"/>
  <c r="J1595" i="35" s="1"/>
  <c r="B1595" i="35"/>
  <c r="J1594" i="35"/>
  <c r="F1594" i="35"/>
  <c r="B1594" i="35"/>
  <c r="I1594" i="35" s="1"/>
  <c r="I1593" i="35"/>
  <c r="F1593" i="35"/>
  <c r="J1593" i="35" s="1"/>
  <c r="J1592" i="35"/>
  <c r="I1592" i="35"/>
  <c r="F1592" i="35"/>
  <c r="J1591" i="35"/>
  <c r="I1591" i="35"/>
  <c r="H1591" i="35" s="1"/>
  <c r="F1591" i="35"/>
  <c r="B1591" i="35"/>
  <c r="J1590" i="35"/>
  <c r="H1590" i="35"/>
  <c r="F1590" i="35"/>
  <c r="B1590" i="35"/>
  <c r="I1590" i="35" s="1"/>
  <c r="I1589" i="35"/>
  <c r="H1589" i="35"/>
  <c r="F1589" i="35"/>
  <c r="J1589" i="35" s="1"/>
  <c r="B1589" i="35"/>
  <c r="J1588" i="35"/>
  <c r="I1588" i="35"/>
  <c r="H1588" i="35" s="1"/>
  <c r="F1588" i="35"/>
  <c r="B1588" i="35"/>
  <c r="J1587" i="35"/>
  <c r="F1587" i="35"/>
  <c r="B1587" i="35"/>
  <c r="I1587" i="35" s="1"/>
  <c r="J1586" i="35"/>
  <c r="F1586" i="35"/>
  <c r="B1586" i="35"/>
  <c r="I1586" i="35" s="1"/>
  <c r="H1586" i="35" s="1"/>
  <c r="I1585" i="35"/>
  <c r="H1585" i="35" s="1"/>
  <c r="F1585" i="35"/>
  <c r="J1585" i="35" s="1"/>
  <c r="B1585" i="35"/>
  <c r="J1584" i="35"/>
  <c r="F1584" i="35"/>
  <c r="B1584" i="35"/>
  <c r="I1584" i="35" s="1"/>
  <c r="F1583" i="35"/>
  <c r="J1583" i="35" s="1"/>
  <c r="B1583" i="35"/>
  <c r="I1583" i="35" s="1"/>
  <c r="H1583" i="35" s="1"/>
  <c r="F1582" i="35"/>
  <c r="J1582" i="35" s="1"/>
  <c r="B1582" i="35"/>
  <c r="I1582" i="35" s="1"/>
  <c r="I1581" i="35"/>
  <c r="H1581" i="35"/>
  <c r="F1581" i="35"/>
  <c r="J1581" i="35" s="1"/>
  <c r="B1581" i="35"/>
  <c r="J1580" i="35"/>
  <c r="I1580" i="35"/>
  <c r="H1580" i="35" s="1"/>
  <c r="F1580" i="35"/>
  <c r="B1580" i="35"/>
  <c r="I1579" i="35"/>
  <c r="F1579" i="35"/>
  <c r="J1579" i="35" s="1"/>
  <c r="B1579" i="35"/>
  <c r="F1578" i="35"/>
  <c r="J1578" i="35" s="1"/>
  <c r="H1578" i="35" s="1"/>
  <c r="B1578" i="35"/>
  <c r="I1578" i="35" s="1"/>
  <c r="I1577" i="35"/>
  <c r="H1577" i="35" s="1"/>
  <c r="F1577" i="35"/>
  <c r="J1577" i="35" s="1"/>
  <c r="B1577" i="35"/>
  <c r="J1576" i="35"/>
  <c r="H1576" i="35"/>
  <c r="F1576" i="35"/>
  <c r="B1576" i="35"/>
  <c r="I1576" i="35" s="1"/>
  <c r="J1575" i="35"/>
  <c r="I1575" i="35"/>
  <c r="H1575" i="35" s="1"/>
  <c r="F1575" i="35"/>
  <c r="B1575" i="35"/>
  <c r="J1574" i="35"/>
  <c r="H1574" i="35"/>
  <c r="F1574" i="35"/>
  <c r="B1574" i="35"/>
  <c r="I1574" i="35" s="1"/>
  <c r="I1573" i="35"/>
  <c r="H1573" i="35"/>
  <c r="F1573" i="35"/>
  <c r="J1573" i="35" s="1"/>
  <c r="B1573" i="35"/>
  <c r="J1572" i="35"/>
  <c r="I1572" i="35"/>
  <c r="H1572" i="35" s="1"/>
  <c r="F1572" i="35"/>
  <c r="B1572" i="35"/>
  <c r="J1571" i="35"/>
  <c r="F1571" i="35"/>
  <c r="B1571" i="35"/>
  <c r="I1571" i="35" s="1"/>
  <c r="H1571" i="35" s="1"/>
  <c r="J1570" i="35"/>
  <c r="F1570" i="35"/>
  <c r="B1570" i="35"/>
  <c r="I1570" i="35" s="1"/>
  <c r="H1570" i="35" s="1"/>
  <c r="I1569" i="35"/>
  <c r="H1569" i="35" s="1"/>
  <c r="F1569" i="35"/>
  <c r="J1569" i="35" s="1"/>
  <c r="B1569" i="35"/>
  <c r="J1568" i="35"/>
  <c r="H1568" i="35" s="1"/>
  <c r="I1568" i="35"/>
  <c r="F1568" i="35"/>
  <c r="J1567" i="35"/>
  <c r="H1567" i="35" s="1"/>
  <c r="I1567" i="35"/>
  <c r="F1567" i="35"/>
  <c r="J1566" i="35"/>
  <c r="F1566" i="35"/>
  <c r="B1566" i="35"/>
  <c r="I1566" i="35" s="1"/>
  <c r="H1566" i="35" s="1"/>
  <c r="F1565" i="35"/>
  <c r="J1565" i="35" s="1"/>
  <c r="B1565" i="35"/>
  <c r="I1565" i="35" s="1"/>
  <c r="F1564" i="35"/>
  <c r="J1564" i="35" s="1"/>
  <c r="B1564" i="35"/>
  <c r="I1564" i="35" s="1"/>
  <c r="H1564" i="35" s="1"/>
  <c r="I1563" i="35"/>
  <c r="H1563" i="35"/>
  <c r="F1563" i="35"/>
  <c r="J1563" i="35" s="1"/>
  <c r="B1563" i="35"/>
  <c r="J1562" i="35"/>
  <c r="I1562" i="35"/>
  <c r="H1562" i="35" s="1"/>
  <c r="F1562" i="35"/>
  <c r="B1562" i="35"/>
  <c r="I1561" i="35"/>
  <c r="F1561" i="35"/>
  <c r="J1561" i="35" s="1"/>
  <c r="B1561" i="35"/>
  <c r="F1560" i="35"/>
  <c r="J1560" i="35" s="1"/>
  <c r="H1560" i="35" s="1"/>
  <c r="B1560" i="35"/>
  <c r="I1560" i="35" s="1"/>
  <c r="I1559" i="35"/>
  <c r="F1559" i="35"/>
  <c r="J1559" i="35" s="1"/>
  <c r="I1558" i="35"/>
  <c r="H1558" i="35"/>
  <c r="F1558" i="35"/>
  <c r="J1558" i="35" s="1"/>
  <c r="B1558" i="35"/>
  <c r="J1557" i="35"/>
  <c r="I1557" i="35"/>
  <c r="H1557" i="35" s="1"/>
  <c r="F1557" i="35"/>
  <c r="B1557" i="35"/>
  <c r="I1556" i="35"/>
  <c r="F1556" i="35"/>
  <c r="J1556" i="35" s="1"/>
  <c r="B1556" i="35"/>
  <c r="F1555" i="35"/>
  <c r="J1555" i="35" s="1"/>
  <c r="H1555" i="35" s="1"/>
  <c r="B1555" i="35"/>
  <c r="I1555" i="35" s="1"/>
  <c r="I1554" i="35"/>
  <c r="H1554" i="35" s="1"/>
  <c r="F1554" i="35"/>
  <c r="J1554" i="35" s="1"/>
  <c r="B1554" i="35"/>
  <c r="J1553" i="35"/>
  <c r="I1553" i="35"/>
  <c r="H1553" i="35"/>
  <c r="F1553" i="35"/>
  <c r="J1552" i="35"/>
  <c r="I1552" i="35"/>
  <c r="H1552" i="35"/>
  <c r="F1552" i="35"/>
  <c r="J1551" i="35"/>
  <c r="F1551" i="35"/>
  <c r="B1551" i="35"/>
  <c r="I1551" i="35" s="1"/>
  <c r="H1551" i="35" s="1"/>
  <c r="J1550" i="35"/>
  <c r="I1550" i="35"/>
  <c r="H1550" i="35" s="1"/>
  <c r="F1550" i="35"/>
  <c r="B1550" i="35"/>
  <c r="J1549" i="35"/>
  <c r="H1549" i="35"/>
  <c r="F1549" i="35"/>
  <c r="B1549" i="35"/>
  <c r="I1549" i="35" s="1"/>
  <c r="I1548" i="35"/>
  <c r="H1548" i="35"/>
  <c r="F1548" i="35"/>
  <c r="J1548" i="35" s="1"/>
  <c r="B1548" i="35"/>
  <c r="J1547" i="35"/>
  <c r="I1547" i="35"/>
  <c r="H1547" i="35" s="1"/>
  <c r="F1547" i="35"/>
  <c r="B1547" i="35"/>
  <c r="J1546" i="35"/>
  <c r="F1546" i="35"/>
  <c r="B1546" i="35"/>
  <c r="I1546" i="35" s="1"/>
  <c r="J1545" i="35"/>
  <c r="F1545" i="35"/>
  <c r="B1545" i="35"/>
  <c r="I1545" i="35" s="1"/>
  <c r="H1545" i="35" s="1"/>
  <c r="I1544" i="35"/>
  <c r="H1544" i="35" s="1"/>
  <c r="F1544" i="35"/>
  <c r="J1544" i="35" s="1"/>
  <c r="I1543" i="35"/>
  <c r="H1543" i="35"/>
  <c r="F1543" i="35"/>
  <c r="J1543" i="35" s="1"/>
  <c r="B1543" i="35"/>
  <c r="J1542" i="35"/>
  <c r="I1542" i="35"/>
  <c r="H1542" i="35" s="1"/>
  <c r="F1542" i="35"/>
  <c r="B1542" i="35"/>
  <c r="J1541" i="35"/>
  <c r="F1541" i="35"/>
  <c r="B1541" i="35"/>
  <c r="I1541" i="35" s="1"/>
  <c r="J1540" i="35"/>
  <c r="F1540" i="35"/>
  <c r="B1540" i="35"/>
  <c r="I1540" i="35" s="1"/>
  <c r="H1540" i="35" s="1"/>
  <c r="I1539" i="35"/>
  <c r="H1539" i="35" s="1"/>
  <c r="F1539" i="35"/>
  <c r="J1539" i="35" s="1"/>
  <c r="B1539" i="35"/>
  <c r="J1538" i="35"/>
  <c r="F1538" i="35"/>
  <c r="B1538" i="35"/>
  <c r="I1538" i="35" s="1"/>
  <c r="F1537" i="35"/>
  <c r="J1537" i="35" s="1"/>
  <c r="B1537" i="35"/>
  <c r="I1537" i="35" s="1"/>
  <c r="F1536" i="35"/>
  <c r="J1536" i="35" s="1"/>
  <c r="B1536" i="35"/>
  <c r="I1536" i="35" s="1"/>
  <c r="H1536" i="35" s="1"/>
  <c r="I1535" i="35"/>
  <c r="H1535" i="35"/>
  <c r="F1535" i="35"/>
  <c r="J1535" i="35" s="1"/>
  <c r="B1535" i="35"/>
  <c r="J1534" i="35"/>
  <c r="I1534" i="35"/>
  <c r="H1534" i="35" s="1"/>
  <c r="F1534" i="35"/>
  <c r="J1533" i="35"/>
  <c r="I1533" i="35"/>
  <c r="H1533" i="35" s="1"/>
  <c r="F1533" i="35"/>
  <c r="J1532" i="35"/>
  <c r="I1532" i="35"/>
  <c r="H1532" i="35" s="1"/>
  <c r="F1532" i="35"/>
  <c r="J1531" i="35"/>
  <c r="I1531" i="35"/>
  <c r="H1531" i="35" s="1"/>
  <c r="F1531" i="35"/>
  <c r="B1531" i="35"/>
  <c r="I1530" i="35"/>
  <c r="F1530" i="35"/>
  <c r="J1530" i="35" s="1"/>
  <c r="B1530" i="35"/>
  <c r="F1529" i="35"/>
  <c r="J1529" i="35" s="1"/>
  <c r="H1529" i="35" s="1"/>
  <c r="B1529" i="35"/>
  <c r="I1529" i="35" s="1"/>
  <c r="I1528" i="35"/>
  <c r="F1528" i="35"/>
  <c r="J1528" i="35" s="1"/>
  <c r="B1528" i="35"/>
  <c r="J1527" i="35"/>
  <c r="F1527" i="35"/>
  <c r="B1527" i="35"/>
  <c r="I1527" i="35" s="1"/>
  <c r="H1527" i="35" s="1"/>
  <c r="J1526" i="35"/>
  <c r="I1526" i="35"/>
  <c r="H1526" i="35" s="1"/>
  <c r="F1526" i="35"/>
  <c r="B1526" i="35"/>
  <c r="J1525" i="35"/>
  <c r="H1525" i="35"/>
  <c r="F1525" i="35"/>
  <c r="B1525" i="35"/>
  <c r="I1525" i="35" s="1"/>
  <c r="I1524" i="35"/>
  <c r="H1524" i="35"/>
  <c r="F1524" i="35"/>
  <c r="J1524" i="35" s="1"/>
  <c r="B1524" i="35"/>
  <c r="J1523" i="35"/>
  <c r="I1523" i="35"/>
  <c r="H1523" i="35" s="1"/>
  <c r="F1523" i="35"/>
  <c r="B1523" i="35"/>
  <c r="J1522" i="35"/>
  <c r="I1522" i="35"/>
  <c r="F1522" i="35"/>
  <c r="J1521" i="35"/>
  <c r="I1521" i="35"/>
  <c r="H1521" i="35" s="1"/>
  <c r="F1521" i="35"/>
  <c r="I1520" i="35"/>
  <c r="F1520" i="35"/>
  <c r="J1520" i="35" s="1"/>
  <c r="I1519" i="35"/>
  <c r="F1519" i="35"/>
  <c r="J1519" i="35" s="1"/>
  <c r="J1518" i="35"/>
  <c r="I1518" i="35"/>
  <c r="F1518" i="35"/>
  <c r="J1517" i="35"/>
  <c r="I1517" i="35"/>
  <c r="H1517" i="35" s="1"/>
  <c r="F1517" i="35"/>
  <c r="B1517" i="35"/>
  <c r="J1516" i="35"/>
  <c r="H1516" i="35"/>
  <c r="F1516" i="35"/>
  <c r="B1516" i="35"/>
  <c r="I1516" i="35" s="1"/>
  <c r="I1515" i="35"/>
  <c r="H1515" i="35"/>
  <c r="F1515" i="35"/>
  <c r="J1515" i="35" s="1"/>
  <c r="B1515" i="35"/>
  <c r="J1514" i="35"/>
  <c r="I1514" i="35"/>
  <c r="H1514" i="35" s="1"/>
  <c r="F1514" i="35"/>
  <c r="B1514" i="35"/>
  <c r="J1513" i="35"/>
  <c r="F1513" i="35"/>
  <c r="B1513" i="35"/>
  <c r="I1513" i="35" s="1"/>
  <c r="H1513" i="35" s="1"/>
  <c r="J1512" i="35"/>
  <c r="F1512" i="35"/>
  <c r="B1512" i="35"/>
  <c r="I1512" i="35" s="1"/>
  <c r="I1511" i="35"/>
  <c r="H1511" i="35" s="1"/>
  <c r="F1511" i="35"/>
  <c r="J1511" i="35" s="1"/>
  <c r="B1511" i="35"/>
  <c r="J1510" i="35"/>
  <c r="F1510" i="35"/>
  <c r="B1510" i="35"/>
  <c r="I1510" i="35" s="1"/>
  <c r="H1510" i="35" s="1"/>
  <c r="F1509" i="35"/>
  <c r="J1509" i="35" s="1"/>
  <c r="B1509" i="35"/>
  <c r="I1509" i="35" s="1"/>
  <c r="H1509" i="35" s="1"/>
  <c r="F1508" i="35"/>
  <c r="J1508" i="35" s="1"/>
  <c r="B1508" i="35"/>
  <c r="I1508" i="35" s="1"/>
  <c r="I1507" i="35"/>
  <c r="H1507" i="35"/>
  <c r="F1507" i="35"/>
  <c r="J1507" i="35" s="1"/>
  <c r="B1507" i="35"/>
  <c r="J1506" i="35"/>
  <c r="I1506" i="35"/>
  <c r="H1506" i="35" s="1"/>
  <c r="F1506" i="35"/>
  <c r="B1506" i="35"/>
  <c r="I1505" i="35"/>
  <c r="F1505" i="35"/>
  <c r="J1505" i="35" s="1"/>
  <c r="B1505" i="35"/>
  <c r="F1504" i="35"/>
  <c r="J1504" i="35" s="1"/>
  <c r="H1504" i="35" s="1"/>
  <c r="B1504" i="35"/>
  <c r="I1504" i="35" s="1"/>
  <c r="I1503" i="35"/>
  <c r="F1503" i="35"/>
  <c r="J1503" i="35" s="1"/>
  <c r="B1503" i="35"/>
  <c r="J1502" i="35"/>
  <c r="F1502" i="35"/>
  <c r="B1502" i="35"/>
  <c r="I1502" i="35" s="1"/>
  <c r="H1502" i="35" s="1"/>
  <c r="J1501" i="35"/>
  <c r="I1501" i="35"/>
  <c r="H1501" i="35" s="1"/>
  <c r="F1501" i="35"/>
  <c r="B1501" i="35"/>
  <c r="J1500" i="35"/>
  <c r="H1500" i="35"/>
  <c r="F1500" i="35"/>
  <c r="B1500" i="35"/>
  <c r="I1500" i="35" s="1"/>
  <c r="I1499" i="35"/>
  <c r="H1499" i="35"/>
  <c r="F1499" i="35"/>
  <c r="J1499" i="35" s="1"/>
  <c r="B1499" i="35"/>
  <c r="J1498" i="35"/>
  <c r="I1498" i="35"/>
  <c r="H1498" i="35" s="1"/>
  <c r="F1498" i="35"/>
  <c r="B1498" i="35"/>
  <c r="J1497" i="35"/>
  <c r="F1497" i="35"/>
  <c r="B1497" i="35"/>
  <c r="I1497" i="35" s="1"/>
  <c r="H1497" i="35" s="1"/>
  <c r="J1496" i="35"/>
  <c r="F1496" i="35"/>
  <c r="B1496" i="35"/>
  <c r="I1496" i="35" s="1"/>
  <c r="H1496" i="35" s="1"/>
  <c r="I1495" i="35"/>
  <c r="H1495" i="35" s="1"/>
  <c r="F1495" i="35"/>
  <c r="J1495" i="35" s="1"/>
  <c r="B1495" i="35"/>
  <c r="J1494" i="35"/>
  <c r="F1494" i="35"/>
  <c r="B1494" i="35"/>
  <c r="I1494" i="35" s="1"/>
  <c r="F1493" i="35"/>
  <c r="J1493" i="35" s="1"/>
  <c r="B1493" i="35"/>
  <c r="I1493" i="35" s="1"/>
  <c r="H1493" i="35" s="1"/>
  <c r="F1492" i="35"/>
  <c r="J1492" i="35" s="1"/>
  <c r="B1492" i="35"/>
  <c r="I1492" i="35" s="1"/>
  <c r="I1491" i="35"/>
  <c r="H1491" i="35"/>
  <c r="F1491" i="35"/>
  <c r="J1491" i="35" s="1"/>
  <c r="B1491" i="35"/>
  <c r="J1490" i="35"/>
  <c r="I1490" i="35"/>
  <c r="H1490" i="35" s="1"/>
  <c r="F1490" i="35"/>
  <c r="B1490" i="35"/>
  <c r="I1489" i="35"/>
  <c r="F1489" i="35"/>
  <c r="J1489" i="35" s="1"/>
  <c r="B1489" i="35"/>
  <c r="F1488" i="35"/>
  <c r="J1488" i="35" s="1"/>
  <c r="H1488" i="35" s="1"/>
  <c r="B1488" i="35"/>
  <c r="I1488" i="35" s="1"/>
  <c r="I1487" i="35"/>
  <c r="F1487" i="35"/>
  <c r="J1487" i="35" s="1"/>
  <c r="B1487" i="35"/>
  <c r="J1486" i="35"/>
  <c r="H1486" i="35"/>
  <c r="F1486" i="35"/>
  <c r="B1486" i="35"/>
  <c r="I1486" i="35" s="1"/>
  <c r="J1485" i="35"/>
  <c r="I1485" i="35"/>
  <c r="H1485" i="35" s="1"/>
  <c r="F1485" i="35"/>
  <c r="B1485" i="35"/>
  <c r="J1484" i="35"/>
  <c r="H1484" i="35"/>
  <c r="F1484" i="35"/>
  <c r="B1484" i="35"/>
  <c r="I1484" i="35" s="1"/>
  <c r="I1483" i="35"/>
  <c r="H1483" i="35"/>
  <c r="F1483" i="35"/>
  <c r="J1483" i="35" s="1"/>
  <c r="B1483" i="35"/>
  <c r="J1482" i="35"/>
  <c r="I1482" i="35"/>
  <c r="H1482" i="35" s="1"/>
  <c r="F1482" i="35"/>
  <c r="J1481" i="35"/>
  <c r="I1481" i="35"/>
  <c r="H1481" i="35" s="1"/>
  <c r="F1481" i="35"/>
  <c r="B1481" i="35"/>
  <c r="J1480" i="35"/>
  <c r="F1480" i="35"/>
  <c r="B1480" i="35"/>
  <c r="I1480" i="35" s="1"/>
  <c r="H1480" i="35" s="1"/>
  <c r="J1479" i="35"/>
  <c r="F1479" i="35"/>
  <c r="B1479" i="35"/>
  <c r="I1479" i="35" s="1"/>
  <c r="I1478" i="35"/>
  <c r="H1478" i="35" s="1"/>
  <c r="F1478" i="35"/>
  <c r="J1478" i="35" s="1"/>
  <c r="B1478" i="35"/>
  <c r="J1477" i="35"/>
  <c r="F1477" i="35"/>
  <c r="B1477" i="35"/>
  <c r="I1477" i="35" s="1"/>
  <c r="H1477" i="35" s="1"/>
  <c r="I1476" i="35"/>
  <c r="F1476" i="35"/>
  <c r="J1476" i="35" s="1"/>
  <c r="J1475" i="35"/>
  <c r="I1475" i="35"/>
  <c r="F1475" i="35"/>
  <c r="J1474" i="35"/>
  <c r="I1474" i="35"/>
  <c r="H1474" i="35" s="1"/>
  <c r="F1474" i="35"/>
  <c r="I1473" i="35"/>
  <c r="F1473" i="35"/>
  <c r="J1473" i="35" s="1"/>
  <c r="B1473" i="35"/>
  <c r="F1472" i="35"/>
  <c r="J1472" i="35" s="1"/>
  <c r="H1472" i="35" s="1"/>
  <c r="B1472" i="35"/>
  <c r="I1472" i="35" s="1"/>
  <c r="I1471" i="35"/>
  <c r="F1471" i="35"/>
  <c r="J1471" i="35" s="1"/>
  <c r="B1471" i="35"/>
  <c r="J1470" i="35"/>
  <c r="F1470" i="35"/>
  <c r="B1470" i="35"/>
  <c r="I1470" i="35" s="1"/>
  <c r="H1470" i="35" s="1"/>
  <c r="J1469" i="35"/>
  <c r="I1469" i="35"/>
  <c r="H1469" i="35" s="1"/>
  <c r="F1469" i="35"/>
  <c r="B1469" i="35"/>
  <c r="J1468" i="35"/>
  <c r="H1468" i="35"/>
  <c r="F1468" i="35"/>
  <c r="B1468" i="35"/>
  <c r="I1468" i="35" s="1"/>
  <c r="I1467" i="35"/>
  <c r="H1467" i="35"/>
  <c r="F1467" i="35"/>
  <c r="J1467" i="35" s="1"/>
  <c r="B1467" i="35"/>
  <c r="J1466" i="35"/>
  <c r="I1466" i="35"/>
  <c r="H1466" i="35" s="1"/>
  <c r="F1466" i="35"/>
  <c r="B1466" i="35"/>
  <c r="J1465" i="35"/>
  <c r="F1465" i="35"/>
  <c r="B1465" i="35"/>
  <c r="I1465" i="35" s="1"/>
  <c r="H1465" i="35" s="1"/>
  <c r="J1464" i="35"/>
  <c r="F1464" i="35"/>
  <c r="B1464" i="35"/>
  <c r="I1464" i="35" s="1"/>
  <c r="I1463" i="35"/>
  <c r="H1463" i="35" s="1"/>
  <c r="F1463" i="35"/>
  <c r="J1463" i="35" s="1"/>
  <c r="B1463" i="35"/>
  <c r="J1462" i="35"/>
  <c r="F1462" i="35"/>
  <c r="B1462" i="35"/>
  <c r="I1462" i="35" s="1"/>
  <c r="H1462" i="35" s="1"/>
  <c r="F1461" i="35"/>
  <c r="J1461" i="35" s="1"/>
  <c r="B1461" i="35"/>
  <c r="I1461" i="35" s="1"/>
  <c r="F1460" i="35"/>
  <c r="J1460" i="35" s="1"/>
  <c r="B1460" i="35"/>
  <c r="I1460" i="35" s="1"/>
  <c r="H1460" i="35" s="1"/>
  <c r="I1459" i="35"/>
  <c r="H1459" i="35"/>
  <c r="F1459" i="35"/>
  <c r="J1459" i="35" s="1"/>
  <c r="B1459" i="35"/>
  <c r="J1458" i="35"/>
  <c r="I1458" i="35"/>
  <c r="H1458" i="35" s="1"/>
  <c r="F1458" i="35"/>
  <c r="B1458" i="35"/>
  <c r="I1457" i="35"/>
  <c r="F1457" i="35"/>
  <c r="J1457" i="35" s="1"/>
  <c r="F1456" i="35"/>
  <c r="J1456" i="35" s="1"/>
  <c r="B1456" i="35"/>
  <c r="I1456" i="35" s="1"/>
  <c r="H1456" i="35" s="1"/>
  <c r="F1455" i="35"/>
  <c r="J1455" i="35" s="1"/>
  <c r="B1455" i="35"/>
  <c r="I1455" i="35" s="1"/>
  <c r="I1454" i="35"/>
  <c r="H1454" i="35"/>
  <c r="F1454" i="35"/>
  <c r="J1454" i="35" s="1"/>
  <c r="B1454" i="35"/>
  <c r="J1453" i="35"/>
  <c r="I1453" i="35"/>
  <c r="H1453" i="35" s="1"/>
  <c r="F1453" i="35"/>
  <c r="B1453" i="35"/>
  <c r="I1452" i="35"/>
  <c r="F1452" i="35"/>
  <c r="J1452" i="35" s="1"/>
  <c r="B1452" i="35"/>
  <c r="F1451" i="35"/>
  <c r="J1451" i="35" s="1"/>
  <c r="H1451" i="35" s="1"/>
  <c r="B1451" i="35"/>
  <c r="I1451" i="35" s="1"/>
  <c r="I1450" i="35"/>
  <c r="H1450" i="35" s="1"/>
  <c r="F1450" i="35"/>
  <c r="J1450" i="35" s="1"/>
  <c r="B1450" i="35"/>
  <c r="J1449" i="35"/>
  <c r="H1449" i="35"/>
  <c r="F1449" i="35"/>
  <c r="B1449" i="35"/>
  <c r="I1449" i="35" s="1"/>
  <c r="J1448" i="35"/>
  <c r="I1448" i="35"/>
  <c r="H1448" i="35" s="1"/>
  <c r="F1448" i="35"/>
  <c r="B1448" i="35"/>
  <c r="J1447" i="35"/>
  <c r="H1447" i="35"/>
  <c r="F1447" i="35"/>
  <c r="B1447" i="35"/>
  <c r="I1447" i="35" s="1"/>
  <c r="I1446" i="35"/>
  <c r="H1446" i="35"/>
  <c r="F1446" i="35"/>
  <c r="J1446" i="35" s="1"/>
  <c r="B1446" i="35"/>
  <c r="J1445" i="35"/>
  <c r="I1445" i="35"/>
  <c r="H1445" i="35" s="1"/>
  <c r="F1445" i="35"/>
  <c r="B1445" i="35"/>
  <c r="F1444" i="35"/>
  <c r="J1444" i="35" s="1"/>
  <c r="B1444" i="35"/>
  <c r="I1444" i="35" s="1"/>
  <c r="F1443" i="35"/>
  <c r="J1443" i="35" s="1"/>
  <c r="B1443" i="35"/>
  <c r="I1443" i="35" s="1"/>
  <c r="I1442" i="35"/>
  <c r="H1442" i="35" s="1"/>
  <c r="F1442" i="35"/>
  <c r="J1442" i="35" s="1"/>
  <c r="B1442" i="35"/>
  <c r="J1441" i="35"/>
  <c r="F1441" i="35"/>
  <c r="B1441" i="35"/>
  <c r="I1441" i="35" s="1"/>
  <c r="H1441" i="35" s="1"/>
  <c r="I1440" i="35"/>
  <c r="H1440" i="35" s="1"/>
  <c r="F1440" i="35"/>
  <c r="J1440" i="35" s="1"/>
  <c r="B1440" i="35"/>
  <c r="F1439" i="35"/>
  <c r="J1439" i="35" s="1"/>
  <c r="H1439" i="35" s="1"/>
  <c r="B1439" i="35"/>
  <c r="I1439" i="35" s="1"/>
  <c r="I1438" i="35"/>
  <c r="H1438" i="35"/>
  <c r="F1438" i="35"/>
  <c r="J1438" i="35" s="1"/>
  <c r="B1438" i="35"/>
  <c r="J1437" i="35"/>
  <c r="I1437" i="35"/>
  <c r="H1437" i="35" s="1"/>
  <c r="F1437" i="35"/>
  <c r="B1437" i="35"/>
  <c r="I1436" i="35"/>
  <c r="F1436" i="35"/>
  <c r="J1436" i="35" s="1"/>
  <c r="B1436" i="35"/>
  <c r="F1435" i="35"/>
  <c r="J1435" i="35" s="1"/>
  <c r="H1435" i="35" s="1"/>
  <c r="B1435" i="35"/>
  <c r="I1435" i="35" s="1"/>
  <c r="I1434" i="35"/>
  <c r="H1434" i="35" s="1"/>
  <c r="F1434" i="35"/>
  <c r="J1434" i="35" s="1"/>
  <c r="B1434" i="35"/>
  <c r="J1433" i="35"/>
  <c r="F1433" i="35"/>
  <c r="B1433" i="35"/>
  <c r="I1433" i="35" s="1"/>
  <c r="H1433" i="35" s="1"/>
  <c r="J1432" i="35"/>
  <c r="F1432" i="35"/>
  <c r="B1432" i="35"/>
  <c r="I1432" i="35" s="1"/>
  <c r="H1432" i="35" s="1"/>
  <c r="J1431" i="35"/>
  <c r="F1431" i="35"/>
  <c r="B1431" i="35"/>
  <c r="I1431" i="35" s="1"/>
  <c r="H1431" i="35" s="1"/>
  <c r="I1430" i="35"/>
  <c r="H1430" i="35"/>
  <c r="F1430" i="35"/>
  <c r="J1430" i="35" s="1"/>
  <c r="B1430" i="35"/>
  <c r="J1429" i="35"/>
  <c r="I1429" i="35"/>
  <c r="H1429" i="35" s="1"/>
  <c r="F1429" i="35"/>
  <c r="B1429" i="35"/>
  <c r="J1428" i="35"/>
  <c r="F1428" i="35"/>
  <c r="B1428" i="35"/>
  <c r="I1428" i="35" s="1"/>
  <c r="F1427" i="35"/>
  <c r="J1427" i="35" s="1"/>
  <c r="B1427" i="35"/>
  <c r="I1427" i="35" s="1"/>
  <c r="I1426" i="35"/>
  <c r="F1426" i="35"/>
  <c r="J1426" i="35" s="1"/>
  <c r="I1425" i="35"/>
  <c r="H1425" i="35"/>
  <c r="F1425" i="35"/>
  <c r="J1425" i="35" s="1"/>
  <c r="I1424" i="35"/>
  <c r="F1424" i="35"/>
  <c r="J1424" i="35" s="1"/>
  <c r="B1424" i="35"/>
  <c r="J1423" i="35"/>
  <c r="H1423" i="35"/>
  <c r="F1423" i="35"/>
  <c r="B1423" i="35"/>
  <c r="I1423" i="35" s="1"/>
  <c r="J1422" i="35"/>
  <c r="I1422" i="35"/>
  <c r="H1422" i="35" s="1"/>
  <c r="F1422" i="35"/>
  <c r="B1422" i="35"/>
  <c r="J1421" i="35"/>
  <c r="H1421" i="35"/>
  <c r="F1421" i="35"/>
  <c r="B1421" i="35"/>
  <c r="I1421" i="35" s="1"/>
  <c r="I1420" i="35"/>
  <c r="H1420" i="35"/>
  <c r="F1420" i="35"/>
  <c r="J1420" i="35" s="1"/>
  <c r="B1420" i="35"/>
  <c r="J1419" i="35"/>
  <c r="I1419" i="35"/>
  <c r="H1419" i="35" s="1"/>
  <c r="F1419" i="35"/>
  <c r="B1419" i="35"/>
  <c r="F1418" i="35"/>
  <c r="J1418" i="35" s="1"/>
  <c r="B1418" i="35"/>
  <c r="I1418" i="35" s="1"/>
  <c r="H1418" i="35" s="1"/>
  <c r="J1417" i="35"/>
  <c r="F1417" i="35"/>
  <c r="B1417" i="35"/>
  <c r="I1417" i="35" s="1"/>
  <c r="H1417" i="35" s="1"/>
  <c r="I1416" i="35"/>
  <c r="H1416" i="35" s="1"/>
  <c r="F1416" i="35"/>
  <c r="J1416" i="35" s="1"/>
  <c r="B1416" i="35"/>
  <c r="J1415" i="35"/>
  <c r="H1415" i="35"/>
  <c r="F1415" i="35"/>
  <c r="B1415" i="35"/>
  <c r="I1415" i="35" s="1"/>
  <c r="I1414" i="35"/>
  <c r="F1414" i="35"/>
  <c r="J1414" i="35" s="1"/>
  <c r="B1414" i="35"/>
  <c r="F1413" i="35"/>
  <c r="J1413" i="35" s="1"/>
  <c r="B1413" i="35"/>
  <c r="I1413" i="35" s="1"/>
  <c r="H1413" i="35" s="1"/>
  <c r="I1412" i="35"/>
  <c r="H1412" i="35"/>
  <c r="F1412" i="35"/>
  <c r="J1412" i="35" s="1"/>
  <c r="B1412" i="35"/>
  <c r="J1411" i="35"/>
  <c r="I1411" i="35"/>
  <c r="H1411" i="35" s="1"/>
  <c r="F1411" i="35"/>
  <c r="B1411" i="35"/>
  <c r="I1410" i="35"/>
  <c r="F1410" i="35"/>
  <c r="J1410" i="35" s="1"/>
  <c r="B1410" i="35"/>
  <c r="J1409" i="35"/>
  <c r="H1409" i="35" s="1"/>
  <c r="F1409" i="35"/>
  <c r="B1409" i="35"/>
  <c r="I1409" i="35" s="1"/>
  <c r="I1408" i="35"/>
  <c r="H1408" i="35" s="1"/>
  <c r="F1408" i="35"/>
  <c r="J1408" i="35" s="1"/>
  <c r="B1408" i="35"/>
  <c r="J1407" i="35"/>
  <c r="H1407" i="35"/>
  <c r="F1407" i="35"/>
  <c r="B1407" i="35"/>
  <c r="I1407" i="35" s="1"/>
  <c r="J1406" i="35"/>
  <c r="I1406" i="35"/>
  <c r="H1406" i="35" s="1"/>
  <c r="F1406" i="35"/>
  <c r="B1406" i="35"/>
  <c r="J1405" i="35"/>
  <c r="H1405" i="35"/>
  <c r="F1405" i="35"/>
  <c r="B1405" i="35"/>
  <c r="I1405" i="35" s="1"/>
  <c r="I1404" i="35"/>
  <c r="H1404" i="35"/>
  <c r="F1404" i="35"/>
  <c r="J1404" i="35" s="1"/>
  <c r="B1404" i="35"/>
  <c r="J1403" i="35"/>
  <c r="I1403" i="35"/>
  <c r="H1403" i="35" s="1"/>
  <c r="F1403" i="35"/>
  <c r="B1403" i="35"/>
  <c r="F1402" i="35"/>
  <c r="J1402" i="35" s="1"/>
  <c r="B1402" i="35"/>
  <c r="I1402" i="35" s="1"/>
  <c r="F1401" i="35"/>
  <c r="J1401" i="35" s="1"/>
  <c r="B1401" i="35"/>
  <c r="I1401" i="35" s="1"/>
  <c r="H1401" i="35" s="1"/>
  <c r="I1400" i="35"/>
  <c r="H1400" i="35" s="1"/>
  <c r="F1400" i="35"/>
  <c r="J1400" i="35" s="1"/>
  <c r="B1400" i="35"/>
  <c r="J1399" i="35"/>
  <c r="H1399" i="35" s="1"/>
  <c r="I1399" i="35"/>
  <c r="F1399" i="35"/>
  <c r="J1398" i="35"/>
  <c r="F1398" i="35"/>
  <c r="B1398" i="35"/>
  <c r="I1398" i="35" s="1"/>
  <c r="I1397" i="35"/>
  <c r="H1397" i="35" s="1"/>
  <c r="F1397" i="35"/>
  <c r="J1397" i="35" s="1"/>
  <c r="B1397" i="35"/>
  <c r="F1396" i="35"/>
  <c r="J1396" i="35" s="1"/>
  <c r="H1396" i="35" s="1"/>
  <c r="B1396" i="35"/>
  <c r="I1396" i="35" s="1"/>
  <c r="I1395" i="35"/>
  <c r="H1395" i="35"/>
  <c r="F1395" i="35"/>
  <c r="J1395" i="35" s="1"/>
  <c r="B1395" i="35"/>
  <c r="J1394" i="35"/>
  <c r="I1394" i="35"/>
  <c r="H1394" i="35" s="1"/>
  <c r="F1394" i="35"/>
  <c r="B1394" i="35"/>
  <c r="I1393" i="35"/>
  <c r="F1393" i="35"/>
  <c r="J1393" i="35" s="1"/>
  <c r="B1393" i="35"/>
  <c r="F1392" i="35"/>
  <c r="J1392" i="35" s="1"/>
  <c r="H1392" i="35" s="1"/>
  <c r="B1392" i="35"/>
  <c r="I1392" i="35" s="1"/>
  <c r="I1391" i="35"/>
  <c r="H1391" i="35" s="1"/>
  <c r="F1391" i="35"/>
  <c r="J1391" i="35" s="1"/>
  <c r="B1391" i="35"/>
  <c r="J1390" i="35"/>
  <c r="F1390" i="35"/>
  <c r="B1390" i="35"/>
  <c r="I1390" i="35" s="1"/>
  <c r="J1389" i="35"/>
  <c r="F1389" i="35"/>
  <c r="B1389" i="35"/>
  <c r="I1389" i="35" s="1"/>
  <c r="H1389" i="35" s="1"/>
  <c r="J1388" i="35"/>
  <c r="F1388" i="35"/>
  <c r="B1388" i="35"/>
  <c r="I1388" i="35" s="1"/>
  <c r="H1388" i="35" s="1"/>
  <c r="I1387" i="35"/>
  <c r="H1387" i="35"/>
  <c r="F1387" i="35"/>
  <c r="J1387" i="35" s="1"/>
  <c r="B1387" i="35"/>
  <c r="J1386" i="35"/>
  <c r="I1386" i="35"/>
  <c r="H1386" i="35" s="1"/>
  <c r="F1386" i="35"/>
  <c r="B1386" i="35"/>
  <c r="J1385" i="35"/>
  <c r="F1385" i="35"/>
  <c r="B1385" i="35"/>
  <c r="I1385" i="35" s="1"/>
  <c r="F1384" i="35"/>
  <c r="J1384" i="35" s="1"/>
  <c r="B1384" i="35"/>
  <c r="I1384" i="35" s="1"/>
  <c r="I1383" i="35"/>
  <c r="F1383" i="35"/>
  <c r="J1383" i="35" s="1"/>
  <c r="B1383" i="35"/>
  <c r="J1382" i="35"/>
  <c r="F1382" i="35"/>
  <c r="B1382" i="35"/>
  <c r="I1382" i="35" s="1"/>
  <c r="H1382" i="35" s="1"/>
  <c r="F1381" i="35"/>
  <c r="J1381" i="35" s="1"/>
  <c r="B1381" i="35"/>
  <c r="I1381" i="35" s="1"/>
  <c r="H1381" i="35" s="1"/>
  <c r="H1380" i="35"/>
  <c r="F1380" i="35"/>
  <c r="J1380" i="35" s="1"/>
  <c r="B1380" i="35"/>
  <c r="I1380" i="35" s="1"/>
  <c r="I1379" i="35"/>
  <c r="H1379" i="35"/>
  <c r="F1379" i="35"/>
  <c r="J1379" i="35" s="1"/>
  <c r="B1379" i="35"/>
  <c r="J1378" i="35"/>
  <c r="I1378" i="35"/>
  <c r="H1378" i="35" s="1"/>
  <c r="F1378" i="35"/>
  <c r="B1378" i="35"/>
  <c r="J1377" i="35"/>
  <c r="I1377" i="35"/>
  <c r="F1377" i="35"/>
  <c r="B1377" i="35"/>
  <c r="F1376" i="35"/>
  <c r="J1376" i="35" s="1"/>
  <c r="H1376" i="35" s="1"/>
  <c r="B1376" i="35"/>
  <c r="I1376" i="35" s="1"/>
  <c r="I1375" i="35"/>
  <c r="F1375" i="35"/>
  <c r="J1375" i="35" s="1"/>
  <c r="B1375" i="35"/>
  <c r="J1374" i="35"/>
  <c r="F1374" i="35"/>
  <c r="B1374" i="35"/>
  <c r="I1374" i="35" s="1"/>
  <c r="H1374" i="35" s="1"/>
  <c r="J1373" i="35"/>
  <c r="F1373" i="35"/>
  <c r="B1373" i="35"/>
  <c r="I1373" i="35" s="1"/>
  <c r="H1373" i="35" s="1"/>
  <c r="J1372" i="35"/>
  <c r="F1372" i="35"/>
  <c r="B1372" i="35"/>
  <c r="I1372" i="35" s="1"/>
  <c r="H1372" i="35" s="1"/>
  <c r="I1371" i="35"/>
  <c r="H1371" i="35"/>
  <c r="F1371" i="35"/>
  <c r="J1371" i="35" s="1"/>
  <c r="I1370" i="35"/>
  <c r="H1370" i="35" s="1"/>
  <c r="F1370" i="35"/>
  <c r="J1370" i="35" s="1"/>
  <c r="I1369" i="35"/>
  <c r="H1369" i="35"/>
  <c r="F1369" i="35"/>
  <c r="J1369" i="35" s="1"/>
  <c r="I1368" i="35"/>
  <c r="H1368" i="35" s="1"/>
  <c r="F1368" i="35"/>
  <c r="J1368" i="35" s="1"/>
  <c r="I1367" i="35"/>
  <c r="F1367" i="35"/>
  <c r="J1367" i="35" s="1"/>
  <c r="B1367" i="35"/>
  <c r="J1366" i="35"/>
  <c r="I1366" i="35"/>
  <c r="H1366" i="35"/>
  <c r="F1366" i="35"/>
  <c r="J1365" i="35"/>
  <c r="H1365" i="35"/>
  <c r="F1365" i="35"/>
  <c r="B1365" i="35"/>
  <c r="I1365" i="35" s="1"/>
  <c r="I1364" i="35"/>
  <c r="F1364" i="35"/>
  <c r="J1364" i="35" s="1"/>
  <c r="B1364" i="35"/>
  <c r="J1363" i="35"/>
  <c r="F1363" i="35"/>
  <c r="B1363" i="35"/>
  <c r="I1363" i="35" s="1"/>
  <c r="H1363" i="35" s="1"/>
  <c r="I1362" i="35"/>
  <c r="H1362" i="35" s="1"/>
  <c r="F1362" i="35"/>
  <c r="J1362" i="35" s="1"/>
  <c r="B1362" i="35"/>
  <c r="J1361" i="35"/>
  <c r="F1361" i="35"/>
  <c r="B1361" i="35"/>
  <c r="I1361" i="35" s="1"/>
  <c r="I1360" i="35"/>
  <c r="H1360" i="35" s="1"/>
  <c r="F1360" i="35"/>
  <c r="J1360" i="35" s="1"/>
  <c r="B1360" i="35"/>
  <c r="J1359" i="35"/>
  <c r="H1359" i="35"/>
  <c r="F1359" i="35"/>
  <c r="B1359" i="35"/>
  <c r="I1359" i="35" s="1"/>
  <c r="I1358" i="35"/>
  <c r="F1358" i="35"/>
  <c r="J1358" i="35" s="1"/>
  <c r="B1358" i="35"/>
  <c r="J1357" i="35"/>
  <c r="H1357" i="35"/>
  <c r="F1357" i="35"/>
  <c r="B1357" i="35"/>
  <c r="I1357" i="35" s="1"/>
  <c r="I1356" i="35"/>
  <c r="F1356" i="35"/>
  <c r="J1356" i="35" s="1"/>
  <c r="B1356" i="35"/>
  <c r="J1355" i="35"/>
  <c r="F1355" i="35"/>
  <c r="B1355" i="35"/>
  <c r="I1355" i="35" s="1"/>
  <c r="H1355" i="35" s="1"/>
  <c r="I1354" i="35"/>
  <c r="H1354" i="35" s="1"/>
  <c r="F1354" i="35"/>
  <c r="J1354" i="35" s="1"/>
  <c r="B1354" i="35"/>
  <c r="J1353" i="35"/>
  <c r="F1353" i="35"/>
  <c r="B1353" i="35"/>
  <c r="I1353" i="35" s="1"/>
  <c r="H1353" i="35" s="1"/>
  <c r="I1352" i="35"/>
  <c r="H1352" i="35" s="1"/>
  <c r="F1352" i="35"/>
  <c r="J1352" i="35" s="1"/>
  <c r="I1351" i="35"/>
  <c r="F1351" i="35"/>
  <c r="J1351" i="35" s="1"/>
  <c r="I1350" i="35"/>
  <c r="H1350" i="35" s="1"/>
  <c r="F1350" i="35"/>
  <c r="J1350" i="35" s="1"/>
  <c r="B1350" i="35"/>
  <c r="J1349" i="35"/>
  <c r="H1349" i="35"/>
  <c r="F1349" i="35"/>
  <c r="B1349" i="35"/>
  <c r="I1349" i="35" s="1"/>
  <c r="I1348" i="35"/>
  <c r="F1348" i="35"/>
  <c r="J1348" i="35" s="1"/>
  <c r="B1348" i="35"/>
  <c r="J1347" i="35"/>
  <c r="H1347" i="35"/>
  <c r="F1347" i="35"/>
  <c r="B1347" i="35"/>
  <c r="I1347" i="35" s="1"/>
  <c r="I1346" i="35"/>
  <c r="F1346" i="35"/>
  <c r="J1346" i="35" s="1"/>
  <c r="I1345" i="35"/>
  <c r="H1345" i="35" s="1"/>
  <c r="F1345" i="35"/>
  <c r="J1345" i="35" s="1"/>
  <c r="I1344" i="35"/>
  <c r="F1344" i="35"/>
  <c r="J1344" i="35" s="1"/>
  <c r="B1344" i="35"/>
  <c r="J1343" i="35"/>
  <c r="F1343" i="35"/>
  <c r="B1343" i="35"/>
  <c r="I1343" i="35" s="1"/>
  <c r="H1343" i="35" s="1"/>
  <c r="I1342" i="35"/>
  <c r="H1342" i="35" s="1"/>
  <c r="F1342" i="35"/>
  <c r="J1342" i="35" s="1"/>
  <c r="B1342" i="35"/>
  <c r="J1341" i="35"/>
  <c r="F1341" i="35"/>
  <c r="B1341" i="35"/>
  <c r="I1341" i="35" s="1"/>
  <c r="I1340" i="35"/>
  <c r="H1340" i="35" s="1"/>
  <c r="F1340" i="35"/>
  <c r="J1340" i="35" s="1"/>
  <c r="B1340" i="35"/>
  <c r="J1339" i="35"/>
  <c r="H1339" i="35"/>
  <c r="F1339" i="35"/>
  <c r="B1339" i="35"/>
  <c r="I1339" i="35" s="1"/>
  <c r="I1338" i="35"/>
  <c r="F1338" i="35"/>
  <c r="J1338" i="35" s="1"/>
  <c r="B1338" i="35"/>
  <c r="J1337" i="35"/>
  <c r="H1337" i="35"/>
  <c r="F1337" i="35"/>
  <c r="B1337" i="35"/>
  <c r="I1337" i="35" s="1"/>
  <c r="I1336" i="35"/>
  <c r="F1336" i="35"/>
  <c r="J1336" i="35" s="1"/>
  <c r="I1335" i="35"/>
  <c r="H1335" i="35" s="1"/>
  <c r="F1335" i="35"/>
  <c r="J1335" i="35" s="1"/>
  <c r="I1334" i="35"/>
  <c r="F1334" i="35"/>
  <c r="J1334" i="35" s="1"/>
  <c r="B1334" i="35"/>
  <c r="J1333" i="35"/>
  <c r="F1333" i="35"/>
  <c r="B1333" i="35"/>
  <c r="I1333" i="35" s="1"/>
  <c r="H1333" i="35" s="1"/>
  <c r="I1332" i="35"/>
  <c r="H1332" i="35" s="1"/>
  <c r="F1332" i="35"/>
  <c r="J1332" i="35" s="1"/>
  <c r="B1332" i="35"/>
  <c r="J1331" i="35"/>
  <c r="F1331" i="35"/>
  <c r="B1331" i="35"/>
  <c r="I1331" i="35" s="1"/>
  <c r="H1331" i="35" s="1"/>
  <c r="I1330" i="35"/>
  <c r="H1330" i="35" s="1"/>
  <c r="F1330" i="35"/>
  <c r="J1330" i="35" s="1"/>
  <c r="B1330" i="35"/>
  <c r="J1329" i="35"/>
  <c r="H1329" i="35"/>
  <c r="F1329" i="35"/>
  <c r="B1329" i="35"/>
  <c r="I1329" i="35" s="1"/>
  <c r="I1328" i="35"/>
  <c r="F1328" i="35"/>
  <c r="J1328" i="35" s="1"/>
  <c r="B1328" i="35"/>
  <c r="J1327" i="35"/>
  <c r="H1327" i="35"/>
  <c r="F1327" i="35"/>
  <c r="B1327" i="35"/>
  <c r="I1327" i="35" s="1"/>
  <c r="I1326" i="35"/>
  <c r="F1326" i="35"/>
  <c r="J1326" i="35" s="1"/>
  <c r="B1326" i="35"/>
  <c r="J1325" i="35"/>
  <c r="F1325" i="35"/>
  <c r="B1325" i="35"/>
  <c r="I1325" i="35" s="1"/>
  <c r="H1325" i="35" s="1"/>
  <c r="I1324" i="35"/>
  <c r="H1324" i="35" s="1"/>
  <c r="F1324" i="35"/>
  <c r="J1324" i="35" s="1"/>
  <c r="B1324" i="35"/>
  <c r="J1323" i="35"/>
  <c r="F1323" i="35"/>
  <c r="B1323" i="35"/>
  <c r="I1323" i="35" s="1"/>
  <c r="I1322" i="35"/>
  <c r="H1322" i="35" s="1"/>
  <c r="F1322" i="35"/>
  <c r="J1322" i="35" s="1"/>
  <c r="B1322" i="35"/>
  <c r="J1321" i="35"/>
  <c r="H1321" i="35"/>
  <c r="F1321" i="35"/>
  <c r="B1321" i="35"/>
  <c r="I1321" i="35" s="1"/>
  <c r="I1320" i="35"/>
  <c r="F1320" i="35"/>
  <c r="J1320" i="35" s="1"/>
  <c r="B1320" i="35"/>
  <c r="J1319" i="35"/>
  <c r="H1319" i="35"/>
  <c r="F1319" i="35"/>
  <c r="B1319" i="35"/>
  <c r="I1319" i="35" s="1"/>
  <c r="I1318" i="35"/>
  <c r="F1318" i="35"/>
  <c r="J1318" i="35" s="1"/>
  <c r="B1318" i="35"/>
  <c r="J1317" i="35"/>
  <c r="I1317" i="35"/>
  <c r="H1317" i="35"/>
  <c r="F1317" i="35"/>
  <c r="J1316" i="35"/>
  <c r="I1316" i="35"/>
  <c r="H1316" i="35"/>
  <c r="F1316" i="35"/>
  <c r="J1315" i="35"/>
  <c r="F1315" i="35"/>
  <c r="B1315" i="35"/>
  <c r="I1315" i="35" s="1"/>
  <c r="H1315" i="35" s="1"/>
  <c r="I1314" i="35"/>
  <c r="H1314" i="35" s="1"/>
  <c r="F1314" i="35"/>
  <c r="J1314" i="35" s="1"/>
  <c r="B1314" i="35"/>
  <c r="J1313" i="35"/>
  <c r="F1313" i="35"/>
  <c r="B1313" i="35"/>
  <c r="I1313" i="35" s="1"/>
  <c r="H1313" i="35" s="1"/>
  <c r="I1312" i="35"/>
  <c r="H1312" i="35" s="1"/>
  <c r="F1312" i="35"/>
  <c r="J1312" i="35" s="1"/>
  <c r="B1312" i="35"/>
  <c r="J1311" i="35"/>
  <c r="H1311" i="35"/>
  <c r="F1311" i="35"/>
  <c r="B1311" i="35"/>
  <c r="I1311" i="35" s="1"/>
  <c r="I1310" i="35"/>
  <c r="F1310" i="35"/>
  <c r="J1310" i="35" s="1"/>
  <c r="B1310" i="35"/>
  <c r="J1309" i="35"/>
  <c r="I1309" i="35"/>
  <c r="H1309" i="35"/>
  <c r="F1309" i="35"/>
  <c r="J1308" i="35"/>
  <c r="I1308" i="35"/>
  <c r="H1308" i="35"/>
  <c r="F1308" i="35"/>
  <c r="J1307" i="35"/>
  <c r="I1307" i="35"/>
  <c r="H1307" i="35"/>
  <c r="F1307" i="35"/>
  <c r="J1306" i="35"/>
  <c r="I1306" i="35"/>
  <c r="H1306" i="35"/>
  <c r="F1306" i="35"/>
  <c r="J1305" i="35"/>
  <c r="I1305" i="35"/>
  <c r="H1305" i="35"/>
  <c r="F1305" i="35"/>
  <c r="J1304" i="35"/>
  <c r="I1304" i="35"/>
  <c r="H1304" i="35"/>
  <c r="F1304" i="35"/>
  <c r="J1303" i="35"/>
  <c r="I1303" i="35"/>
  <c r="H1303" i="35"/>
  <c r="F1303" i="35"/>
  <c r="J1302" i="35"/>
  <c r="H1302" i="35"/>
  <c r="F1302" i="35"/>
  <c r="B1302" i="35"/>
  <c r="I1302" i="35" s="1"/>
  <c r="I1301" i="35"/>
  <c r="F1301" i="35"/>
  <c r="J1301" i="35" s="1"/>
  <c r="I1300" i="35"/>
  <c r="H1300" i="35" s="1"/>
  <c r="F1300" i="35"/>
  <c r="J1300" i="35" s="1"/>
  <c r="I1299" i="35"/>
  <c r="F1299" i="35"/>
  <c r="J1299" i="35" s="1"/>
  <c r="I1298" i="35"/>
  <c r="H1298" i="35" s="1"/>
  <c r="F1298" i="35"/>
  <c r="J1298" i="35" s="1"/>
  <c r="I1297" i="35"/>
  <c r="F1297" i="35"/>
  <c r="J1297" i="35" s="1"/>
  <c r="B1297" i="35"/>
  <c r="J1296" i="35"/>
  <c r="F1296" i="35"/>
  <c r="B1296" i="35"/>
  <c r="I1296" i="35" s="1"/>
  <c r="H1296" i="35" s="1"/>
  <c r="I1295" i="35"/>
  <c r="H1295" i="35" s="1"/>
  <c r="F1295" i="35"/>
  <c r="J1295" i="35" s="1"/>
  <c r="B1295" i="35"/>
  <c r="J1294" i="35"/>
  <c r="F1294" i="35"/>
  <c r="B1294" i="35"/>
  <c r="I1294" i="35" s="1"/>
  <c r="I1293" i="35"/>
  <c r="H1293" i="35" s="1"/>
  <c r="F1293" i="35"/>
  <c r="J1293" i="35" s="1"/>
  <c r="B1293" i="35"/>
  <c r="J1292" i="35"/>
  <c r="H1292" i="35"/>
  <c r="F1292" i="35"/>
  <c r="B1292" i="35"/>
  <c r="I1292" i="35" s="1"/>
  <c r="I1291" i="35"/>
  <c r="F1291" i="35"/>
  <c r="J1291" i="35" s="1"/>
  <c r="B1291" i="35"/>
  <c r="J1290" i="35"/>
  <c r="H1290" i="35"/>
  <c r="F1290" i="35"/>
  <c r="B1290" i="35"/>
  <c r="I1290" i="35" s="1"/>
  <c r="I1289" i="35"/>
  <c r="F1289" i="35"/>
  <c r="J1289" i="35" s="1"/>
  <c r="B1289" i="35"/>
  <c r="J1288" i="35"/>
  <c r="F1288" i="35"/>
  <c r="B1288" i="35"/>
  <c r="I1288" i="35" s="1"/>
  <c r="H1288" i="35" s="1"/>
  <c r="I1287" i="35"/>
  <c r="H1287" i="35" s="1"/>
  <c r="F1287" i="35"/>
  <c r="J1287" i="35" s="1"/>
  <c r="B1287" i="35"/>
  <c r="J1286" i="35"/>
  <c r="F1286" i="35"/>
  <c r="B1286" i="35"/>
  <c r="I1286" i="35" s="1"/>
  <c r="H1286" i="35" s="1"/>
  <c r="I1285" i="35"/>
  <c r="H1285" i="35" s="1"/>
  <c r="F1285" i="35"/>
  <c r="J1285" i="35" s="1"/>
  <c r="B1285" i="35"/>
  <c r="J1284" i="35"/>
  <c r="H1284" i="35"/>
  <c r="F1284" i="35"/>
  <c r="B1284" i="35"/>
  <c r="I1284" i="35" s="1"/>
  <c r="I1283" i="35"/>
  <c r="F1283" i="35"/>
  <c r="J1283" i="35" s="1"/>
  <c r="B1283" i="35"/>
  <c r="J1282" i="35"/>
  <c r="H1282" i="35"/>
  <c r="F1282" i="35"/>
  <c r="B1282" i="35"/>
  <c r="I1282" i="35" s="1"/>
  <c r="I1281" i="35"/>
  <c r="F1281" i="35"/>
  <c r="J1281" i="35" s="1"/>
  <c r="B1281" i="35"/>
  <c r="J1280" i="35"/>
  <c r="F1280" i="35"/>
  <c r="B1280" i="35"/>
  <c r="I1280" i="35" s="1"/>
  <c r="H1280" i="35" s="1"/>
  <c r="I1279" i="35"/>
  <c r="H1279" i="35" s="1"/>
  <c r="F1279" i="35"/>
  <c r="J1279" i="35" s="1"/>
  <c r="B1279" i="35"/>
  <c r="J1278" i="35"/>
  <c r="F1278" i="35"/>
  <c r="B1278" i="35"/>
  <c r="I1278" i="35" s="1"/>
  <c r="I1277" i="35"/>
  <c r="H1277" i="35" s="1"/>
  <c r="F1277" i="35"/>
  <c r="J1277" i="35" s="1"/>
  <c r="B1277" i="35"/>
  <c r="J1276" i="35"/>
  <c r="H1276" i="35" s="1"/>
  <c r="I1276" i="35"/>
  <c r="F1276" i="35"/>
  <c r="J1275" i="35"/>
  <c r="H1275" i="35"/>
  <c r="F1275" i="35"/>
  <c r="B1275" i="35"/>
  <c r="I1275" i="35" s="1"/>
  <c r="I1274" i="35"/>
  <c r="F1274" i="35"/>
  <c r="J1274" i="35" s="1"/>
  <c r="B1274" i="35"/>
  <c r="J1273" i="35"/>
  <c r="H1273" i="35"/>
  <c r="F1273" i="35"/>
  <c r="B1273" i="35"/>
  <c r="I1273" i="35" s="1"/>
  <c r="I1272" i="35"/>
  <c r="F1272" i="35"/>
  <c r="J1272" i="35" s="1"/>
  <c r="B1272" i="35"/>
  <c r="J1271" i="35"/>
  <c r="F1271" i="35"/>
  <c r="B1271" i="35"/>
  <c r="I1271" i="35" s="1"/>
  <c r="H1271" i="35" s="1"/>
  <c r="I1270" i="35"/>
  <c r="H1270" i="35" s="1"/>
  <c r="F1270" i="35"/>
  <c r="J1270" i="35" s="1"/>
  <c r="B1270" i="35"/>
  <c r="J1269" i="35"/>
  <c r="H1269" i="35" s="1"/>
  <c r="I1269" i="35"/>
  <c r="F1269" i="35"/>
  <c r="J1268" i="35"/>
  <c r="F1268" i="35"/>
  <c r="B1268" i="35"/>
  <c r="I1268" i="35" s="1"/>
  <c r="I1267" i="35"/>
  <c r="H1267" i="35" s="1"/>
  <c r="F1267" i="35"/>
  <c r="J1267" i="35" s="1"/>
  <c r="B1267" i="35"/>
  <c r="J1266" i="35"/>
  <c r="H1266" i="35"/>
  <c r="F1266" i="35"/>
  <c r="B1266" i="35"/>
  <c r="I1266" i="35" s="1"/>
  <c r="I1265" i="35"/>
  <c r="F1265" i="35"/>
  <c r="J1265" i="35" s="1"/>
  <c r="B1265" i="35"/>
  <c r="J1264" i="35"/>
  <c r="H1264" i="35"/>
  <c r="F1264" i="35"/>
  <c r="B1264" i="35"/>
  <c r="I1264" i="35" s="1"/>
  <c r="I1263" i="35"/>
  <c r="F1263" i="35"/>
  <c r="J1263" i="35" s="1"/>
  <c r="B1263" i="35"/>
  <c r="J1262" i="35"/>
  <c r="I1262" i="35"/>
  <c r="H1262" i="35"/>
  <c r="F1262" i="35"/>
  <c r="J1261" i="35"/>
  <c r="F1261" i="35"/>
  <c r="B1261" i="35"/>
  <c r="I1261" i="35" s="1"/>
  <c r="H1261" i="35" s="1"/>
  <c r="I1260" i="35"/>
  <c r="H1260" i="35" s="1"/>
  <c r="F1260" i="35"/>
  <c r="J1260" i="35" s="1"/>
  <c r="B1260" i="35"/>
  <c r="J1259" i="35"/>
  <c r="F1259" i="35"/>
  <c r="B1259" i="35"/>
  <c r="I1259" i="35" s="1"/>
  <c r="H1259" i="35" s="1"/>
  <c r="I1258" i="35"/>
  <c r="H1258" i="35" s="1"/>
  <c r="F1258" i="35"/>
  <c r="J1258" i="35" s="1"/>
  <c r="B1258" i="35"/>
  <c r="J1257" i="35"/>
  <c r="H1257" i="35"/>
  <c r="F1257" i="35"/>
  <c r="B1257" i="35"/>
  <c r="I1257" i="35" s="1"/>
  <c r="I1256" i="35"/>
  <c r="F1256" i="35"/>
  <c r="J1256" i="35" s="1"/>
  <c r="B1256" i="35"/>
  <c r="J1255" i="35"/>
  <c r="H1255" i="35"/>
  <c r="F1255" i="35"/>
  <c r="B1255" i="35"/>
  <c r="I1255" i="35" s="1"/>
  <c r="I1254" i="35"/>
  <c r="F1254" i="35"/>
  <c r="J1254" i="35" s="1"/>
  <c r="I1253" i="35"/>
  <c r="H1253" i="35" s="1"/>
  <c r="F1253" i="35"/>
  <c r="J1253" i="35" s="1"/>
  <c r="I1252" i="35"/>
  <c r="F1252" i="35"/>
  <c r="J1252" i="35" s="1"/>
  <c r="I1251" i="35"/>
  <c r="H1251" i="35" s="1"/>
  <c r="F1251" i="35"/>
  <c r="J1251" i="35" s="1"/>
  <c r="I1250" i="35"/>
  <c r="F1250" i="35"/>
  <c r="J1250" i="35" s="1"/>
  <c r="I1249" i="35"/>
  <c r="H1249" i="35" s="1"/>
  <c r="F1249" i="35"/>
  <c r="J1249" i="35" s="1"/>
  <c r="I1248" i="35"/>
  <c r="F1248" i="35"/>
  <c r="J1248" i="35" s="1"/>
  <c r="I1247" i="35"/>
  <c r="H1247" i="35" s="1"/>
  <c r="F1247" i="35"/>
  <c r="J1247" i="35" s="1"/>
  <c r="B1247" i="35"/>
  <c r="J1246" i="35"/>
  <c r="H1246" i="35" s="1"/>
  <c r="I1246" i="35"/>
  <c r="F1246" i="35"/>
  <c r="J1245" i="35"/>
  <c r="H1245" i="35"/>
  <c r="F1245" i="35"/>
  <c r="B1245" i="35"/>
  <c r="I1245" i="35" s="1"/>
  <c r="I1244" i="35"/>
  <c r="F1244" i="35"/>
  <c r="J1244" i="35" s="1"/>
  <c r="B1244" i="35"/>
  <c r="J1243" i="35"/>
  <c r="H1243" i="35"/>
  <c r="F1243" i="35"/>
  <c r="B1243" i="35"/>
  <c r="I1243" i="35" s="1"/>
  <c r="I1242" i="35"/>
  <c r="F1242" i="35"/>
  <c r="J1242" i="35" s="1"/>
  <c r="B1242" i="35"/>
  <c r="J1241" i="35"/>
  <c r="F1241" i="35"/>
  <c r="B1241" i="35"/>
  <c r="I1241" i="35" s="1"/>
  <c r="H1241" i="35" s="1"/>
  <c r="I1240" i="35"/>
  <c r="H1240" i="35" s="1"/>
  <c r="F1240" i="35"/>
  <c r="J1240" i="35" s="1"/>
  <c r="B1240" i="35"/>
  <c r="J1239" i="35"/>
  <c r="F1239" i="35"/>
  <c r="B1239" i="35"/>
  <c r="I1239" i="35" s="1"/>
  <c r="I1238" i="35"/>
  <c r="H1238" i="35" s="1"/>
  <c r="F1238" i="35"/>
  <c r="J1238" i="35" s="1"/>
  <c r="B1238" i="35"/>
  <c r="J1237" i="35"/>
  <c r="H1237" i="35"/>
  <c r="F1237" i="35"/>
  <c r="B1237" i="35"/>
  <c r="I1237" i="35" s="1"/>
  <c r="I1236" i="35"/>
  <c r="F1236" i="35"/>
  <c r="J1236" i="35" s="1"/>
  <c r="B1236" i="35"/>
  <c r="J1235" i="35"/>
  <c r="H1235" i="35"/>
  <c r="F1235" i="35"/>
  <c r="B1235" i="35"/>
  <c r="I1235" i="35" s="1"/>
  <c r="I1234" i="35"/>
  <c r="F1234" i="35"/>
  <c r="J1234" i="35" s="1"/>
  <c r="B1234" i="35"/>
  <c r="J1233" i="35"/>
  <c r="F1233" i="35"/>
  <c r="B1233" i="35"/>
  <c r="I1233" i="35" s="1"/>
  <c r="H1233" i="35" s="1"/>
  <c r="I1232" i="35"/>
  <c r="H1232" i="35" s="1"/>
  <c r="F1232" i="35"/>
  <c r="J1232" i="35" s="1"/>
  <c r="B1232" i="35"/>
  <c r="J1231" i="35"/>
  <c r="F1231" i="35"/>
  <c r="B1231" i="35"/>
  <c r="I1231" i="35" s="1"/>
  <c r="H1231" i="35" s="1"/>
  <c r="I1230" i="35"/>
  <c r="H1230" i="35" s="1"/>
  <c r="F1230" i="35"/>
  <c r="J1230" i="35" s="1"/>
  <c r="B1230" i="35"/>
  <c r="J1229" i="35"/>
  <c r="H1229" i="35"/>
  <c r="F1229" i="35"/>
  <c r="B1229" i="35"/>
  <c r="I1229" i="35" s="1"/>
  <c r="I1228" i="35"/>
  <c r="F1228" i="35"/>
  <c r="J1228" i="35" s="1"/>
  <c r="B1228" i="35"/>
  <c r="J1227" i="35"/>
  <c r="H1227" i="35"/>
  <c r="F1227" i="35"/>
  <c r="B1227" i="35"/>
  <c r="I1227" i="35" s="1"/>
  <c r="I1226" i="35"/>
  <c r="F1226" i="35"/>
  <c r="J1226" i="35" s="1"/>
  <c r="B1226" i="35"/>
  <c r="J1225" i="35"/>
  <c r="F1225" i="35"/>
  <c r="B1225" i="35"/>
  <c r="I1225" i="35" s="1"/>
  <c r="H1225" i="35" s="1"/>
  <c r="I1224" i="35"/>
  <c r="H1224" i="35" s="1"/>
  <c r="F1224" i="35"/>
  <c r="J1224" i="35" s="1"/>
  <c r="B1224" i="35"/>
  <c r="J1223" i="35"/>
  <c r="F1223" i="35"/>
  <c r="B1223" i="35"/>
  <c r="I1223" i="35" s="1"/>
  <c r="I1222" i="35"/>
  <c r="H1222" i="35" s="1"/>
  <c r="F1222" i="35"/>
  <c r="J1222" i="35" s="1"/>
  <c r="B1222" i="35"/>
  <c r="J1221" i="35"/>
  <c r="H1221" i="35"/>
  <c r="F1221" i="35"/>
  <c r="B1221" i="35"/>
  <c r="I1221" i="35" s="1"/>
  <c r="I1220" i="35"/>
  <c r="F1220" i="35"/>
  <c r="J1220" i="35" s="1"/>
  <c r="B1220" i="35"/>
  <c r="J1219" i="35"/>
  <c r="H1219" i="35"/>
  <c r="F1219" i="35"/>
  <c r="B1219" i="35"/>
  <c r="I1219" i="35" s="1"/>
  <c r="I1218" i="35"/>
  <c r="F1218" i="35"/>
  <c r="J1218" i="35" s="1"/>
  <c r="B1218" i="35"/>
  <c r="J1217" i="35"/>
  <c r="F1217" i="35"/>
  <c r="B1217" i="35"/>
  <c r="I1217" i="35" s="1"/>
  <c r="H1217" i="35" s="1"/>
  <c r="I1216" i="35"/>
  <c r="H1216" i="35" s="1"/>
  <c r="F1216" i="35"/>
  <c r="J1216" i="35" s="1"/>
  <c r="B1216" i="35"/>
  <c r="J1215" i="35"/>
  <c r="H1215" i="35" s="1"/>
  <c r="I1215" i="35"/>
  <c r="F1215" i="35"/>
  <c r="J1214" i="35"/>
  <c r="H1214" i="35" s="1"/>
  <c r="I1214" i="35"/>
  <c r="F1214" i="35"/>
  <c r="J1213" i="35"/>
  <c r="H1213" i="35" s="1"/>
  <c r="I1213" i="35"/>
  <c r="F1213" i="35"/>
  <c r="J1212" i="35"/>
  <c r="H1212" i="35" s="1"/>
  <c r="I1212" i="35"/>
  <c r="F1212" i="35"/>
  <c r="J1211" i="35"/>
  <c r="H1211" i="35" s="1"/>
  <c r="I1211" i="35"/>
  <c r="F1211" i="35"/>
  <c r="J1210" i="35"/>
  <c r="H1210" i="35" s="1"/>
  <c r="I1210" i="35"/>
  <c r="F1210" i="35"/>
  <c r="J1209" i="35"/>
  <c r="H1209" i="35" s="1"/>
  <c r="I1209" i="35"/>
  <c r="F1209" i="35"/>
  <c r="J1208" i="35"/>
  <c r="H1208" i="35" s="1"/>
  <c r="I1208" i="35"/>
  <c r="F1208" i="35"/>
  <c r="J1207" i="35"/>
  <c r="H1207" i="35" s="1"/>
  <c r="I1207" i="35"/>
  <c r="F1207" i="35"/>
  <c r="J1206" i="35"/>
  <c r="H1206" i="35" s="1"/>
  <c r="I1206" i="35"/>
  <c r="F1206" i="35"/>
  <c r="J1205" i="35"/>
  <c r="H1205" i="35" s="1"/>
  <c r="I1205" i="35"/>
  <c r="F1205" i="35"/>
  <c r="J1204" i="35"/>
  <c r="H1204" i="35" s="1"/>
  <c r="I1204" i="35"/>
  <c r="F1204" i="35"/>
  <c r="J1203" i="35"/>
  <c r="H1203" i="35" s="1"/>
  <c r="I1203" i="35"/>
  <c r="F1203" i="35"/>
  <c r="J1202" i="35"/>
  <c r="H1202" i="35" s="1"/>
  <c r="I1202" i="35"/>
  <c r="F1202" i="35"/>
  <c r="J1201" i="35"/>
  <c r="H1201" i="35" s="1"/>
  <c r="I1201" i="35"/>
  <c r="F1201" i="35"/>
  <c r="J1200" i="35"/>
  <c r="H1200" i="35" s="1"/>
  <c r="I1200" i="35"/>
  <c r="F1200" i="35"/>
  <c r="J1199" i="35"/>
  <c r="H1199" i="35" s="1"/>
  <c r="I1199" i="35"/>
  <c r="F1199" i="35"/>
  <c r="J1198" i="35"/>
  <c r="H1198" i="35" s="1"/>
  <c r="I1198" i="35"/>
  <c r="F1198" i="35"/>
  <c r="J1197" i="35"/>
  <c r="H1197" i="35" s="1"/>
  <c r="I1197" i="35"/>
  <c r="F1197" i="35"/>
  <c r="J1196" i="35"/>
  <c r="H1196" i="35" s="1"/>
  <c r="I1196" i="35"/>
  <c r="F1196" i="35"/>
  <c r="J1195" i="35"/>
  <c r="H1195" i="35" s="1"/>
  <c r="I1195" i="35"/>
  <c r="F1195" i="35"/>
  <c r="J1194" i="35"/>
  <c r="H1194" i="35" s="1"/>
  <c r="I1194" i="35"/>
  <c r="F1194" i="35"/>
  <c r="J1193" i="35"/>
  <c r="H1193" i="35" s="1"/>
  <c r="I1193" i="35"/>
  <c r="F1193" i="35"/>
  <c r="J1192" i="35"/>
  <c r="H1192" i="35" s="1"/>
  <c r="I1192" i="35"/>
  <c r="F1192" i="35"/>
  <c r="J1191" i="35"/>
  <c r="H1191" i="35" s="1"/>
  <c r="I1191" i="35"/>
  <c r="F1191" i="35"/>
  <c r="J1190" i="35"/>
  <c r="H1190" i="35" s="1"/>
  <c r="I1190" i="35"/>
  <c r="F1190" i="35"/>
  <c r="J1189" i="35"/>
  <c r="H1189" i="35" s="1"/>
  <c r="I1189" i="35"/>
  <c r="F1189" i="35"/>
  <c r="J1188" i="35"/>
  <c r="H1188" i="35" s="1"/>
  <c r="I1188" i="35"/>
  <c r="F1188" i="35"/>
  <c r="J1187" i="35"/>
  <c r="H1187" i="35" s="1"/>
  <c r="I1187" i="35"/>
  <c r="F1187" i="35"/>
  <c r="J1186" i="35"/>
  <c r="H1186" i="35" s="1"/>
  <c r="I1186" i="35"/>
  <c r="F1186" i="35"/>
  <c r="J1185" i="35"/>
  <c r="H1185" i="35" s="1"/>
  <c r="I1185" i="35"/>
  <c r="F1185" i="35"/>
  <c r="J1184" i="35"/>
  <c r="H1184" i="35" s="1"/>
  <c r="I1184" i="35"/>
  <c r="F1184" i="35"/>
  <c r="J1183" i="35"/>
  <c r="H1183" i="35" s="1"/>
  <c r="I1183" i="35"/>
  <c r="F1183" i="35"/>
  <c r="J1182" i="35"/>
  <c r="H1182" i="35" s="1"/>
  <c r="I1182" i="35"/>
  <c r="F1182" i="35"/>
  <c r="J1181" i="35"/>
  <c r="H1181" i="35" s="1"/>
  <c r="I1181" i="35"/>
  <c r="F1181" i="35"/>
  <c r="J1180" i="35"/>
  <c r="H1180" i="35" s="1"/>
  <c r="I1180" i="35"/>
  <c r="F1180" i="35"/>
  <c r="J1179" i="35"/>
  <c r="H1179" i="35" s="1"/>
  <c r="I1179" i="35"/>
  <c r="F1179" i="35"/>
  <c r="J1178" i="35"/>
  <c r="H1178" i="35" s="1"/>
  <c r="I1178" i="35"/>
  <c r="F1178" i="35"/>
  <c r="J1177" i="35"/>
  <c r="H1177" i="35" s="1"/>
  <c r="I1177" i="35"/>
  <c r="F1177" i="35"/>
  <c r="J1176" i="35"/>
  <c r="H1176" i="35" s="1"/>
  <c r="I1176" i="35"/>
  <c r="F1176" i="35"/>
  <c r="J1175" i="35"/>
  <c r="H1175" i="35" s="1"/>
  <c r="I1175" i="35"/>
  <c r="F1175" i="35"/>
  <c r="J1174" i="35"/>
  <c r="H1174" i="35" s="1"/>
  <c r="I1174" i="35"/>
  <c r="F1174" i="35"/>
  <c r="J1173" i="35"/>
  <c r="H1173" i="35" s="1"/>
  <c r="I1173" i="35"/>
  <c r="F1173" i="35"/>
  <c r="J1172" i="35"/>
  <c r="H1172" i="35" s="1"/>
  <c r="I1172" i="35"/>
  <c r="F1172" i="35"/>
  <c r="J1171" i="35"/>
  <c r="H1171" i="35" s="1"/>
  <c r="I1171" i="35"/>
  <c r="F1171" i="35"/>
  <c r="J1170" i="35"/>
  <c r="H1170" i="35" s="1"/>
  <c r="I1170" i="35"/>
  <c r="F1170" i="35"/>
  <c r="J1169" i="35"/>
  <c r="H1169" i="35" s="1"/>
  <c r="I1169" i="35"/>
  <c r="F1169" i="35"/>
  <c r="J1168" i="35"/>
  <c r="H1168" i="35" s="1"/>
  <c r="I1168" i="35"/>
  <c r="F1168" i="35"/>
  <c r="J1167" i="35"/>
  <c r="H1167" i="35" s="1"/>
  <c r="I1167" i="35"/>
  <c r="F1167" i="35"/>
  <c r="J1166" i="35"/>
  <c r="H1166" i="35" s="1"/>
  <c r="I1166" i="35"/>
  <c r="F1166" i="35"/>
  <c r="J1165" i="35"/>
  <c r="H1165" i="35" s="1"/>
  <c r="I1165" i="35"/>
  <c r="F1165" i="35"/>
  <c r="J1164" i="35"/>
  <c r="H1164" i="35" s="1"/>
  <c r="I1164" i="35"/>
  <c r="F1164" i="35"/>
  <c r="J1163" i="35"/>
  <c r="F1163" i="35"/>
  <c r="B1163" i="35"/>
  <c r="I1163" i="35" s="1"/>
  <c r="H1163" i="35" s="1"/>
  <c r="I1162" i="35"/>
  <c r="H1162" i="35" s="1"/>
  <c r="F1162" i="35"/>
  <c r="J1162" i="35" s="1"/>
  <c r="B1162" i="35"/>
  <c r="J1161" i="35"/>
  <c r="H1161" i="35"/>
  <c r="F1161" i="35"/>
  <c r="B1161" i="35"/>
  <c r="I1161" i="35" s="1"/>
  <c r="I1160" i="35"/>
  <c r="F1160" i="35"/>
  <c r="J1160" i="35" s="1"/>
  <c r="B1160" i="35"/>
  <c r="J1159" i="35"/>
  <c r="H1159" i="35"/>
  <c r="F1159" i="35"/>
  <c r="B1159" i="35"/>
  <c r="I1159" i="35" s="1"/>
  <c r="I1158" i="35"/>
  <c r="F1158" i="35"/>
  <c r="J1158" i="35" s="1"/>
  <c r="B1158" i="35"/>
  <c r="J1157" i="35"/>
  <c r="F1157" i="35"/>
  <c r="B1157" i="35"/>
  <c r="I1157" i="35" s="1"/>
  <c r="H1157" i="35" s="1"/>
  <c r="I1156" i="35"/>
  <c r="H1156" i="35" s="1"/>
  <c r="F1156" i="35"/>
  <c r="J1156" i="35" s="1"/>
  <c r="B1156" i="35"/>
  <c r="J1155" i="35"/>
  <c r="F1155" i="35"/>
  <c r="B1155" i="35"/>
  <c r="I1155" i="35" s="1"/>
  <c r="I1154" i="35"/>
  <c r="H1154" i="35" s="1"/>
  <c r="F1154" i="35"/>
  <c r="J1154" i="35" s="1"/>
  <c r="B1154" i="35"/>
  <c r="J1153" i="35"/>
  <c r="H1153" i="35"/>
  <c r="F1153" i="35"/>
  <c r="B1153" i="35"/>
  <c r="I1153" i="35" s="1"/>
  <c r="I1152" i="35"/>
  <c r="F1152" i="35"/>
  <c r="J1152" i="35" s="1"/>
  <c r="B1152" i="35"/>
  <c r="J1151" i="35"/>
  <c r="H1151" i="35"/>
  <c r="F1151" i="35"/>
  <c r="B1151" i="35"/>
  <c r="I1151" i="35" s="1"/>
  <c r="I1150" i="35"/>
  <c r="F1150" i="35"/>
  <c r="J1150" i="35" s="1"/>
  <c r="B1150" i="35"/>
  <c r="J1149" i="35"/>
  <c r="F1149" i="35"/>
  <c r="B1149" i="35"/>
  <c r="I1149" i="35" s="1"/>
  <c r="H1149" i="35" s="1"/>
  <c r="I1148" i="35"/>
  <c r="H1148" i="35" s="1"/>
  <c r="F1148" i="35"/>
  <c r="J1148" i="35" s="1"/>
  <c r="B1148" i="35"/>
  <c r="J1147" i="35"/>
  <c r="H1147" i="35" s="1"/>
  <c r="I1147" i="35"/>
  <c r="F1147" i="35"/>
  <c r="J1146" i="35"/>
  <c r="H1146" i="35" s="1"/>
  <c r="I1146" i="35"/>
  <c r="F1146" i="35"/>
  <c r="J1145" i="35"/>
  <c r="F1145" i="35"/>
  <c r="B1145" i="35"/>
  <c r="I1145" i="35" s="1"/>
  <c r="I1144" i="35"/>
  <c r="H1144" i="35" s="1"/>
  <c r="F1144" i="35"/>
  <c r="J1144" i="35" s="1"/>
  <c r="B1144" i="35"/>
  <c r="J1143" i="35"/>
  <c r="H1143" i="35"/>
  <c r="F1143" i="35"/>
  <c r="B1143" i="35"/>
  <c r="I1143" i="35" s="1"/>
  <c r="I1142" i="35"/>
  <c r="F1142" i="35"/>
  <c r="J1142" i="35" s="1"/>
  <c r="B1142" i="35"/>
  <c r="J1141" i="35"/>
  <c r="H1141" i="35"/>
  <c r="F1141" i="35"/>
  <c r="B1141" i="35"/>
  <c r="I1141" i="35" s="1"/>
  <c r="I1140" i="35"/>
  <c r="F1140" i="35"/>
  <c r="J1140" i="35" s="1"/>
  <c r="B1140" i="35"/>
  <c r="J1139" i="35"/>
  <c r="F1139" i="35"/>
  <c r="B1139" i="35"/>
  <c r="I1139" i="35" s="1"/>
  <c r="H1139" i="35" s="1"/>
  <c r="I1138" i="35"/>
  <c r="H1138" i="35" s="1"/>
  <c r="F1138" i="35"/>
  <c r="J1138" i="35" s="1"/>
  <c r="B1138" i="35"/>
  <c r="J1137" i="35"/>
  <c r="F1137" i="35"/>
  <c r="B1137" i="35"/>
  <c r="I1137" i="35" s="1"/>
  <c r="H1137" i="35" s="1"/>
  <c r="I1136" i="35"/>
  <c r="H1136" i="35" s="1"/>
  <c r="F1136" i="35"/>
  <c r="J1136" i="35" s="1"/>
  <c r="B1136" i="35"/>
  <c r="J1135" i="35"/>
  <c r="H1135" i="35"/>
  <c r="F1135" i="35"/>
  <c r="B1135" i="35"/>
  <c r="I1135" i="35" s="1"/>
  <c r="I1134" i="35"/>
  <c r="F1134" i="35"/>
  <c r="J1134" i="35" s="1"/>
  <c r="B1134" i="35"/>
  <c r="J1133" i="35"/>
  <c r="H1133" i="35"/>
  <c r="F1133" i="35"/>
  <c r="B1133" i="35"/>
  <c r="I1133" i="35" s="1"/>
  <c r="I1132" i="35"/>
  <c r="F1132" i="35"/>
  <c r="J1132" i="35" s="1"/>
  <c r="B1132" i="35"/>
  <c r="J1131" i="35"/>
  <c r="F1131" i="35"/>
  <c r="B1131" i="35"/>
  <c r="I1131" i="35" s="1"/>
  <c r="H1131" i="35" s="1"/>
  <c r="I1130" i="35"/>
  <c r="H1130" i="35" s="1"/>
  <c r="F1130" i="35"/>
  <c r="J1130" i="35" s="1"/>
  <c r="B1130" i="35"/>
  <c r="J1129" i="35"/>
  <c r="F1129" i="35"/>
  <c r="B1129" i="35"/>
  <c r="I1129" i="35" s="1"/>
  <c r="I1128" i="35"/>
  <c r="H1128" i="35" s="1"/>
  <c r="F1128" i="35"/>
  <c r="J1128" i="35" s="1"/>
  <c r="B1128" i="35"/>
  <c r="J1127" i="35"/>
  <c r="H1127" i="35"/>
  <c r="F1127" i="35"/>
  <c r="B1127" i="35"/>
  <c r="I1127" i="35" s="1"/>
  <c r="I1126" i="35"/>
  <c r="F1126" i="35"/>
  <c r="J1126" i="35" s="1"/>
  <c r="B1126" i="35"/>
  <c r="J1125" i="35"/>
  <c r="H1125" i="35"/>
  <c r="F1125" i="35"/>
  <c r="B1125" i="35"/>
  <c r="I1125" i="35" s="1"/>
  <c r="I1124" i="35"/>
  <c r="F1124" i="35"/>
  <c r="J1124" i="35" s="1"/>
  <c r="B1124" i="35"/>
  <c r="J1123" i="35"/>
  <c r="F1123" i="35"/>
  <c r="B1123" i="35"/>
  <c r="I1123" i="35" s="1"/>
  <c r="H1123" i="35" s="1"/>
  <c r="I1122" i="35"/>
  <c r="H1122" i="35" s="1"/>
  <c r="F1122" i="35"/>
  <c r="J1122" i="35" s="1"/>
  <c r="B1122" i="35"/>
  <c r="J1121" i="35"/>
  <c r="F1121" i="35"/>
  <c r="B1121" i="35"/>
  <c r="I1121" i="35" s="1"/>
  <c r="H1121" i="35" s="1"/>
  <c r="I1120" i="35"/>
  <c r="H1120" i="35" s="1"/>
  <c r="F1120" i="35"/>
  <c r="J1120" i="35" s="1"/>
  <c r="B1120" i="35"/>
  <c r="J1119" i="35"/>
  <c r="H1119" i="35"/>
  <c r="F1119" i="35"/>
  <c r="B1119" i="35"/>
  <c r="I1119" i="35" s="1"/>
  <c r="I1118" i="35"/>
  <c r="F1118" i="35"/>
  <c r="J1118" i="35" s="1"/>
  <c r="B1118" i="35"/>
  <c r="J1117" i="35"/>
  <c r="H1117" i="35"/>
  <c r="F1117" i="35"/>
  <c r="B1117" i="35"/>
  <c r="I1117" i="35" s="1"/>
  <c r="I1116" i="35"/>
  <c r="F1116" i="35"/>
  <c r="J1116" i="35" s="1"/>
  <c r="B1116" i="35"/>
  <c r="J1115" i="35"/>
  <c r="F1115" i="35"/>
  <c r="B1115" i="35"/>
  <c r="I1115" i="35" s="1"/>
  <c r="H1115" i="35" s="1"/>
  <c r="I1114" i="35"/>
  <c r="H1114" i="35" s="1"/>
  <c r="F1114" i="35"/>
  <c r="J1114" i="35" s="1"/>
  <c r="B1114" i="35"/>
  <c r="J1113" i="35"/>
  <c r="F1113" i="35"/>
  <c r="B1113" i="35"/>
  <c r="I1113" i="35" s="1"/>
  <c r="I1112" i="35"/>
  <c r="H1112" i="35" s="1"/>
  <c r="F1112" i="35"/>
  <c r="J1112" i="35" s="1"/>
  <c r="B1112" i="35"/>
  <c r="J1111" i="35"/>
  <c r="H1111" i="35"/>
  <c r="F1111" i="35"/>
  <c r="B1111" i="35"/>
  <c r="I1111" i="35" s="1"/>
  <c r="I1110" i="35"/>
  <c r="F1110" i="35"/>
  <c r="J1110" i="35" s="1"/>
  <c r="B1110" i="35"/>
  <c r="J1109" i="35"/>
  <c r="H1109" i="35"/>
  <c r="F1109" i="35"/>
  <c r="B1109" i="35"/>
  <c r="I1109" i="35" s="1"/>
  <c r="I1108" i="35"/>
  <c r="F1108" i="35"/>
  <c r="J1108" i="35" s="1"/>
  <c r="B1108" i="35"/>
  <c r="J1107" i="35"/>
  <c r="F1107" i="35"/>
  <c r="B1107" i="35"/>
  <c r="I1107" i="35" s="1"/>
  <c r="H1107" i="35" s="1"/>
  <c r="I1106" i="35"/>
  <c r="H1106" i="35" s="1"/>
  <c r="F1106" i="35"/>
  <c r="J1106" i="35" s="1"/>
  <c r="B1106" i="35"/>
  <c r="J1105" i="35"/>
  <c r="F1105" i="35"/>
  <c r="B1105" i="35"/>
  <c r="I1105" i="35" s="1"/>
  <c r="H1105" i="35" s="1"/>
  <c r="I1104" i="35"/>
  <c r="H1104" i="35" s="1"/>
  <c r="F1104" i="35"/>
  <c r="J1104" i="35" s="1"/>
  <c r="I1103" i="35"/>
  <c r="F1103" i="35"/>
  <c r="J1103" i="35" s="1"/>
  <c r="B1103" i="35"/>
  <c r="J1102" i="35"/>
  <c r="F1102" i="35"/>
  <c r="B1102" i="35"/>
  <c r="I1102" i="35" s="1"/>
  <c r="H1102" i="35" s="1"/>
  <c r="I1101" i="35"/>
  <c r="H1101" i="35" s="1"/>
  <c r="F1101" i="35"/>
  <c r="J1101" i="35" s="1"/>
  <c r="B1101" i="35"/>
  <c r="J1100" i="35"/>
  <c r="F1100" i="35"/>
  <c r="B1100" i="35"/>
  <c r="I1100" i="35" s="1"/>
  <c r="I1099" i="35"/>
  <c r="H1099" i="35" s="1"/>
  <c r="F1099" i="35"/>
  <c r="J1099" i="35" s="1"/>
  <c r="B1099" i="35"/>
  <c r="J1098" i="35"/>
  <c r="H1098" i="35" s="1"/>
  <c r="I1098" i="35"/>
  <c r="F1098" i="35"/>
  <c r="J1097" i="35"/>
  <c r="H1097" i="35" s="1"/>
  <c r="I1097" i="35"/>
  <c r="F1097" i="35"/>
  <c r="J1096" i="35"/>
  <c r="H1096" i="35"/>
  <c r="F1096" i="35"/>
  <c r="B1096" i="35"/>
  <c r="I1096" i="35" s="1"/>
  <c r="I1095" i="35"/>
  <c r="F1095" i="35"/>
  <c r="J1095" i="35" s="1"/>
  <c r="B1095" i="35"/>
  <c r="J1094" i="35"/>
  <c r="H1094" i="35"/>
  <c r="F1094" i="35"/>
  <c r="B1094" i="35"/>
  <c r="I1094" i="35" s="1"/>
  <c r="I1093" i="35"/>
  <c r="F1093" i="35"/>
  <c r="J1093" i="35" s="1"/>
  <c r="B1093" i="35"/>
  <c r="J1092" i="35"/>
  <c r="F1092" i="35"/>
  <c r="B1092" i="35"/>
  <c r="I1092" i="35" s="1"/>
  <c r="H1092" i="35" s="1"/>
  <c r="I1091" i="35"/>
  <c r="H1091" i="35" s="1"/>
  <c r="F1091" i="35"/>
  <c r="J1091" i="35" s="1"/>
  <c r="B1091" i="35"/>
  <c r="J1090" i="35"/>
  <c r="F1090" i="35"/>
  <c r="B1090" i="35"/>
  <c r="I1090" i="35" s="1"/>
  <c r="I1089" i="35"/>
  <c r="H1089" i="35" s="1"/>
  <c r="F1089" i="35"/>
  <c r="J1089" i="35" s="1"/>
  <c r="B1089" i="35"/>
  <c r="J1088" i="35"/>
  <c r="H1088" i="35" s="1"/>
  <c r="F1088" i="35"/>
  <c r="B1088" i="35"/>
  <c r="I1088" i="35" s="1"/>
  <c r="I1087" i="35"/>
  <c r="H1087" i="35" s="1"/>
  <c r="F1087" i="35"/>
  <c r="J1087" i="35" s="1"/>
  <c r="B1087" i="35"/>
  <c r="J1086" i="35"/>
  <c r="H1086" i="35"/>
  <c r="F1086" i="35"/>
  <c r="B1086" i="35"/>
  <c r="I1086" i="35" s="1"/>
  <c r="I1085" i="35"/>
  <c r="F1085" i="35"/>
  <c r="J1085" i="35" s="1"/>
  <c r="B1085" i="35"/>
  <c r="J1084" i="35"/>
  <c r="F1084" i="35"/>
  <c r="B1084" i="35"/>
  <c r="I1084" i="35" s="1"/>
  <c r="H1084" i="35" s="1"/>
  <c r="I1083" i="35"/>
  <c r="H1083" i="35" s="1"/>
  <c r="F1083" i="35"/>
  <c r="J1083" i="35" s="1"/>
  <c r="B1083" i="35"/>
  <c r="J1082" i="35"/>
  <c r="F1082" i="35"/>
  <c r="B1082" i="35"/>
  <c r="I1082" i="35" s="1"/>
  <c r="H1082" i="35" s="1"/>
  <c r="I1081" i="35"/>
  <c r="H1081" i="35" s="1"/>
  <c r="F1081" i="35"/>
  <c r="J1081" i="35" s="1"/>
  <c r="B1081" i="35"/>
  <c r="J1080" i="35"/>
  <c r="H1080" i="35"/>
  <c r="F1080" i="35"/>
  <c r="B1080" i="35"/>
  <c r="I1080" i="35" s="1"/>
  <c r="I1079" i="35"/>
  <c r="F1079" i="35"/>
  <c r="J1079" i="35" s="1"/>
  <c r="B1079" i="35"/>
  <c r="J1078" i="35"/>
  <c r="H1078" i="35"/>
  <c r="F1078" i="35"/>
  <c r="B1078" i="35"/>
  <c r="I1078" i="35" s="1"/>
  <c r="I1077" i="35"/>
  <c r="F1077" i="35"/>
  <c r="J1077" i="35" s="1"/>
  <c r="B1077" i="35"/>
  <c r="J1076" i="35"/>
  <c r="F1076" i="35"/>
  <c r="B1076" i="35"/>
  <c r="I1076" i="35" s="1"/>
  <c r="H1076" i="35" s="1"/>
  <c r="I1075" i="35"/>
  <c r="H1075" i="35" s="1"/>
  <c r="F1075" i="35"/>
  <c r="J1075" i="35" s="1"/>
  <c r="B1075" i="35"/>
  <c r="J1074" i="35"/>
  <c r="F1074" i="35"/>
  <c r="B1074" i="35"/>
  <c r="I1074" i="35" s="1"/>
  <c r="I1073" i="35"/>
  <c r="H1073" i="35" s="1"/>
  <c r="F1073" i="35"/>
  <c r="J1073" i="35" s="1"/>
  <c r="B1073" i="35"/>
  <c r="J1072" i="35"/>
  <c r="H1072" i="35" s="1"/>
  <c r="F1072" i="35"/>
  <c r="B1072" i="35"/>
  <c r="I1072" i="35" s="1"/>
  <c r="I1071" i="35"/>
  <c r="H1071" i="35" s="1"/>
  <c r="F1071" i="35"/>
  <c r="J1071" i="35" s="1"/>
  <c r="B1071" i="35"/>
  <c r="J1070" i="35"/>
  <c r="H1070" i="35"/>
  <c r="F1070" i="35"/>
  <c r="B1070" i="35"/>
  <c r="I1070" i="35" s="1"/>
  <c r="I1069" i="35"/>
  <c r="F1069" i="35"/>
  <c r="J1069" i="35" s="1"/>
  <c r="B1069" i="35"/>
  <c r="J1068" i="35"/>
  <c r="F1068" i="35"/>
  <c r="B1068" i="35"/>
  <c r="I1068" i="35" s="1"/>
  <c r="H1068" i="35" s="1"/>
  <c r="I1067" i="35"/>
  <c r="H1067" i="35" s="1"/>
  <c r="F1067" i="35"/>
  <c r="J1067" i="35" s="1"/>
  <c r="B1067" i="35"/>
  <c r="J1066" i="35"/>
  <c r="F1066" i="35"/>
  <c r="B1066" i="35"/>
  <c r="I1066" i="35" s="1"/>
  <c r="H1066" i="35" s="1"/>
  <c r="I1065" i="35"/>
  <c r="H1065" i="35" s="1"/>
  <c r="F1065" i="35"/>
  <c r="J1065" i="35" s="1"/>
  <c r="B1065" i="35"/>
  <c r="J1064" i="35"/>
  <c r="H1064" i="35"/>
  <c r="F1064" i="35"/>
  <c r="B1064" i="35"/>
  <c r="I1064" i="35" s="1"/>
  <c r="I1063" i="35"/>
  <c r="F1063" i="35"/>
  <c r="J1063" i="35" s="1"/>
  <c r="B1063" i="35"/>
  <c r="J1062" i="35"/>
  <c r="H1062" i="35"/>
  <c r="F1062" i="35"/>
  <c r="B1062" i="35"/>
  <c r="I1062" i="35" s="1"/>
  <c r="I1061" i="35"/>
  <c r="F1061" i="35"/>
  <c r="J1061" i="35" s="1"/>
  <c r="B1061" i="35"/>
  <c r="J1060" i="35"/>
  <c r="F1060" i="35"/>
  <c r="B1060" i="35"/>
  <c r="I1060" i="35" s="1"/>
  <c r="H1060" i="35" s="1"/>
  <c r="I1059" i="35"/>
  <c r="H1059" i="35" s="1"/>
  <c r="F1059" i="35"/>
  <c r="J1059" i="35" s="1"/>
  <c r="B1059" i="35"/>
  <c r="J1058" i="35"/>
  <c r="F1058" i="35"/>
  <c r="B1058" i="35"/>
  <c r="I1058" i="35" s="1"/>
  <c r="I1057" i="35"/>
  <c r="H1057" i="35" s="1"/>
  <c r="F1057" i="35"/>
  <c r="J1057" i="35" s="1"/>
  <c r="B1057" i="35"/>
  <c r="J1056" i="35"/>
  <c r="H1056" i="35" s="1"/>
  <c r="F1056" i="35"/>
  <c r="B1056" i="35"/>
  <c r="I1056" i="35" s="1"/>
  <c r="I1055" i="35"/>
  <c r="H1055" i="35" s="1"/>
  <c r="F1055" i="35"/>
  <c r="J1055" i="35" s="1"/>
  <c r="B1055" i="35"/>
  <c r="J1054" i="35"/>
  <c r="H1054" i="35"/>
  <c r="F1054" i="35"/>
  <c r="B1054" i="35"/>
  <c r="I1054" i="35" s="1"/>
  <c r="I1053" i="35"/>
  <c r="F1053" i="35"/>
  <c r="J1053" i="35" s="1"/>
  <c r="B1053" i="35"/>
  <c r="J1052" i="35"/>
  <c r="F1052" i="35"/>
  <c r="B1052" i="35"/>
  <c r="I1052" i="35" s="1"/>
  <c r="H1052" i="35" s="1"/>
  <c r="I1051" i="35"/>
  <c r="H1051" i="35" s="1"/>
  <c r="F1051" i="35"/>
  <c r="J1051" i="35" s="1"/>
  <c r="B1051" i="35"/>
  <c r="J1050" i="35"/>
  <c r="F1050" i="35"/>
  <c r="B1050" i="35"/>
  <c r="I1050" i="35" s="1"/>
  <c r="H1050" i="35" s="1"/>
  <c r="I1049" i="35"/>
  <c r="H1049" i="35" s="1"/>
  <c r="F1049" i="35"/>
  <c r="J1049" i="35" s="1"/>
  <c r="B1049" i="35"/>
  <c r="J1048" i="35"/>
  <c r="H1048" i="35"/>
  <c r="F1048" i="35"/>
  <c r="B1048" i="35"/>
  <c r="I1048" i="35" s="1"/>
  <c r="I1047" i="35"/>
  <c r="F1047" i="35"/>
  <c r="J1047" i="35" s="1"/>
  <c r="B1047" i="35"/>
  <c r="J1046" i="35"/>
  <c r="H1046" i="35"/>
  <c r="F1046" i="35"/>
  <c r="B1046" i="35"/>
  <c r="I1046" i="35" s="1"/>
  <c r="I1045" i="35"/>
  <c r="F1045" i="35"/>
  <c r="J1045" i="35" s="1"/>
  <c r="B1045" i="35"/>
  <c r="J1044" i="35"/>
  <c r="F1044" i="35"/>
  <c r="B1044" i="35"/>
  <c r="I1044" i="35" s="1"/>
  <c r="H1044" i="35" s="1"/>
  <c r="I1043" i="35"/>
  <c r="H1043" i="35" s="1"/>
  <c r="F1043" i="35"/>
  <c r="J1043" i="35" s="1"/>
  <c r="B1043" i="35"/>
  <c r="H1042" i="35"/>
  <c r="F1042" i="35"/>
  <c r="J1042" i="35" s="1"/>
  <c r="B1042" i="35"/>
  <c r="I1042" i="35" s="1"/>
  <c r="I1041" i="35"/>
  <c r="H1041" i="35"/>
  <c r="F1041" i="35"/>
  <c r="J1041" i="35" s="1"/>
  <c r="B1041" i="35"/>
  <c r="J1040" i="35"/>
  <c r="I1040" i="35"/>
  <c r="H1040" i="35" s="1"/>
  <c r="F1040" i="35"/>
  <c r="B1040" i="35"/>
  <c r="J1039" i="35"/>
  <c r="I1039" i="35"/>
  <c r="F1039" i="35"/>
  <c r="B1039" i="35"/>
  <c r="J1038" i="35"/>
  <c r="H1038" i="35" s="1"/>
  <c r="F1038" i="35"/>
  <c r="B1038" i="35"/>
  <c r="I1038" i="35" s="1"/>
  <c r="I1037" i="35"/>
  <c r="H1037" i="35" s="1"/>
  <c r="F1037" i="35"/>
  <c r="J1037" i="35" s="1"/>
  <c r="B1037" i="35"/>
  <c r="J1036" i="35"/>
  <c r="F1036" i="35"/>
  <c r="B1036" i="35"/>
  <c r="I1036" i="35" s="1"/>
  <c r="H1036" i="35" s="1"/>
  <c r="J1035" i="35"/>
  <c r="F1035" i="35"/>
  <c r="B1035" i="35"/>
  <c r="I1035" i="35" s="1"/>
  <c r="J1034" i="35"/>
  <c r="F1034" i="35"/>
  <c r="B1034" i="35"/>
  <c r="I1034" i="35" s="1"/>
  <c r="F1033" i="35"/>
  <c r="J1033" i="35" s="1"/>
  <c r="B1033" i="35"/>
  <c r="I1033" i="35" s="1"/>
  <c r="I1032" i="35"/>
  <c r="F1032" i="35"/>
  <c r="J1032" i="35" s="1"/>
  <c r="H1032" i="35" s="1"/>
  <c r="I1031" i="35"/>
  <c r="H1031" i="35"/>
  <c r="F1031" i="35"/>
  <c r="J1031" i="35" s="1"/>
  <c r="F1030" i="35"/>
  <c r="J1030" i="35" s="1"/>
  <c r="H1030" i="35" s="1"/>
  <c r="B1030" i="35"/>
  <c r="I1030" i="35" s="1"/>
  <c r="I1029" i="35"/>
  <c r="F1029" i="35"/>
  <c r="J1029" i="35" s="1"/>
  <c r="H1029" i="35" s="1"/>
  <c r="B1029" i="35"/>
  <c r="J1028" i="35"/>
  <c r="I1028" i="35"/>
  <c r="H1028" i="35" s="1"/>
  <c r="F1028" i="35"/>
  <c r="B1028" i="35"/>
  <c r="F1027" i="35"/>
  <c r="J1027" i="35" s="1"/>
  <c r="B1027" i="35"/>
  <c r="I1027" i="35" s="1"/>
  <c r="F1026" i="35"/>
  <c r="J1026" i="35" s="1"/>
  <c r="B1026" i="35"/>
  <c r="I1026" i="35" s="1"/>
  <c r="H1026" i="35" s="1"/>
  <c r="I1025" i="35"/>
  <c r="H1025" i="35" s="1"/>
  <c r="F1025" i="35"/>
  <c r="J1025" i="35" s="1"/>
  <c r="B1025" i="35"/>
  <c r="J1024" i="35"/>
  <c r="F1024" i="35"/>
  <c r="B1024" i="35"/>
  <c r="I1024" i="35" s="1"/>
  <c r="H1024" i="35" s="1"/>
  <c r="J1023" i="35"/>
  <c r="F1023" i="35"/>
  <c r="B1023" i="35"/>
  <c r="I1023" i="35" s="1"/>
  <c r="F1022" i="35"/>
  <c r="J1022" i="35" s="1"/>
  <c r="H1022" i="35" s="1"/>
  <c r="B1022" i="35"/>
  <c r="I1022" i="35" s="1"/>
  <c r="I1021" i="35"/>
  <c r="F1021" i="35"/>
  <c r="J1021" i="35" s="1"/>
  <c r="H1021" i="35" s="1"/>
  <c r="B1021" i="35"/>
  <c r="J1020" i="35"/>
  <c r="I1020" i="35"/>
  <c r="H1020" i="35" s="1"/>
  <c r="F1020" i="35"/>
  <c r="B1020" i="35"/>
  <c r="F1019" i="35"/>
  <c r="J1019" i="35" s="1"/>
  <c r="B1019" i="35"/>
  <c r="I1019" i="35" s="1"/>
  <c r="F1018" i="35"/>
  <c r="J1018" i="35" s="1"/>
  <c r="B1018" i="35"/>
  <c r="I1018" i="35" s="1"/>
  <c r="H1018" i="35" s="1"/>
  <c r="I1017" i="35"/>
  <c r="H1017" i="35" s="1"/>
  <c r="F1017" i="35"/>
  <c r="J1017" i="35" s="1"/>
  <c r="B1017" i="35"/>
  <c r="J1016" i="35"/>
  <c r="F1016" i="35"/>
  <c r="B1016" i="35"/>
  <c r="I1016" i="35" s="1"/>
  <c r="H1016" i="35" s="1"/>
  <c r="J1015" i="35"/>
  <c r="F1015" i="35"/>
  <c r="B1015" i="35"/>
  <c r="I1015" i="35" s="1"/>
  <c r="F1014" i="35"/>
  <c r="J1014" i="35" s="1"/>
  <c r="H1014" i="35" s="1"/>
  <c r="B1014" i="35"/>
  <c r="I1014" i="35" s="1"/>
  <c r="I1013" i="35"/>
  <c r="F1013" i="35"/>
  <c r="J1013" i="35" s="1"/>
  <c r="H1013" i="35" s="1"/>
  <c r="B1013" i="35"/>
  <c r="J1012" i="35"/>
  <c r="I1012" i="35"/>
  <c r="H1012" i="35" s="1"/>
  <c r="F1012" i="35"/>
  <c r="B1012" i="35"/>
  <c r="F1011" i="35"/>
  <c r="J1011" i="35" s="1"/>
  <c r="B1011" i="35"/>
  <c r="I1011" i="35" s="1"/>
  <c r="F1010" i="35"/>
  <c r="J1010" i="35" s="1"/>
  <c r="B1010" i="35"/>
  <c r="I1010" i="35" s="1"/>
  <c r="H1010" i="35" s="1"/>
  <c r="I1009" i="35"/>
  <c r="H1009" i="35" s="1"/>
  <c r="F1009" i="35"/>
  <c r="J1009" i="35" s="1"/>
  <c r="B1009" i="35"/>
  <c r="J1008" i="35"/>
  <c r="F1008" i="35"/>
  <c r="B1008" i="35"/>
  <c r="I1008" i="35" s="1"/>
  <c r="H1008" i="35" s="1"/>
  <c r="J1007" i="35"/>
  <c r="F1007" i="35"/>
  <c r="B1007" i="35"/>
  <c r="I1007" i="35" s="1"/>
  <c r="F1006" i="35"/>
  <c r="J1006" i="35" s="1"/>
  <c r="H1006" i="35" s="1"/>
  <c r="B1006" i="35"/>
  <c r="I1006" i="35" s="1"/>
  <c r="I1005" i="35"/>
  <c r="F1005" i="35"/>
  <c r="J1005" i="35" s="1"/>
  <c r="H1005" i="35" s="1"/>
  <c r="B1005" i="35"/>
  <c r="J1004" i="35"/>
  <c r="I1004" i="35"/>
  <c r="H1004" i="35" s="1"/>
  <c r="F1004" i="35"/>
  <c r="B1004" i="35"/>
  <c r="F1003" i="35"/>
  <c r="J1003" i="35" s="1"/>
  <c r="B1003" i="35"/>
  <c r="I1003" i="35" s="1"/>
  <c r="F1002" i="35"/>
  <c r="J1002" i="35" s="1"/>
  <c r="B1002" i="35"/>
  <c r="I1002" i="35" s="1"/>
  <c r="H1002" i="35" s="1"/>
  <c r="I1001" i="35"/>
  <c r="H1001" i="35" s="1"/>
  <c r="F1001" i="35"/>
  <c r="J1001" i="35" s="1"/>
  <c r="B1001" i="35"/>
  <c r="J1000" i="35"/>
  <c r="F1000" i="35"/>
  <c r="B1000" i="35"/>
  <c r="I1000" i="35" s="1"/>
  <c r="H1000" i="35" s="1"/>
  <c r="J999" i="35"/>
  <c r="I999" i="35"/>
  <c r="F999" i="35"/>
  <c r="F998" i="35"/>
  <c r="J998" i="35" s="1"/>
  <c r="B998" i="35"/>
  <c r="I998" i="35" s="1"/>
  <c r="F997" i="35"/>
  <c r="J997" i="35" s="1"/>
  <c r="B997" i="35"/>
  <c r="I997" i="35" s="1"/>
  <c r="H997" i="35" s="1"/>
  <c r="I996" i="35"/>
  <c r="H996" i="35" s="1"/>
  <c r="F996" i="35"/>
  <c r="J996" i="35" s="1"/>
  <c r="B996" i="35"/>
  <c r="J995" i="35"/>
  <c r="F995" i="35"/>
  <c r="B995" i="35"/>
  <c r="I995" i="35" s="1"/>
  <c r="H995" i="35" s="1"/>
  <c r="J994" i="35"/>
  <c r="F994" i="35"/>
  <c r="B994" i="35"/>
  <c r="I994" i="35" s="1"/>
  <c r="H994" i="35" s="1"/>
  <c r="H993" i="35"/>
  <c r="F993" i="35"/>
  <c r="J993" i="35" s="1"/>
  <c r="B993" i="35"/>
  <c r="I993" i="35" s="1"/>
  <c r="I992" i="35"/>
  <c r="H992" i="35"/>
  <c r="F992" i="35"/>
  <c r="J992" i="35" s="1"/>
  <c r="B992" i="35"/>
  <c r="J991" i="35"/>
  <c r="I991" i="35"/>
  <c r="H991" i="35" s="1"/>
  <c r="F991" i="35"/>
  <c r="B991" i="35"/>
  <c r="F990" i="35"/>
  <c r="J990" i="35" s="1"/>
  <c r="B990" i="35"/>
  <c r="I990" i="35" s="1"/>
  <c r="F989" i="35"/>
  <c r="J989" i="35" s="1"/>
  <c r="B989" i="35"/>
  <c r="I989" i="35" s="1"/>
  <c r="H989" i="35" s="1"/>
  <c r="I988" i="35"/>
  <c r="H988" i="35" s="1"/>
  <c r="F988" i="35"/>
  <c r="J988" i="35" s="1"/>
  <c r="B988" i="35"/>
  <c r="J987" i="35"/>
  <c r="F987" i="35"/>
  <c r="B987" i="35"/>
  <c r="I987" i="35" s="1"/>
  <c r="H987" i="35" s="1"/>
  <c r="J986" i="35"/>
  <c r="F986" i="35"/>
  <c r="B986" i="35"/>
  <c r="I986" i="35" s="1"/>
  <c r="H986" i="35" s="1"/>
  <c r="H985" i="35"/>
  <c r="F985" i="35"/>
  <c r="J985" i="35" s="1"/>
  <c r="B985" i="35"/>
  <c r="I985" i="35" s="1"/>
  <c r="I984" i="35"/>
  <c r="H984" i="35"/>
  <c r="F984" i="35"/>
  <c r="J984" i="35" s="1"/>
  <c r="B984" i="35"/>
  <c r="J983" i="35"/>
  <c r="I983" i="35"/>
  <c r="H983" i="35" s="1"/>
  <c r="F983" i="35"/>
  <c r="B983" i="35"/>
  <c r="F982" i="35"/>
  <c r="J982" i="35" s="1"/>
  <c r="B982" i="35"/>
  <c r="I982" i="35" s="1"/>
  <c r="F981" i="35"/>
  <c r="J981" i="35" s="1"/>
  <c r="B981" i="35"/>
  <c r="I981" i="35" s="1"/>
  <c r="H981" i="35" s="1"/>
  <c r="I980" i="35"/>
  <c r="H980" i="35" s="1"/>
  <c r="F980" i="35"/>
  <c r="J980" i="35" s="1"/>
  <c r="B980" i="35"/>
  <c r="J979" i="35"/>
  <c r="F979" i="35"/>
  <c r="B979" i="35"/>
  <c r="I979" i="35" s="1"/>
  <c r="H979" i="35" s="1"/>
  <c r="J978" i="35"/>
  <c r="F978" i="35"/>
  <c r="B978" i="35"/>
  <c r="I978" i="35" s="1"/>
  <c r="H978" i="35" s="1"/>
  <c r="H977" i="35"/>
  <c r="F977" i="35"/>
  <c r="J977" i="35" s="1"/>
  <c r="B977" i="35"/>
  <c r="I977" i="35" s="1"/>
  <c r="I976" i="35"/>
  <c r="H976" i="35"/>
  <c r="F976" i="35"/>
  <c r="J976" i="35" s="1"/>
  <c r="B976" i="35"/>
  <c r="J975" i="35"/>
  <c r="I975" i="35"/>
  <c r="H975" i="35" s="1"/>
  <c r="F975" i="35"/>
  <c r="B975" i="35"/>
  <c r="F974" i="35"/>
  <c r="J974" i="35" s="1"/>
  <c r="B974" i="35"/>
  <c r="I974" i="35" s="1"/>
  <c r="F973" i="35"/>
  <c r="J973" i="35" s="1"/>
  <c r="B973" i="35"/>
  <c r="I973" i="35" s="1"/>
  <c r="H973" i="35" s="1"/>
  <c r="I972" i="35"/>
  <c r="H972" i="35" s="1"/>
  <c r="F972" i="35"/>
  <c r="J972" i="35" s="1"/>
  <c r="B972" i="35"/>
  <c r="J971" i="35"/>
  <c r="F971" i="35"/>
  <c r="B971" i="35"/>
  <c r="I971" i="35" s="1"/>
  <c r="H971" i="35" s="1"/>
  <c r="J970" i="35"/>
  <c r="F970" i="35"/>
  <c r="B970" i="35"/>
  <c r="I970" i="35" s="1"/>
  <c r="H970" i="35" s="1"/>
  <c r="I969" i="35"/>
  <c r="H969" i="35"/>
  <c r="F969" i="35"/>
  <c r="J969" i="35" s="1"/>
  <c r="F968" i="35"/>
  <c r="J968" i="35" s="1"/>
  <c r="H968" i="35" s="1"/>
  <c r="B968" i="35"/>
  <c r="I968" i="35" s="1"/>
  <c r="I967" i="35"/>
  <c r="F967" i="35"/>
  <c r="J967" i="35" s="1"/>
  <c r="H967" i="35" s="1"/>
  <c r="B967" i="35"/>
  <c r="J966" i="35"/>
  <c r="I966" i="35"/>
  <c r="H966" i="35" s="1"/>
  <c r="F966" i="35"/>
  <c r="B966" i="35"/>
  <c r="F965" i="35"/>
  <c r="J965" i="35" s="1"/>
  <c r="B965" i="35"/>
  <c r="I965" i="35" s="1"/>
  <c r="F964" i="35"/>
  <c r="J964" i="35" s="1"/>
  <c r="B964" i="35"/>
  <c r="I964" i="35" s="1"/>
  <c r="H964" i="35" s="1"/>
  <c r="I963" i="35"/>
  <c r="H963" i="35" s="1"/>
  <c r="F963" i="35"/>
  <c r="J963" i="35" s="1"/>
  <c r="B963" i="35"/>
  <c r="J962" i="35"/>
  <c r="F962" i="35"/>
  <c r="B962" i="35"/>
  <c r="I962" i="35" s="1"/>
  <c r="H962" i="35" s="1"/>
  <c r="J961" i="35"/>
  <c r="F961" i="35"/>
  <c r="B961" i="35"/>
  <c r="I961" i="35" s="1"/>
  <c r="F960" i="35"/>
  <c r="J960" i="35" s="1"/>
  <c r="H960" i="35" s="1"/>
  <c r="B960" i="35"/>
  <c r="I960" i="35" s="1"/>
  <c r="I959" i="35"/>
  <c r="F959" i="35"/>
  <c r="J959" i="35" s="1"/>
  <c r="H959" i="35" s="1"/>
  <c r="B959" i="35"/>
  <c r="J958" i="35"/>
  <c r="I958" i="35"/>
  <c r="H958" i="35" s="1"/>
  <c r="F958" i="35"/>
  <c r="B958" i="35"/>
  <c r="F957" i="35"/>
  <c r="J957" i="35" s="1"/>
  <c r="B957" i="35"/>
  <c r="I957" i="35" s="1"/>
  <c r="F956" i="35"/>
  <c r="J956" i="35" s="1"/>
  <c r="B956" i="35"/>
  <c r="I956" i="35" s="1"/>
  <c r="H956" i="35" s="1"/>
  <c r="I955" i="35"/>
  <c r="H955" i="35" s="1"/>
  <c r="F955" i="35"/>
  <c r="J955" i="35" s="1"/>
  <c r="B955" i="35"/>
  <c r="J954" i="35"/>
  <c r="F954" i="35"/>
  <c r="B954" i="35"/>
  <c r="I954" i="35" s="1"/>
  <c r="H954" i="35" s="1"/>
  <c r="J953" i="35"/>
  <c r="F953" i="35"/>
  <c r="B953" i="35"/>
  <c r="I953" i="35" s="1"/>
  <c r="F952" i="35"/>
  <c r="J952" i="35" s="1"/>
  <c r="H952" i="35" s="1"/>
  <c r="B952" i="35"/>
  <c r="I952" i="35" s="1"/>
  <c r="I951" i="35"/>
  <c r="F951" i="35"/>
  <c r="J951" i="35" s="1"/>
  <c r="H951" i="35" s="1"/>
  <c r="B951" i="35"/>
  <c r="J950" i="35"/>
  <c r="I950" i="35"/>
  <c r="H950" i="35" s="1"/>
  <c r="F950" i="35"/>
  <c r="B950" i="35"/>
  <c r="F949" i="35"/>
  <c r="J949" i="35" s="1"/>
  <c r="B949" i="35"/>
  <c r="I949" i="35" s="1"/>
  <c r="F948" i="35"/>
  <c r="J948" i="35" s="1"/>
  <c r="B948" i="35"/>
  <c r="I948" i="35" s="1"/>
  <c r="H948" i="35" s="1"/>
  <c r="I947" i="35"/>
  <c r="H947" i="35" s="1"/>
  <c r="F947" i="35"/>
  <c r="J947" i="35" s="1"/>
  <c r="B947" i="35"/>
  <c r="J946" i="35"/>
  <c r="F946" i="35"/>
  <c r="B946" i="35"/>
  <c r="I946" i="35" s="1"/>
  <c r="H946" i="35" s="1"/>
  <c r="J945" i="35"/>
  <c r="F945" i="35"/>
  <c r="B945" i="35"/>
  <c r="I945" i="35" s="1"/>
  <c r="F944" i="35"/>
  <c r="J944" i="35" s="1"/>
  <c r="H944" i="35" s="1"/>
  <c r="B944" i="35"/>
  <c r="I944" i="35" s="1"/>
  <c r="I943" i="35"/>
  <c r="F943" i="35"/>
  <c r="J943" i="35" s="1"/>
  <c r="H943" i="35" s="1"/>
  <c r="B943" i="35"/>
  <c r="J942" i="35"/>
  <c r="I942" i="35"/>
  <c r="H942" i="35" s="1"/>
  <c r="F942" i="35"/>
  <c r="B942" i="35"/>
  <c r="F941" i="35"/>
  <c r="J941" i="35" s="1"/>
  <c r="B941" i="35"/>
  <c r="I941" i="35" s="1"/>
  <c r="F940" i="35"/>
  <c r="J940" i="35" s="1"/>
  <c r="B940" i="35"/>
  <c r="I940" i="35" s="1"/>
  <c r="H940" i="35" s="1"/>
  <c r="I939" i="35"/>
  <c r="H939" i="35" s="1"/>
  <c r="F939" i="35"/>
  <c r="J939" i="35" s="1"/>
  <c r="I938" i="35"/>
  <c r="H938" i="35"/>
  <c r="F938" i="35"/>
  <c r="J938" i="35" s="1"/>
  <c r="B938" i="35"/>
  <c r="J937" i="35"/>
  <c r="I937" i="35"/>
  <c r="H937" i="35" s="1"/>
  <c r="F937" i="35"/>
  <c r="B937" i="35"/>
  <c r="F936" i="35"/>
  <c r="J936" i="35" s="1"/>
  <c r="B936" i="35"/>
  <c r="I936" i="35" s="1"/>
  <c r="F935" i="35"/>
  <c r="J935" i="35" s="1"/>
  <c r="B935" i="35"/>
  <c r="I935" i="35" s="1"/>
  <c r="H935" i="35" s="1"/>
  <c r="I934" i="35"/>
  <c r="H934" i="35" s="1"/>
  <c r="F934" i="35"/>
  <c r="J934" i="35" s="1"/>
  <c r="B934" i="35"/>
  <c r="J933" i="35"/>
  <c r="F933" i="35"/>
  <c r="B933" i="35"/>
  <c r="I933" i="35" s="1"/>
  <c r="H933" i="35" s="1"/>
  <c r="J932" i="35"/>
  <c r="F932" i="35"/>
  <c r="B932" i="35"/>
  <c r="I932" i="35" s="1"/>
  <c r="H932" i="35" s="1"/>
  <c r="H931" i="35"/>
  <c r="F931" i="35"/>
  <c r="J931" i="35" s="1"/>
  <c r="B931" i="35"/>
  <c r="I931" i="35" s="1"/>
  <c r="I930" i="35"/>
  <c r="H930" i="35"/>
  <c r="F930" i="35"/>
  <c r="J930" i="35" s="1"/>
  <c r="B930" i="35"/>
  <c r="J929" i="35"/>
  <c r="I929" i="35"/>
  <c r="H929" i="35" s="1"/>
  <c r="F929" i="35"/>
  <c r="B929" i="35"/>
  <c r="F928" i="35"/>
  <c r="J928" i="35" s="1"/>
  <c r="B928" i="35"/>
  <c r="I928" i="35" s="1"/>
  <c r="F927" i="35"/>
  <c r="J927" i="35" s="1"/>
  <c r="B927" i="35"/>
  <c r="I927" i="35" s="1"/>
  <c r="H927" i="35" s="1"/>
  <c r="I926" i="35"/>
  <c r="H926" i="35" s="1"/>
  <c r="F926" i="35"/>
  <c r="J926" i="35" s="1"/>
  <c r="B926" i="35"/>
  <c r="J925" i="35"/>
  <c r="F925" i="35"/>
  <c r="B925" i="35"/>
  <c r="I925" i="35" s="1"/>
  <c r="H925" i="35" s="1"/>
  <c r="J924" i="35"/>
  <c r="F924" i="35"/>
  <c r="B924" i="35"/>
  <c r="I924" i="35" s="1"/>
  <c r="H924" i="35" s="1"/>
  <c r="H923" i="35"/>
  <c r="F923" i="35"/>
  <c r="J923" i="35" s="1"/>
  <c r="B923" i="35"/>
  <c r="I923" i="35" s="1"/>
  <c r="I922" i="35"/>
  <c r="H922" i="35"/>
  <c r="F922" i="35"/>
  <c r="J922" i="35" s="1"/>
  <c r="B922" i="35"/>
  <c r="J921" i="35"/>
  <c r="I921" i="35"/>
  <c r="H921" i="35" s="1"/>
  <c r="F921" i="35"/>
  <c r="B921" i="35"/>
  <c r="F920" i="35"/>
  <c r="J920" i="35" s="1"/>
  <c r="B920" i="35"/>
  <c r="I920" i="35" s="1"/>
  <c r="F919" i="35"/>
  <c r="J919" i="35" s="1"/>
  <c r="B919" i="35"/>
  <c r="I919" i="35" s="1"/>
  <c r="H919" i="35" s="1"/>
  <c r="I918" i="35"/>
  <c r="H918" i="35" s="1"/>
  <c r="F918" i="35"/>
  <c r="J918" i="35" s="1"/>
  <c r="B918" i="35"/>
  <c r="J917" i="35"/>
  <c r="F917" i="35"/>
  <c r="B917" i="35"/>
  <c r="I917" i="35" s="1"/>
  <c r="H917" i="35" s="1"/>
  <c r="J916" i="35"/>
  <c r="F916" i="35"/>
  <c r="B916" i="35"/>
  <c r="I916" i="35" s="1"/>
  <c r="H916" i="35" s="1"/>
  <c r="H915" i="35"/>
  <c r="F915" i="35"/>
  <c r="J915" i="35" s="1"/>
  <c r="B915" i="35"/>
  <c r="I915" i="35" s="1"/>
  <c r="I914" i="35"/>
  <c r="H914" i="35"/>
  <c r="F914" i="35"/>
  <c r="J914" i="35" s="1"/>
  <c r="B914" i="35"/>
  <c r="J913" i="35"/>
  <c r="I913" i="35"/>
  <c r="H913" i="35" s="1"/>
  <c r="F913" i="35"/>
  <c r="B913" i="35"/>
  <c r="F912" i="35"/>
  <c r="J912" i="35" s="1"/>
  <c r="B912" i="35"/>
  <c r="I912" i="35" s="1"/>
  <c r="F911" i="35"/>
  <c r="J911" i="35" s="1"/>
  <c r="B911" i="35"/>
  <c r="I911" i="35" s="1"/>
  <c r="H911" i="35" s="1"/>
  <c r="I910" i="35"/>
  <c r="H910" i="35" s="1"/>
  <c r="F910" i="35"/>
  <c r="J910" i="35" s="1"/>
  <c r="B910" i="35"/>
  <c r="J909" i="35"/>
  <c r="F909" i="35"/>
  <c r="B909" i="35"/>
  <c r="I909" i="35" s="1"/>
  <c r="H909" i="35" s="1"/>
  <c r="J908" i="35"/>
  <c r="F908" i="35"/>
  <c r="B908" i="35"/>
  <c r="I908" i="35" s="1"/>
  <c r="H908" i="35" s="1"/>
  <c r="H907" i="35"/>
  <c r="F907" i="35"/>
  <c r="J907" i="35" s="1"/>
  <c r="B907" i="35"/>
  <c r="I907" i="35" s="1"/>
  <c r="I906" i="35"/>
  <c r="H906" i="35"/>
  <c r="F906" i="35"/>
  <c r="J906" i="35" s="1"/>
  <c r="B906" i="35"/>
  <c r="J905" i="35"/>
  <c r="I905" i="35"/>
  <c r="H905" i="35" s="1"/>
  <c r="F905" i="35"/>
  <c r="B905" i="35"/>
  <c r="F904" i="35"/>
  <c r="J904" i="35" s="1"/>
  <c r="B904" i="35"/>
  <c r="I904" i="35" s="1"/>
  <c r="F903" i="35"/>
  <c r="J903" i="35" s="1"/>
  <c r="B903" i="35"/>
  <c r="I903" i="35" s="1"/>
  <c r="H903" i="35" s="1"/>
  <c r="I902" i="35"/>
  <c r="H902" i="35" s="1"/>
  <c r="F902" i="35"/>
  <c r="J902" i="35" s="1"/>
  <c r="B902" i="35"/>
  <c r="J901" i="35"/>
  <c r="F901" i="35"/>
  <c r="B901" i="35"/>
  <c r="I901" i="35" s="1"/>
  <c r="H901" i="35" s="1"/>
  <c r="J900" i="35"/>
  <c r="F900" i="35"/>
  <c r="B900" i="35"/>
  <c r="I900" i="35" s="1"/>
  <c r="H900" i="35" s="1"/>
  <c r="H899" i="35"/>
  <c r="F899" i="35"/>
  <c r="J899" i="35" s="1"/>
  <c r="B899" i="35"/>
  <c r="I899" i="35" s="1"/>
  <c r="I898" i="35"/>
  <c r="H898" i="35"/>
  <c r="F898" i="35"/>
  <c r="J898" i="35" s="1"/>
  <c r="B898" i="35"/>
  <c r="J897" i="35"/>
  <c r="I897" i="35"/>
  <c r="H897" i="35" s="1"/>
  <c r="F897" i="35"/>
  <c r="B897" i="35"/>
  <c r="F896" i="35"/>
  <c r="J896" i="35" s="1"/>
  <c r="B896" i="35"/>
  <c r="I896" i="35" s="1"/>
  <c r="F895" i="35"/>
  <c r="J895" i="35" s="1"/>
  <c r="B895" i="35"/>
  <c r="I895" i="35" s="1"/>
  <c r="H895" i="35" s="1"/>
  <c r="I894" i="35"/>
  <c r="H894" i="35" s="1"/>
  <c r="F894" i="35"/>
  <c r="J894" i="35" s="1"/>
  <c r="B894" i="35"/>
  <c r="J893" i="35"/>
  <c r="F893" i="35"/>
  <c r="B893" i="35"/>
  <c r="I893" i="35" s="1"/>
  <c r="H893" i="35" s="1"/>
  <c r="J892" i="35"/>
  <c r="F892" i="35"/>
  <c r="B892" i="35"/>
  <c r="I892" i="35" s="1"/>
  <c r="H892" i="35" s="1"/>
  <c r="H891" i="35"/>
  <c r="F891" i="35"/>
  <c r="J891" i="35" s="1"/>
  <c r="B891" i="35"/>
  <c r="I891" i="35" s="1"/>
  <c r="I890" i="35"/>
  <c r="H890" i="35"/>
  <c r="F890" i="35"/>
  <c r="J890" i="35" s="1"/>
  <c r="B890" i="35"/>
  <c r="J889" i="35"/>
  <c r="I889" i="35"/>
  <c r="H889" i="35" s="1"/>
  <c r="F889" i="35"/>
  <c r="B889" i="35"/>
  <c r="F888" i="35"/>
  <c r="J888" i="35" s="1"/>
  <c r="B888" i="35"/>
  <c r="I888" i="35" s="1"/>
  <c r="F887" i="35"/>
  <c r="J887" i="35" s="1"/>
  <c r="B887" i="35"/>
  <c r="I887" i="35" s="1"/>
  <c r="H887" i="35" s="1"/>
  <c r="I886" i="35"/>
  <c r="H886" i="35" s="1"/>
  <c r="F886" i="35"/>
  <c r="J886" i="35" s="1"/>
  <c r="B886" i="35"/>
  <c r="J885" i="35"/>
  <c r="F885" i="35"/>
  <c r="B885" i="35"/>
  <c r="I885" i="35" s="1"/>
  <c r="H885" i="35" s="1"/>
  <c r="J884" i="35"/>
  <c r="F884" i="35"/>
  <c r="B884" i="35"/>
  <c r="I884" i="35" s="1"/>
  <c r="H884" i="35" s="1"/>
  <c r="H883" i="35"/>
  <c r="F883" i="35"/>
  <c r="J883" i="35" s="1"/>
  <c r="B883" i="35"/>
  <c r="I883" i="35" s="1"/>
  <c r="I882" i="35"/>
  <c r="H882" i="35"/>
  <c r="F882" i="35"/>
  <c r="J882" i="35" s="1"/>
  <c r="B882" i="35"/>
  <c r="J881" i="35"/>
  <c r="I881" i="35"/>
  <c r="H881" i="35" s="1"/>
  <c r="F881" i="35"/>
  <c r="B881" i="35"/>
  <c r="F880" i="35"/>
  <c r="J880" i="35" s="1"/>
  <c r="B880" i="35"/>
  <c r="I880" i="35" s="1"/>
  <c r="F879" i="35"/>
  <c r="J879" i="35" s="1"/>
  <c r="B879" i="35"/>
  <c r="I879" i="35" s="1"/>
  <c r="H879" i="35" s="1"/>
  <c r="I878" i="35"/>
  <c r="H878" i="35" s="1"/>
  <c r="F878" i="35"/>
  <c r="J878" i="35" s="1"/>
  <c r="B878" i="35"/>
  <c r="J877" i="35"/>
  <c r="F877" i="35"/>
  <c r="B877" i="35"/>
  <c r="I877" i="35" s="1"/>
  <c r="H877" i="35" s="1"/>
  <c r="J876" i="35"/>
  <c r="F876" i="35"/>
  <c r="B876" i="35"/>
  <c r="I876" i="35" s="1"/>
  <c r="H876" i="35" s="1"/>
  <c r="H875" i="35"/>
  <c r="F875" i="35"/>
  <c r="J875" i="35" s="1"/>
  <c r="B875" i="35"/>
  <c r="I875" i="35" s="1"/>
  <c r="I874" i="35"/>
  <c r="H874" i="35"/>
  <c r="F874" i="35"/>
  <c r="J874" i="35" s="1"/>
  <c r="B874" i="35"/>
  <c r="J873" i="35"/>
  <c r="I873" i="35"/>
  <c r="H873" i="35" s="1"/>
  <c r="F873" i="35"/>
  <c r="B873" i="35"/>
  <c r="F872" i="35"/>
  <c r="J872" i="35" s="1"/>
  <c r="B872" i="35"/>
  <c r="I872" i="35" s="1"/>
  <c r="F871" i="35"/>
  <c r="J871" i="35" s="1"/>
  <c r="B871" i="35"/>
  <c r="I871" i="35" s="1"/>
  <c r="H871" i="35" s="1"/>
  <c r="I870" i="35"/>
  <c r="H870" i="35" s="1"/>
  <c r="F870" i="35"/>
  <c r="J870" i="35" s="1"/>
  <c r="B870" i="35"/>
  <c r="J869" i="35"/>
  <c r="F869" i="35"/>
  <c r="B869" i="35"/>
  <c r="I869" i="35" s="1"/>
  <c r="H869" i="35" s="1"/>
  <c r="J868" i="35"/>
  <c r="F868" i="35"/>
  <c r="B868" i="35"/>
  <c r="I868" i="35" s="1"/>
  <c r="H868" i="35" s="1"/>
  <c r="H867" i="35"/>
  <c r="F867" i="35"/>
  <c r="J867" i="35" s="1"/>
  <c r="B867" i="35"/>
  <c r="I867" i="35" s="1"/>
  <c r="I866" i="35"/>
  <c r="H866" i="35"/>
  <c r="F866" i="35"/>
  <c r="J866" i="35" s="1"/>
  <c r="B866" i="35"/>
  <c r="J865" i="35"/>
  <c r="I865" i="35"/>
  <c r="H865" i="35" s="1"/>
  <c r="F865" i="35"/>
  <c r="J864" i="35"/>
  <c r="I864" i="35"/>
  <c r="H864" i="35" s="1"/>
  <c r="F864" i="35"/>
  <c r="J863" i="35"/>
  <c r="F863" i="35"/>
  <c r="B863" i="35"/>
  <c r="I863" i="35" s="1"/>
  <c r="H863" i="35" s="1"/>
  <c r="J862" i="35"/>
  <c r="F862" i="35"/>
  <c r="B862" i="35"/>
  <c r="I862" i="35" s="1"/>
  <c r="H862" i="35" s="1"/>
  <c r="H861" i="35"/>
  <c r="F861" i="35"/>
  <c r="J861" i="35" s="1"/>
  <c r="B861" i="35"/>
  <c r="I861" i="35" s="1"/>
  <c r="I860" i="35"/>
  <c r="H860" i="35"/>
  <c r="F860" i="35"/>
  <c r="J860" i="35" s="1"/>
  <c r="B860" i="35"/>
  <c r="J859" i="35"/>
  <c r="I859" i="35"/>
  <c r="H859" i="35" s="1"/>
  <c r="F859" i="35"/>
  <c r="B859" i="35"/>
  <c r="J858" i="35"/>
  <c r="I858" i="35"/>
  <c r="H858" i="35" s="1"/>
  <c r="F858" i="35"/>
  <c r="I857" i="35"/>
  <c r="F857" i="35"/>
  <c r="J857" i="35" s="1"/>
  <c r="I856" i="35"/>
  <c r="F856" i="35"/>
  <c r="J856" i="35" s="1"/>
  <c r="J855" i="35"/>
  <c r="I855" i="35"/>
  <c r="F855" i="35"/>
  <c r="J854" i="35"/>
  <c r="I854" i="35"/>
  <c r="H854" i="35" s="1"/>
  <c r="F854" i="35"/>
  <c r="I853" i="35"/>
  <c r="F853" i="35"/>
  <c r="J853" i="35" s="1"/>
  <c r="I852" i="35"/>
  <c r="F852" i="35"/>
  <c r="J852" i="35" s="1"/>
  <c r="J851" i="35"/>
  <c r="I851" i="35"/>
  <c r="F851" i="35"/>
  <c r="J850" i="35"/>
  <c r="I850" i="35"/>
  <c r="H850" i="35" s="1"/>
  <c r="F850" i="35"/>
  <c r="I849" i="35"/>
  <c r="F849" i="35"/>
  <c r="J849" i="35" s="1"/>
  <c r="I848" i="35"/>
  <c r="F848" i="35"/>
  <c r="J848" i="35" s="1"/>
  <c r="J847" i="35"/>
  <c r="I847" i="35"/>
  <c r="F847" i="35"/>
  <c r="F846" i="35"/>
  <c r="J846" i="35" s="1"/>
  <c r="B846" i="35"/>
  <c r="I846" i="35" s="1"/>
  <c r="F845" i="35"/>
  <c r="J845" i="35" s="1"/>
  <c r="B845" i="35"/>
  <c r="I845" i="35" s="1"/>
  <c r="H845" i="35" s="1"/>
  <c r="I844" i="35"/>
  <c r="H844" i="35" s="1"/>
  <c r="F844" i="35"/>
  <c r="J844" i="35" s="1"/>
  <c r="B844" i="35"/>
  <c r="J843" i="35"/>
  <c r="F843" i="35"/>
  <c r="B843" i="35"/>
  <c r="I843" i="35" s="1"/>
  <c r="H843" i="35" s="1"/>
  <c r="J842" i="35"/>
  <c r="F842" i="35"/>
  <c r="B842" i="35"/>
  <c r="I842" i="35" s="1"/>
  <c r="H842" i="35" s="1"/>
  <c r="H841" i="35"/>
  <c r="F841" i="35"/>
  <c r="J841" i="35" s="1"/>
  <c r="B841" i="35"/>
  <c r="I841" i="35" s="1"/>
  <c r="I840" i="35"/>
  <c r="H840" i="35"/>
  <c r="F840" i="35"/>
  <c r="J840" i="35" s="1"/>
  <c r="B840" i="35"/>
  <c r="J839" i="35"/>
  <c r="I839" i="35"/>
  <c r="H839" i="35" s="1"/>
  <c r="F839" i="35"/>
  <c r="B839" i="35"/>
  <c r="F838" i="35"/>
  <c r="J838" i="35" s="1"/>
  <c r="B838" i="35"/>
  <c r="I838" i="35" s="1"/>
  <c r="F837" i="35"/>
  <c r="J837" i="35" s="1"/>
  <c r="B837" i="35"/>
  <c r="I837" i="35" s="1"/>
  <c r="H837" i="35" s="1"/>
  <c r="I836" i="35"/>
  <c r="H836" i="35" s="1"/>
  <c r="F836" i="35"/>
  <c r="J836" i="35" s="1"/>
  <c r="B836" i="35"/>
  <c r="J835" i="35"/>
  <c r="F835" i="35"/>
  <c r="B835" i="35"/>
  <c r="I835" i="35" s="1"/>
  <c r="H835" i="35" s="1"/>
  <c r="J834" i="35"/>
  <c r="F834" i="35"/>
  <c r="B834" i="35"/>
  <c r="I834" i="35" s="1"/>
  <c r="H834" i="35" s="1"/>
  <c r="H833" i="35"/>
  <c r="F833" i="35"/>
  <c r="J833" i="35" s="1"/>
  <c r="B833" i="35"/>
  <c r="I833" i="35" s="1"/>
  <c r="I832" i="35"/>
  <c r="H832" i="35"/>
  <c r="F832" i="35"/>
  <c r="J832" i="35" s="1"/>
  <c r="B832" i="35"/>
  <c r="J831" i="35"/>
  <c r="I831" i="35"/>
  <c r="H831" i="35" s="1"/>
  <c r="F831" i="35"/>
  <c r="J830" i="35"/>
  <c r="I830" i="35"/>
  <c r="H830" i="35" s="1"/>
  <c r="F830" i="35"/>
  <c r="B830" i="35"/>
  <c r="F829" i="35"/>
  <c r="J829" i="35" s="1"/>
  <c r="B829" i="35"/>
  <c r="I829" i="35" s="1"/>
  <c r="F828" i="35"/>
  <c r="J828" i="35" s="1"/>
  <c r="B828" i="35"/>
  <c r="I828" i="35" s="1"/>
  <c r="H828" i="35" s="1"/>
  <c r="I827" i="35"/>
  <c r="H827" i="35" s="1"/>
  <c r="F827" i="35"/>
  <c r="J827" i="35" s="1"/>
  <c r="B827" i="35"/>
  <c r="J826" i="35"/>
  <c r="F826" i="35"/>
  <c r="B826" i="35"/>
  <c r="I826" i="35" s="1"/>
  <c r="H826" i="35" s="1"/>
  <c r="J825" i="35"/>
  <c r="F825" i="35"/>
  <c r="B825" i="35"/>
  <c r="I825" i="35" s="1"/>
  <c r="F824" i="35"/>
  <c r="J824" i="35" s="1"/>
  <c r="H824" i="35" s="1"/>
  <c r="B824" i="35"/>
  <c r="I824" i="35" s="1"/>
  <c r="I823" i="35"/>
  <c r="F823" i="35"/>
  <c r="J823" i="35" s="1"/>
  <c r="H823" i="35" s="1"/>
  <c r="B823" i="35"/>
  <c r="J822" i="35"/>
  <c r="I822" i="35"/>
  <c r="H822" i="35" s="1"/>
  <c r="F822" i="35"/>
  <c r="B822" i="35"/>
  <c r="F821" i="35"/>
  <c r="J821" i="35" s="1"/>
  <c r="B821" i="35"/>
  <c r="I821" i="35" s="1"/>
  <c r="F820" i="35"/>
  <c r="J820" i="35" s="1"/>
  <c r="B820" i="35"/>
  <c r="I820" i="35" s="1"/>
  <c r="H820" i="35" s="1"/>
  <c r="I819" i="35"/>
  <c r="H819" i="35" s="1"/>
  <c r="F819" i="35"/>
  <c r="J819" i="35" s="1"/>
  <c r="B819" i="35"/>
  <c r="J818" i="35"/>
  <c r="F818" i="35"/>
  <c r="B818" i="35"/>
  <c r="I818" i="35" s="1"/>
  <c r="H818" i="35" s="1"/>
  <c r="J817" i="35"/>
  <c r="F817" i="35"/>
  <c r="B817" i="35"/>
  <c r="I817" i="35" s="1"/>
  <c r="I816" i="35"/>
  <c r="H816" i="35"/>
  <c r="F816" i="35"/>
  <c r="J816" i="35" s="1"/>
  <c r="I815" i="35"/>
  <c r="F815" i="35"/>
  <c r="J815" i="35" s="1"/>
  <c r="H815" i="35" s="1"/>
  <c r="F814" i="35"/>
  <c r="J814" i="35" s="1"/>
  <c r="B814" i="35"/>
  <c r="I814" i="35" s="1"/>
  <c r="H814" i="35" s="1"/>
  <c r="I813" i="35"/>
  <c r="H813" i="35" s="1"/>
  <c r="F813" i="35"/>
  <c r="J813" i="35" s="1"/>
  <c r="B813" i="35"/>
  <c r="J812" i="35"/>
  <c r="F812" i="35"/>
  <c r="B812" i="35"/>
  <c r="I812" i="35" s="1"/>
  <c r="H812" i="35" s="1"/>
  <c r="J811" i="35"/>
  <c r="F811" i="35"/>
  <c r="B811" i="35"/>
  <c r="I811" i="35" s="1"/>
  <c r="F810" i="35"/>
  <c r="J810" i="35" s="1"/>
  <c r="H810" i="35" s="1"/>
  <c r="B810" i="35"/>
  <c r="I810" i="35" s="1"/>
  <c r="I809" i="35"/>
  <c r="F809" i="35"/>
  <c r="J809" i="35" s="1"/>
  <c r="H809" i="35" s="1"/>
  <c r="B809" i="35"/>
  <c r="J808" i="35"/>
  <c r="I808" i="35"/>
  <c r="H808" i="35" s="1"/>
  <c r="F808" i="35"/>
  <c r="B808" i="35"/>
  <c r="F807" i="35"/>
  <c r="J807" i="35" s="1"/>
  <c r="B807" i="35"/>
  <c r="I807" i="35" s="1"/>
  <c r="F806" i="35"/>
  <c r="J806" i="35" s="1"/>
  <c r="B806" i="35"/>
  <c r="I806" i="35" s="1"/>
  <c r="H806" i="35" s="1"/>
  <c r="I805" i="35"/>
  <c r="H805" i="35" s="1"/>
  <c r="F805" i="35"/>
  <c r="J805" i="35" s="1"/>
  <c r="B805" i="35"/>
  <c r="J804" i="35"/>
  <c r="F804" i="35"/>
  <c r="B804" i="35"/>
  <c r="I804" i="35" s="1"/>
  <c r="H804" i="35" s="1"/>
  <c r="J803" i="35"/>
  <c r="F803" i="35"/>
  <c r="B803" i="35"/>
  <c r="I803" i="35" s="1"/>
  <c r="F802" i="35"/>
  <c r="J802" i="35" s="1"/>
  <c r="H802" i="35" s="1"/>
  <c r="B802" i="35"/>
  <c r="I802" i="35" s="1"/>
  <c r="I801" i="35"/>
  <c r="F801" i="35"/>
  <c r="J801" i="35" s="1"/>
  <c r="H801" i="35" s="1"/>
  <c r="B801" i="35"/>
  <c r="J800" i="35"/>
  <c r="I800" i="35"/>
  <c r="H800" i="35" s="1"/>
  <c r="F800" i="35"/>
  <c r="B800" i="35"/>
  <c r="F799" i="35"/>
  <c r="J799" i="35" s="1"/>
  <c r="B799" i="35"/>
  <c r="I799" i="35" s="1"/>
  <c r="F798" i="35"/>
  <c r="J798" i="35" s="1"/>
  <c r="B798" i="35"/>
  <c r="I798" i="35" s="1"/>
  <c r="H798" i="35" s="1"/>
  <c r="I797" i="35"/>
  <c r="H797" i="35" s="1"/>
  <c r="F797" i="35"/>
  <c r="J797" i="35" s="1"/>
  <c r="B797" i="35"/>
  <c r="J796" i="35"/>
  <c r="F796" i="35"/>
  <c r="B796" i="35"/>
  <c r="I796" i="35" s="1"/>
  <c r="H796" i="35" s="1"/>
  <c r="J795" i="35"/>
  <c r="F795" i="35"/>
  <c r="B795" i="35"/>
  <c r="I795" i="35" s="1"/>
  <c r="F794" i="35"/>
  <c r="J794" i="35" s="1"/>
  <c r="H794" i="35" s="1"/>
  <c r="B794" i="35"/>
  <c r="I794" i="35" s="1"/>
  <c r="I793" i="35"/>
  <c r="F793" i="35"/>
  <c r="J793" i="35" s="1"/>
  <c r="H793" i="35" s="1"/>
  <c r="B793" i="35"/>
  <c r="J792" i="35"/>
  <c r="I792" i="35"/>
  <c r="H792" i="35" s="1"/>
  <c r="F792" i="35"/>
  <c r="B792" i="35"/>
  <c r="F791" i="35"/>
  <c r="J791" i="35" s="1"/>
  <c r="B791" i="35"/>
  <c r="I791" i="35" s="1"/>
  <c r="F790" i="35"/>
  <c r="J790" i="35" s="1"/>
  <c r="B790" i="35"/>
  <c r="I790" i="35" s="1"/>
  <c r="H790" i="35" s="1"/>
  <c r="I789" i="35"/>
  <c r="H789" i="35" s="1"/>
  <c r="F789" i="35"/>
  <c r="J789" i="35" s="1"/>
  <c r="B789" i="35"/>
  <c r="J788" i="35"/>
  <c r="F788" i="35"/>
  <c r="B788" i="35"/>
  <c r="I788" i="35" s="1"/>
  <c r="H788" i="35" s="1"/>
  <c r="J787" i="35"/>
  <c r="F787" i="35"/>
  <c r="B787" i="35"/>
  <c r="I787" i="35" s="1"/>
  <c r="F786" i="35"/>
  <c r="J786" i="35" s="1"/>
  <c r="H786" i="35" s="1"/>
  <c r="B786" i="35"/>
  <c r="I786" i="35" s="1"/>
  <c r="I785" i="35"/>
  <c r="F785" i="35"/>
  <c r="J785" i="35" s="1"/>
  <c r="H785" i="35" s="1"/>
  <c r="B785" i="35"/>
  <c r="J784" i="35"/>
  <c r="I784" i="35"/>
  <c r="H784" i="35" s="1"/>
  <c r="F784" i="35"/>
  <c r="B784" i="35"/>
  <c r="F783" i="35"/>
  <c r="J783" i="35" s="1"/>
  <c r="B783" i="35"/>
  <c r="I783" i="35" s="1"/>
  <c r="F782" i="35"/>
  <c r="J782" i="35" s="1"/>
  <c r="B782" i="35"/>
  <c r="I782" i="35" s="1"/>
  <c r="H782" i="35" s="1"/>
  <c r="I781" i="35"/>
  <c r="H781" i="35" s="1"/>
  <c r="F781" i="35"/>
  <c r="J781" i="35" s="1"/>
  <c r="B781" i="35"/>
  <c r="J780" i="35"/>
  <c r="F780" i="35"/>
  <c r="B780" i="35"/>
  <c r="I780" i="35" s="1"/>
  <c r="H780" i="35" s="1"/>
  <c r="J779" i="35"/>
  <c r="F779" i="35"/>
  <c r="B779" i="35"/>
  <c r="I779" i="35" s="1"/>
  <c r="I778" i="35"/>
  <c r="H778" i="35"/>
  <c r="F778" i="35"/>
  <c r="J778" i="35" s="1"/>
  <c r="I777" i="35"/>
  <c r="F777" i="35"/>
  <c r="J777" i="35" s="1"/>
  <c r="H777" i="35" s="1"/>
  <c r="I776" i="35"/>
  <c r="F776" i="35"/>
  <c r="J776" i="35" s="1"/>
  <c r="H776" i="35" s="1"/>
  <c r="I775" i="35"/>
  <c r="H775" i="35"/>
  <c r="F775" i="35"/>
  <c r="J775" i="35" s="1"/>
  <c r="F774" i="35"/>
  <c r="J774" i="35" s="1"/>
  <c r="H774" i="35" s="1"/>
  <c r="B774" i="35"/>
  <c r="I774" i="35" s="1"/>
  <c r="I773" i="35"/>
  <c r="F773" i="35"/>
  <c r="J773" i="35" s="1"/>
  <c r="H773" i="35" s="1"/>
  <c r="B773" i="35"/>
  <c r="J772" i="35"/>
  <c r="I772" i="35"/>
  <c r="H772" i="35" s="1"/>
  <c r="F772" i="35"/>
  <c r="B772" i="35"/>
  <c r="F771" i="35"/>
  <c r="J771" i="35" s="1"/>
  <c r="B771" i="35"/>
  <c r="I771" i="35" s="1"/>
  <c r="F770" i="35"/>
  <c r="J770" i="35" s="1"/>
  <c r="B770" i="35"/>
  <c r="I770" i="35" s="1"/>
  <c r="H770" i="35" s="1"/>
  <c r="I769" i="35"/>
  <c r="H769" i="35" s="1"/>
  <c r="F769" i="35"/>
  <c r="J769" i="35" s="1"/>
  <c r="B769" i="35"/>
  <c r="J768" i="35"/>
  <c r="F768" i="35"/>
  <c r="B768" i="35"/>
  <c r="I768" i="35" s="1"/>
  <c r="H768" i="35" s="1"/>
  <c r="J767" i="35"/>
  <c r="F767" i="35"/>
  <c r="B767" i="35"/>
  <c r="I767" i="35" s="1"/>
  <c r="F766" i="35"/>
  <c r="J766" i="35" s="1"/>
  <c r="H766" i="35" s="1"/>
  <c r="B766" i="35"/>
  <c r="I766" i="35" s="1"/>
  <c r="I765" i="35"/>
  <c r="F765" i="35"/>
  <c r="J765" i="35" s="1"/>
  <c r="H765" i="35" s="1"/>
  <c r="B765" i="35"/>
  <c r="J764" i="35"/>
  <c r="I764" i="35"/>
  <c r="H764" i="35" s="1"/>
  <c r="F764" i="35"/>
  <c r="B764" i="35"/>
  <c r="F763" i="35"/>
  <c r="J763" i="35" s="1"/>
  <c r="B763" i="35"/>
  <c r="I763" i="35" s="1"/>
  <c r="I762" i="35"/>
  <c r="F762" i="35"/>
  <c r="J762" i="35" s="1"/>
  <c r="H762" i="35" s="1"/>
  <c r="H761" i="35"/>
  <c r="F761" i="35"/>
  <c r="J761" i="35" s="1"/>
  <c r="B761" i="35"/>
  <c r="I761" i="35" s="1"/>
  <c r="I760" i="35"/>
  <c r="H760" i="35"/>
  <c r="F760" i="35"/>
  <c r="J760" i="35" s="1"/>
  <c r="B760" i="35"/>
  <c r="J759" i="35"/>
  <c r="I759" i="35"/>
  <c r="H759" i="35" s="1"/>
  <c r="F759" i="35"/>
  <c r="B759" i="35"/>
  <c r="F758" i="35"/>
  <c r="J758" i="35" s="1"/>
  <c r="B758" i="35"/>
  <c r="I758" i="35" s="1"/>
  <c r="F757" i="35"/>
  <c r="J757" i="35" s="1"/>
  <c r="B757" i="35"/>
  <c r="I757" i="35" s="1"/>
  <c r="H757" i="35" s="1"/>
  <c r="I756" i="35"/>
  <c r="H756" i="35" s="1"/>
  <c r="F756" i="35"/>
  <c r="J756" i="35" s="1"/>
  <c r="B756" i="35"/>
  <c r="J755" i="35"/>
  <c r="F755" i="35"/>
  <c r="B755" i="35"/>
  <c r="I755" i="35" s="1"/>
  <c r="H755" i="35" s="1"/>
  <c r="J754" i="35"/>
  <c r="F754" i="35"/>
  <c r="B754" i="35"/>
  <c r="I754" i="35" s="1"/>
  <c r="H754" i="35" s="1"/>
  <c r="H753" i="35"/>
  <c r="F753" i="35"/>
  <c r="J753" i="35" s="1"/>
  <c r="B753" i="35"/>
  <c r="I753" i="35" s="1"/>
  <c r="I752" i="35"/>
  <c r="H752" i="35"/>
  <c r="F752" i="35"/>
  <c r="J752" i="35" s="1"/>
  <c r="B752" i="35"/>
  <c r="J751" i="35"/>
  <c r="I751" i="35"/>
  <c r="H751" i="35" s="1"/>
  <c r="F751" i="35"/>
  <c r="B751" i="35"/>
  <c r="F750" i="35"/>
  <c r="J750" i="35" s="1"/>
  <c r="B750" i="35"/>
  <c r="I750" i="35" s="1"/>
  <c r="F749" i="35"/>
  <c r="J749" i="35" s="1"/>
  <c r="B749" i="35"/>
  <c r="I749" i="35" s="1"/>
  <c r="H749" i="35" s="1"/>
  <c r="I748" i="35"/>
  <c r="H748" i="35" s="1"/>
  <c r="F748" i="35"/>
  <c r="J748" i="35" s="1"/>
  <c r="B748" i="35"/>
  <c r="J747" i="35"/>
  <c r="F747" i="35"/>
  <c r="B747" i="35"/>
  <c r="I747" i="35" s="1"/>
  <c r="H747" i="35" s="1"/>
  <c r="J746" i="35"/>
  <c r="F746" i="35"/>
  <c r="B746" i="35"/>
  <c r="I746" i="35" s="1"/>
  <c r="H746" i="35" s="1"/>
  <c r="H745" i="35"/>
  <c r="F745" i="35"/>
  <c r="J745" i="35" s="1"/>
  <c r="B745" i="35"/>
  <c r="I745" i="35" s="1"/>
  <c r="I744" i="35"/>
  <c r="H744" i="35"/>
  <c r="F744" i="35"/>
  <c r="J744" i="35" s="1"/>
  <c r="B744" i="35"/>
  <c r="J743" i="35"/>
  <c r="I743" i="35"/>
  <c r="H743" i="35" s="1"/>
  <c r="F743" i="35"/>
  <c r="B743" i="35"/>
  <c r="F742" i="35"/>
  <c r="J742" i="35" s="1"/>
  <c r="B742" i="35"/>
  <c r="I742" i="35" s="1"/>
  <c r="F741" i="35"/>
  <c r="J741" i="35" s="1"/>
  <c r="B741" i="35"/>
  <c r="I741" i="35" s="1"/>
  <c r="H741" i="35" s="1"/>
  <c r="I740" i="35"/>
  <c r="H740" i="35" s="1"/>
  <c r="F740" i="35"/>
  <c r="J740" i="35" s="1"/>
  <c r="B740" i="35"/>
  <c r="J739" i="35"/>
  <c r="F739" i="35"/>
  <c r="B739" i="35"/>
  <c r="I739" i="35" s="1"/>
  <c r="H739" i="35" s="1"/>
  <c r="J738" i="35"/>
  <c r="F738" i="35"/>
  <c r="B738" i="35"/>
  <c r="I738" i="35" s="1"/>
  <c r="H738" i="35" s="1"/>
  <c r="H737" i="35"/>
  <c r="F737" i="35"/>
  <c r="J737" i="35" s="1"/>
  <c r="B737" i="35"/>
  <c r="I737" i="35" s="1"/>
  <c r="I736" i="35"/>
  <c r="H736" i="35"/>
  <c r="F736" i="35"/>
  <c r="J736" i="35" s="1"/>
  <c r="B736" i="35"/>
  <c r="J735" i="35"/>
  <c r="I735" i="35"/>
  <c r="H735" i="35" s="1"/>
  <c r="F735" i="35"/>
  <c r="B735" i="35"/>
  <c r="F734" i="35"/>
  <c r="J734" i="35" s="1"/>
  <c r="B734" i="35"/>
  <c r="I734" i="35" s="1"/>
  <c r="F733" i="35"/>
  <c r="J733" i="35" s="1"/>
  <c r="B733" i="35"/>
  <c r="I733" i="35" s="1"/>
  <c r="H733" i="35" s="1"/>
  <c r="I732" i="35"/>
  <c r="H732" i="35" s="1"/>
  <c r="F732" i="35"/>
  <c r="J732" i="35" s="1"/>
  <c r="B732" i="35"/>
  <c r="J731" i="35"/>
  <c r="F731" i="35"/>
  <c r="B731" i="35"/>
  <c r="I731" i="35" s="1"/>
  <c r="H731" i="35" s="1"/>
  <c r="J730" i="35"/>
  <c r="F730" i="35"/>
  <c r="B730" i="35"/>
  <c r="I730" i="35" s="1"/>
  <c r="H730" i="35" s="1"/>
  <c r="H729" i="35"/>
  <c r="F729" i="35"/>
  <c r="J729" i="35" s="1"/>
  <c r="B729" i="35"/>
  <c r="I729" i="35" s="1"/>
  <c r="I728" i="35"/>
  <c r="H728" i="35"/>
  <c r="F728" i="35"/>
  <c r="J728" i="35" s="1"/>
  <c r="B728" i="35"/>
  <c r="J727" i="35"/>
  <c r="I727" i="35"/>
  <c r="H727" i="35" s="1"/>
  <c r="F727" i="35"/>
  <c r="B727" i="35"/>
  <c r="F726" i="35"/>
  <c r="J726" i="35" s="1"/>
  <c r="B726" i="35"/>
  <c r="I726" i="35" s="1"/>
  <c r="F725" i="35"/>
  <c r="J725" i="35" s="1"/>
  <c r="B725" i="35"/>
  <c r="I725" i="35" s="1"/>
  <c r="H725" i="35" s="1"/>
  <c r="I724" i="35"/>
  <c r="H724" i="35" s="1"/>
  <c r="F724" i="35"/>
  <c r="J724" i="35" s="1"/>
  <c r="B724" i="35"/>
  <c r="J723" i="35"/>
  <c r="F723" i="35"/>
  <c r="B723" i="35"/>
  <c r="I723" i="35" s="1"/>
  <c r="H723" i="35" s="1"/>
  <c r="J722" i="35"/>
  <c r="F722" i="35"/>
  <c r="B722" i="35"/>
  <c r="I722" i="35" s="1"/>
  <c r="H722" i="35" s="1"/>
  <c r="H721" i="35"/>
  <c r="F721" i="35"/>
  <c r="J721" i="35" s="1"/>
  <c r="B721" i="35"/>
  <c r="I721" i="35" s="1"/>
  <c r="I720" i="35"/>
  <c r="H720" i="35"/>
  <c r="F720" i="35"/>
  <c r="J720" i="35" s="1"/>
  <c r="B720" i="35"/>
  <c r="J719" i="35"/>
  <c r="I719" i="35"/>
  <c r="H719" i="35" s="1"/>
  <c r="F719" i="35"/>
  <c r="B719" i="35"/>
  <c r="F718" i="35"/>
  <c r="J718" i="35" s="1"/>
  <c r="B718" i="35"/>
  <c r="I718" i="35" s="1"/>
  <c r="F717" i="35"/>
  <c r="J717" i="35" s="1"/>
  <c r="B717" i="35"/>
  <c r="I717" i="35" s="1"/>
  <c r="H717" i="35" s="1"/>
  <c r="I716" i="35"/>
  <c r="H716" i="35" s="1"/>
  <c r="F716" i="35"/>
  <c r="J716" i="35" s="1"/>
  <c r="B716" i="35"/>
  <c r="J715" i="35"/>
  <c r="F715" i="35"/>
  <c r="B715" i="35"/>
  <c r="I715" i="35" s="1"/>
  <c r="H715" i="35" s="1"/>
  <c r="J714" i="35"/>
  <c r="F714" i="35"/>
  <c r="B714" i="35"/>
  <c r="I714" i="35" s="1"/>
  <c r="H714" i="35" s="1"/>
  <c r="H713" i="35"/>
  <c r="F713" i="35"/>
  <c r="J713" i="35" s="1"/>
  <c r="B713" i="35"/>
  <c r="I713" i="35" s="1"/>
  <c r="I712" i="35"/>
  <c r="H712" i="35"/>
  <c r="F712" i="35"/>
  <c r="J712" i="35" s="1"/>
  <c r="B712" i="35"/>
  <c r="J711" i="35"/>
  <c r="I711" i="35"/>
  <c r="H711" i="35" s="1"/>
  <c r="F711" i="35"/>
  <c r="B711" i="35"/>
  <c r="F710" i="35"/>
  <c r="J710" i="35" s="1"/>
  <c r="B710" i="35"/>
  <c r="I710" i="35" s="1"/>
  <c r="F709" i="35"/>
  <c r="J709" i="35" s="1"/>
  <c r="B709" i="35"/>
  <c r="I709" i="35" s="1"/>
  <c r="H709" i="35" s="1"/>
  <c r="I708" i="35"/>
  <c r="H708" i="35" s="1"/>
  <c r="F708" i="35"/>
  <c r="J708" i="35" s="1"/>
  <c r="B708" i="35"/>
  <c r="J707" i="35"/>
  <c r="F707" i="35"/>
  <c r="B707" i="35"/>
  <c r="I707" i="35" s="1"/>
  <c r="H707" i="35" s="1"/>
  <c r="J706" i="35"/>
  <c r="F706" i="35"/>
  <c r="B706" i="35"/>
  <c r="I706" i="35" s="1"/>
  <c r="H706" i="35" s="1"/>
  <c r="H705" i="35"/>
  <c r="F705" i="35"/>
  <c r="J705" i="35" s="1"/>
  <c r="B705" i="35"/>
  <c r="I705" i="35" s="1"/>
  <c r="I704" i="35"/>
  <c r="H704" i="35"/>
  <c r="F704" i="35"/>
  <c r="J704" i="35" s="1"/>
  <c r="B704" i="35"/>
  <c r="J703" i="35"/>
  <c r="I703" i="35"/>
  <c r="H703" i="35" s="1"/>
  <c r="F703" i="35"/>
  <c r="B703" i="35"/>
  <c r="F702" i="35"/>
  <c r="J702" i="35" s="1"/>
  <c r="B702" i="35"/>
  <c r="I702" i="35" s="1"/>
  <c r="F701" i="35"/>
  <c r="J701" i="35" s="1"/>
  <c r="B701" i="35"/>
  <c r="I701" i="35" s="1"/>
  <c r="H701" i="35" s="1"/>
  <c r="I700" i="35"/>
  <c r="H700" i="35" s="1"/>
  <c r="F700" i="35"/>
  <c r="J700" i="35" s="1"/>
  <c r="B700" i="35"/>
  <c r="J699" i="35"/>
  <c r="F699" i="35"/>
  <c r="B699" i="35"/>
  <c r="I699" i="35" s="1"/>
  <c r="H699" i="35" s="1"/>
  <c r="J698" i="35"/>
  <c r="F698" i="35"/>
  <c r="B698" i="35"/>
  <c r="I698" i="35" s="1"/>
  <c r="H698" i="35" s="1"/>
  <c r="H697" i="35"/>
  <c r="F697" i="35"/>
  <c r="J697" i="35" s="1"/>
  <c r="B697" i="35"/>
  <c r="I697" i="35" s="1"/>
  <c r="I696" i="35"/>
  <c r="H696" i="35"/>
  <c r="F696" i="35"/>
  <c r="J696" i="35" s="1"/>
  <c r="B696" i="35"/>
  <c r="J695" i="35"/>
  <c r="I695" i="35"/>
  <c r="H695" i="35" s="1"/>
  <c r="F695" i="35"/>
  <c r="B695" i="35"/>
  <c r="F694" i="35"/>
  <c r="J694" i="35" s="1"/>
  <c r="B694" i="35"/>
  <c r="I694" i="35" s="1"/>
  <c r="F693" i="35"/>
  <c r="J693" i="35" s="1"/>
  <c r="B693" i="35"/>
  <c r="I693" i="35" s="1"/>
  <c r="H693" i="35" s="1"/>
  <c r="I692" i="35"/>
  <c r="H692" i="35" s="1"/>
  <c r="F692" i="35"/>
  <c r="J692" i="35" s="1"/>
  <c r="B692" i="35"/>
  <c r="J691" i="35"/>
  <c r="F691" i="35"/>
  <c r="B691" i="35"/>
  <c r="I691" i="35" s="1"/>
  <c r="H691" i="35" s="1"/>
  <c r="J690" i="35"/>
  <c r="F690" i="35"/>
  <c r="B690" i="35"/>
  <c r="I690" i="35" s="1"/>
  <c r="H690" i="35" s="1"/>
  <c r="H689" i="35"/>
  <c r="F689" i="35"/>
  <c r="J689" i="35" s="1"/>
  <c r="B689" i="35"/>
  <c r="I689" i="35" s="1"/>
  <c r="I688" i="35"/>
  <c r="H688" i="35"/>
  <c r="F688" i="35"/>
  <c r="J688" i="35" s="1"/>
  <c r="B688" i="35"/>
  <c r="J687" i="35"/>
  <c r="I687" i="35"/>
  <c r="H687" i="35" s="1"/>
  <c r="F687" i="35"/>
  <c r="B687" i="35"/>
  <c r="F686" i="35"/>
  <c r="J686" i="35" s="1"/>
  <c r="B686" i="35"/>
  <c r="I686" i="35" s="1"/>
  <c r="F685" i="35"/>
  <c r="J685" i="35" s="1"/>
  <c r="B685" i="35"/>
  <c r="I685" i="35" s="1"/>
  <c r="H685" i="35" s="1"/>
  <c r="I684" i="35"/>
  <c r="H684" i="35" s="1"/>
  <c r="F684" i="35"/>
  <c r="J684" i="35" s="1"/>
  <c r="B684" i="35"/>
  <c r="J683" i="35"/>
  <c r="F683" i="35"/>
  <c r="B683" i="35"/>
  <c r="I683" i="35" s="1"/>
  <c r="H683" i="35" s="1"/>
  <c r="J682" i="35"/>
  <c r="F682" i="35"/>
  <c r="B682" i="35"/>
  <c r="I682" i="35" s="1"/>
  <c r="H682" i="35" s="1"/>
  <c r="H681" i="35"/>
  <c r="F681" i="35"/>
  <c r="J681" i="35" s="1"/>
  <c r="B681" i="35"/>
  <c r="I681" i="35" s="1"/>
  <c r="I680" i="35"/>
  <c r="H680" i="35"/>
  <c r="F680" i="35"/>
  <c r="J680" i="35" s="1"/>
  <c r="B680" i="35"/>
  <c r="J679" i="35"/>
  <c r="I679" i="35"/>
  <c r="H679" i="35" s="1"/>
  <c r="F679" i="35"/>
  <c r="B679" i="35"/>
  <c r="F678" i="35"/>
  <c r="J678" i="35" s="1"/>
  <c r="B678" i="35"/>
  <c r="I678" i="35" s="1"/>
  <c r="F677" i="35"/>
  <c r="J677" i="35" s="1"/>
  <c r="B677" i="35"/>
  <c r="I677" i="35" s="1"/>
  <c r="H677" i="35" s="1"/>
  <c r="I676" i="35"/>
  <c r="H676" i="35" s="1"/>
  <c r="F676" i="35"/>
  <c r="J676" i="35" s="1"/>
  <c r="B676" i="35"/>
  <c r="J675" i="35"/>
  <c r="F675" i="35"/>
  <c r="B675" i="35"/>
  <c r="I675" i="35" s="1"/>
  <c r="H675" i="35" s="1"/>
  <c r="J674" i="35"/>
  <c r="F674" i="35"/>
  <c r="B674" i="35"/>
  <c r="I674" i="35" s="1"/>
  <c r="H674" i="35" s="1"/>
  <c r="I673" i="35"/>
  <c r="H673" i="35"/>
  <c r="F673" i="35"/>
  <c r="J673" i="35" s="1"/>
  <c r="I672" i="35"/>
  <c r="H672" i="35"/>
  <c r="F672" i="35"/>
  <c r="J672" i="35" s="1"/>
  <c r="I671" i="35"/>
  <c r="F671" i="35"/>
  <c r="J671" i="35" s="1"/>
  <c r="H671" i="35" s="1"/>
  <c r="I670" i="35"/>
  <c r="F670" i="35"/>
  <c r="J670" i="35" s="1"/>
  <c r="H670" i="35" s="1"/>
  <c r="I669" i="35"/>
  <c r="H669" i="35"/>
  <c r="F669" i="35"/>
  <c r="J669" i="35" s="1"/>
  <c r="I668" i="35"/>
  <c r="H668" i="35"/>
  <c r="F668" i="35"/>
  <c r="J668" i="35" s="1"/>
  <c r="F667" i="35"/>
  <c r="J667" i="35" s="1"/>
  <c r="B667" i="35"/>
  <c r="I667" i="35" s="1"/>
  <c r="H667" i="35" s="1"/>
  <c r="I666" i="35"/>
  <c r="H666" i="35" s="1"/>
  <c r="F666" i="35"/>
  <c r="J666" i="35" s="1"/>
  <c r="B666" i="35"/>
  <c r="J665" i="35"/>
  <c r="F665" i="35"/>
  <c r="B665" i="35"/>
  <c r="I665" i="35" s="1"/>
  <c r="H665" i="35" s="1"/>
  <c r="J664" i="35"/>
  <c r="F664" i="35"/>
  <c r="B664" i="35"/>
  <c r="I664" i="35" s="1"/>
  <c r="H664" i="35" s="1"/>
  <c r="H663" i="35"/>
  <c r="F663" i="35"/>
  <c r="J663" i="35" s="1"/>
  <c r="B663" i="35"/>
  <c r="I663" i="35" s="1"/>
  <c r="I662" i="35"/>
  <c r="H662" i="35"/>
  <c r="F662" i="35"/>
  <c r="J662" i="35" s="1"/>
  <c r="B662" i="35"/>
  <c r="J661" i="35"/>
  <c r="I661" i="35"/>
  <c r="H661" i="35" s="1"/>
  <c r="F661" i="35"/>
  <c r="B661" i="35"/>
  <c r="F660" i="35"/>
  <c r="J660" i="35" s="1"/>
  <c r="B660" i="35"/>
  <c r="I660" i="35" s="1"/>
  <c r="F659" i="35"/>
  <c r="J659" i="35" s="1"/>
  <c r="B659" i="35"/>
  <c r="I659" i="35" s="1"/>
  <c r="H659" i="35" s="1"/>
  <c r="I658" i="35"/>
  <c r="H658" i="35" s="1"/>
  <c r="F658" i="35"/>
  <c r="J658" i="35" s="1"/>
  <c r="B658" i="35"/>
  <c r="J657" i="35"/>
  <c r="I657" i="35"/>
  <c r="F657" i="35"/>
  <c r="J656" i="35"/>
  <c r="F656" i="35"/>
  <c r="B656" i="35"/>
  <c r="I656" i="35" s="1"/>
  <c r="H656" i="35" s="1"/>
  <c r="J655" i="35"/>
  <c r="F655" i="35"/>
  <c r="B655" i="35"/>
  <c r="I655" i="35" s="1"/>
  <c r="F654" i="35"/>
  <c r="J654" i="35" s="1"/>
  <c r="H654" i="35" s="1"/>
  <c r="B654" i="35"/>
  <c r="I654" i="35" s="1"/>
  <c r="I653" i="35"/>
  <c r="F653" i="35"/>
  <c r="J653" i="35" s="1"/>
  <c r="H653" i="35" s="1"/>
  <c r="B653" i="35"/>
  <c r="J652" i="35"/>
  <c r="I652" i="35"/>
  <c r="H652" i="35" s="1"/>
  <c r="F652" i="35"/>
  <c r="B652" i="35"/>
  <c r="F651" i="35"/>
  <c r="J651" i="35" s="1"/>
  <c r="B651" i="35"/>
  <c r="I651" i="35" s="1"/>
  <c r="F650" i="35"/>
  <c r="J650" i="35" s="1"/>
  <c r="B650" i="35"/>
  <c r="I650" i="35" s="1"/>
  <c r="H650" i="35" s="1"/>
  <c r="I649" i="35"/>
  <c r="H649" i="35" s="1"/>
  <c r="F649" i="35"/>
  <c r="J649" i="35" s="1"/>
  <c r="B649" i="35"/>
  <c r="J648" i="35"/>
  <c r="F648" i="35"/>
  <c r="B648" i="35"/>
  <c r="I648" i="35" s="1"/>
  <c r="H648" i="35" s="1"/>
  <c r="J647" i="35"/>
  <c r="F647" i="35"/>
  <c r="B647" i="35"/>
  <c r="I647" i="35" s="1"/>
  <c r="F646" i="35"/>
  <c r="J646" i="35" s="1"/>
  <c r="H646" i="35" s="1"/>
  <c r="B646" i="35"/>
  <c r="I646" i="35" s="1"/>
  <c r="I645" i="35"/>
  <c r="F645" i="35"/>
  <c r="J645" i="35" s="1"/>
  <c r="H645" i="35" s="1"/>
  <c r="B645" i="35"/>
  <c r="J644" i="35"/>
  <c r="I644" i="35"/>
  <c r="H644" i="35" s="1"/>
  <c r="F644" i="35"/>
  <c r="B644" i="35"/>
  <c r="F643" i="35"/>
  <c r="J643" i="35" s="1"/>
  <c r="B643" i="35"/>
  <c r="I643" i="35" s="1"/>
  <c r="F642" i="35"/>
  <c r="J642" i="35" s="1"/>
  <c r="B642" i="35"/>
  <c r="I642" i="35" s="1"/>
  <c r="H642" i="35" s="1"/>
  <c r="I641" i="35"/>
  <c r="H641" i="35" s="1"/>
  <c r="F641" i="35"/>
  <c r="J641" i="35" s="1"/>
  <c r="B641" i="35"/>
  <c r="J640" i="35"/>
  <c r="F640" i="35"/>
  <c r="B640" i="35"/>
  <c r="I640" i="35" s="1"/>
  <c r="H640" i="35" s="1"/>
  <c r="J639" i="35"/>
  <c r="F639" i="35"/>
  <c r="B639" i="35"/>
  <c r="I639" i="35" s="1"/>
  <c r="F638" i="35"/>
  <c r="J638" i="35" s="1"/>
  <c r="H638" i="35" s="1"/>
  <c r="B638" i="35"/>
  <c r="I638" i="35" s="1"/>
  <c r="I637" i="35"/>
  <c r="F637" i="35"/>
  <c r="J637" i="35" s="1"/>
  <c r="H637" i="35" s="1"/>
  <c r="B637" i="35"/>
  <c r="J636" i="35"/>
  <c r="I636" i="35"/>
  <c r="H636" i="35" s="1"/>
  <c r="F636" i="35"/>
  <c r="B636" i="35"/>
  <c r="F635" i="35"/>
  <c r="J635" i="35" s="1"/>
  <c r="B635" i="35"/>
  <c r="I635" i="35" s="1"/>
  <c r="F634" i="35"/>
  <c r="J634" i="35" s="1"/>
  <c r="B634" i="35"/>
  <c r="I634" i="35" s="1"/>
  <c r="H634" i="35" s="1"/>
  <c r="I633" i="35"/>
  <c r="H633" i="35" s="1"/>
  <c r="F633" i="35"/>
  <c r="J633" i="35" s="1"/>
  <c r="B633" i="35"/>
  <c r="J632" i="35"/>
  <c r="I632" i="35"/>
  <c r="F632" i="35"/>
  <c r="J631" i="35"/>
  <c r="I631" i="35"/>
  <c r="H631" i="35" s="1"/>
  <c r="F631" i="35"/>
  <c r="J630" i="35"/>
  <c r="I630" i="35"/>
  <c r="H630" i="35" s="1"/>
  <c r="F630" i="35"/>
  <c r="B630" i="35"/>
  <c r="F629" i="35"/>
  <c r="J629" i="35" s="1"/>
  <c r="B629" i="35"/>
  <c r="I629" i="35" s="1"/>
  <c r="F628" i="35"/>
  <c r="J628" i="35" s="1"/>
  <c r="B628" i="35"/>
  <c r="I628" i="35" s="1"/>
  <c r="H628" i="35" s="1"/>
  <c r="I627" i="35"/>
  <c r="H627" i="35" s="1"/>
  <c r="F627" i="35"/>
  <c r="J627" i="35" s="1"/>
  <c r="B627" i="35"/>
  <c r="J626" i="35"/>
  <c r="F626" i="35"/>
  <c r="B626" i="35"/>
  <c r="I626" i="35" s="1"/>
  <c r="H626" i="35" s="1"/>
  <c r="J625" i="35"/>
  <c r="I625" i="35"/>
  <c r="F625" i="35"/>
  <c r="F624" i="35"/>
  <c r="J624" i="35" s="1"/>
  <c r="B624" i="35"/>
  <c r="I624" i="35" s="1"/>
  <c r="F623" i="35"/>
  <c r="J623" i="35" s="1"/>
  <c r="B623" i="35"/>
  <c r="I623" i="35" s="1"/>
  <c r="H623" i="35" s="1"/>
  <c r="I622" i="35"/>
  <c r="H622" i="35" s="1"/>
  <c r="F622" i="35"/>
  <c r="J622" i="35" s="1"/>
  <c r="B622" i="35"/>
  <c r="J621" i="35"/>
  <c r="F621" i="35"/>
  <c r="B621" i="35"/>
  <c r="I621" i="35" s="1"/>
  <c r="H621" i="35" s="1"/>
  <c r="J620" i="35"/>
  <c r="F620" i="35"/>
  <c r="B620" i="35"/>
  <c r="I620" i="35" s="1"/>
  <c r="H620" i="35" s="1"/>
  <c r="H619" i="35"/>
  <c r="F619" i="35"/>
  <c r="J619" i="35" s="1"/>
  <c r="B619" i="35"/>
  <c r="I619" i="35" s="1"/>
  <c r="I618" i="35"/>
  <c r="H618" i="35"/>
  <c r="F618" i="35"/>
  <c r="J618" i="35" s="1"/>
  <c r="I617" i="35"/>
  <c r="F617" i="35"/>
  <c r="J617" i="35" s="1"/>
  <c r="H617" i="35" s="1"/>
  <c r="B617" i="35"/>
  <c r="J616" i="35"/>
  <c r="I616" i="35"/>
  <c r="H616" i="35" s="1"/>
  <c r="F616" i="35"/>
  <c r="B616" i="35"/>
  <c r="F615" i="35"/>
  <c r="J615" i="35" s="1"/>
  <c r="B615" i="35"/>
  <c r="I615" i="35" s="1"/>
  <c r="F614" i="35"/>
  <c r="J614" i="35" s="1"/>
  <c r="B614" i="35"/>
  <c r="I614" i="35" s="1"/>
  <c r="H614" i="35" s="1"/>
  <c r="I613" i="35"/>
  <c r="H613" i="35" s="1"/>
  <c r="F613" i="35"/>
  <c r="J613" i="35" s="1"/>
  <c r="B613" i="35"/>
  <c r="J612" i="35"/>
  <c r="F612" i="35"/>
  <c r="B612" i="35"/>
  <c r="I612" i="35" s="1"/>
  <c r="H612" i="35" s="1"/>
  <c r="J611" i="35"/>
  <c r="F611" i="35"/>
  <c r="B611" i="35"/>
  <c r="I611" i="35" s="1"/>
  <c r="F610" i="35"/>
  <c r="J610" i="35" s="1"/>
  <c r="H610" i="35" s="1"/>
  <c r="B610" i="35"/>
  <c r="I610" i="35" s="1"/>
  <c r="I609" i="35"/>
  <c r="F609" i="35"/>
  <c r="J609" i="35" s="1"/>
  <c r="H609" i="35" s="1"/>
  <c r="B609" i="35"/>
  <c r="J608" i="35"/>
  <c r="I608" i="35"/>
  <c r="H608" i="35" s="1"/>
  <c r="F608" i="35"/>
  <c r="B608" i="35"/>
  <c r="F607" i="35"/>
  <c r="J607" i="35" s="1"/>
  <c r="B607" i="35"/>
  <c r="I607" i="35" s="1"/>
  <c r="F606" i="35"/>
  <c r="J606" i="35" s="1"/>
  <c r="B606" i="35"/>
  <c r="I606" i="35" s="1"/>
  <c r="H606" i="35" s="1"/>
  <c r="I605" i="35"/>
  <c r="H605" i="35" s="1"/>
  <c r="F605" i="35"/>
  <c r="J605" i="35" s="1"/>
  <c r="B605" i="35"/>
  <c r="J604" i="35"/>
  <c r="F604" i="35"/>
  <c r="B604" i="35"/>
  <c r="I604" i="35" s="1"/>
  <c r="H604" i="35" s="1"/>
  <c r="J603" i="35"/>
  <c r="F603" i="35"/>
  <c r="B603" i="35"/>
  <c r="I603" i="35" s="1"/>
  <c r="F602" i="35"/>
  <c r="J602" i="35" s="1"/>
  <c r="H602" i="35" s="1"/>
  <c r="B602" i="35"/>
  <c r="I602" i="35" s="1"/>
  <c r="I601" i="35"/>
  <c r="F601" i="35"/>
  <c r="J601" i="35" s="1"/>
  <c r="H601" i="35" s="1"/>
  <c r="B601" i="35"/>
  <c r="J600" i="35"/>
  <c r="I600" i="35"/>
  <c r="H600" i="35" s="1"/>
  <c r="F600" i="35"/>
  <c r="J599" i="35"/>
  <c r="F599" i="35"/>
  <c r="B599" i="35"/>
  <c r="I599" i="35" s="1"/>
  <c r="H599" i="35" s="1"/>
  <c r="J598" i="35"/>
  <c r="F598" i="35"/>
  <c r="B598" i="35"/>
  <c r="I598" i="35" s="1"/>
  <c r="H598" i="35" s="1"/>
  <c r="H597" i="35"/>
  <c r="F597" i="35"/>
  <c r="J597" i="35" s="1"/>
  <c r="B597" i="35"/>
  <c r="I597" i="35" s="1"/>
  <c r="I596" i="35"/>
  <c r="H596" i="35"/>
  <c r="F596" i="35"/>
  <c r="J596" i="35" s="1"/>
  <c r="B596" i="35"/>
  <c r="J595" i="35"/>
  <c r="I595" i="35"/>
  <c r="H595" i="35" s="1"/>
  <c r="F595" i="35"/>
  <c r="B595" i="35"/>
  <c r="F594" i="35"/>
  <c r="J594" i="35" s="1"/>
  <c r="B594" i="35"/>
  <c r="I594" i="35" s="1"/>
  <c r="F593" i="35"/>
  <c r="J593" i="35" s="1"/>
  <c r="B593" i="35"/>
  <c r="I593" i="35" s="1"/>
  <c r="H593" i="35" s="1"/>
  <c r="I592" i="35"/>
  <c r="H592" i="35" s="1"/>
  <c r="F592" i="35"/>
  <c r="J592" i="35" s="1"/>
  <c r="I591" i="35"/>
  <c r="H591" i="35" s="1"/>
  <c r="F591" i="35"/>
  <c r="J591" i="35" s="1"/>
  <c r="B591" i="35"/>
  <c r="J590" i="35"/>
  <c r="F590" i="35"/>
  <c r="B590" i="35"/>
  <c r="I590" i="35" s="1"/>
  <c r="H590" i="35" s="1"/>
  <c r="J589" i="35"/>
  <c r="F589" i="35"/>
  <c r="B589" i="35"/>
  <c r="I589" i="35" s="1"/>
  <c r="F588" i="35"/>
  <c r="J588" i="35" s="1"/>
  <c r="H588" i="35" s="1"/>
  <c r="B588" i="35"/>
  <c r="I588" i="35" s="1"/>
  <c r="I587" i="35"/>
  <c r="F587" i="35"/>
  <c r="J587" i="35" s="1"/>
  <c r="H587" i="35" s="1"/>
  <c r="B587" i="35"/>
  <c r="J586" i="35"/>
  <c r="I586" i="35"/>
  <c r="H586" i="35" s="1"/>
  <c r="F586" i="35"/>
  <c r="B586" i="35"/>
  <c r="F585" i="35"/>
  <c r="J585" i="35" s="1"/>
  <c r="B585" i="35"/>
  <c r="I585" i="35" s="1"/>
  <c r="F584" i="35"/>
  <c r="J584" i="35" s="1"/>
  <c r="B584" i="35"/>
  <c r="I584" i="35" s="1"/>
  <c r="H584" i="35" s="1"/>
  <c r="I583" i="35"/>
  <c r="H583" i="35" s="1"/>
  <c r="F583" i="35"/>
  <c r="J583" i="35" s="1"/>
  <c r="B583" i="35"/>
  <c r="J582" i="35"/>
  <c r="I582" i="35"/>
  <c r="F582" i="35"/>
  <c r="J581" i="35"/>
  <c r="I581" i="35"/>
  <c r="H581" i="35" s="1"/>
  <c r="F581" i="35"/>
  <c r="B581" i="35"/>
  <c r="F580" i="35"/>
  <c r="J580" i="35" s="1"/>
  <c r="B580" i="35"/>
  <c r="I580" i="35" s="1"/>
  <c r="F579" i="35"/>
  <c r="J579" i="35" s="1"/>
  <c r="B579" i="35"/>
  <c r="I579" i="35" s="1"/>
  <c r="H579" i="35" s="1"/>
  <c r="I578" i="35"/>
  <c r="H578" i="35" s="1"/>
  <c r="F578" i="35"/>
  <c r="J578" i="35" s="1"/>
  <c r="B578" i="35"/>
  <c r="J577" i="35"/>
  <c r="F577" i="35"/>
  <c r="B577" i="35"/>
  <c r="I577" i="35" s="1"/>
  <c r="H577" i="35" s="1"/>
  <c r="I576" i="35"/>
  <c r="F576" i="35"/>
  <c r="J576" i="35" s="1"/>
  <c r="J575" i="35"/>
  <c r="I575" i="35"/>
  <c r="F575" i="35"/>
  <c r="J574" i="35"/>
  <c r="I574" i="35"/>
  <c r="H574" i="35" s="1"/>
  <c r="F574" i="35"/>
  <c r="I573" i="35"/>
  <c r="F573" i="35"/>
  <c r="J573" i="35" s="1"/>
  <c r="I572" i="35"/>
  <c r="F572" i="35"/>
  <c r="J572" i="35" s="1"/>
  <c r="J571" i="35"/>
  <c r="I571" i="35"/>
  <c r="F571" i="35"/>
  <c r="F570" i="35"/>
  <c r="J570" i="35" s="1"/>
  <c r="B570" i="35"/>
  <c r="I570" i="35" s="1"/>
  <c r="F569" i="35"/>
  <c r="J569" i="35" s="1"/>
  <c r="B569" i="35"/>
  <c r="I569" i="35" s="1"/>
  <c r="H569" i="35" s="1"/>
  <c r="I568" i="35"/>
  <c r="H568" i="35" s="1"/>
  <c r="F568" i="35"/>
  <c r="J568" i="35" s="1"/>
  <c r="B568" i="35"/>
  <c r="J567" i="35"/>
  <c r="F567" i="35"/>
  <c r="B567" i="35"/>
  <c r="I567" i="35" s="1"/>
  <c r="H567" i="35" s="1"/>
  <c r="J566" i="35"/>
  <c r="F566" i="35"/>
  <c r="B566" i="35"/>
  <c r="I566" i="35" s="1"/>
  <c r="H566" i="35" s="1"/>
  <c r="H565" i="35"/>
  <c r="F565" i="35"/>
  <c r="J565" i="35" s="1"/>
  <c r="B565" i="35"/>
  <c r="I565" i="35" s="1"/>
  <c r="I564" i="35"/>
  <c r="H564" i="35"/>
  <c r="F564" i="35"/>
  <c r="J564" i="35" s="1"/>
  <c r="B564" i="35"/>
  <c r="J563" i="35"/>
  <c r="I563" i="35"/>
  <c r="H563" i="35" s="1"/>
  <c r="F563" i="35"/>
  <c r="B563" i="35"/>
  <c r="F562" i="35"/>
  <c r="J562" i="35" s="1"/>
  <c r="B562" i="35"/>
  <c r="I562" i="35" s="1"/>
  <c r="F561" i="35"/>
  <c r="J561" i="35" s="1"/>
  <c r="B561" i="35"/>
  <c r="I561" i="35" s="1"/>
  <c r="H561" i="35" s="1"/>
  <c r="I560" i="35"/>
  <c r="H560" i="35" s="1"/>
  <c r="F560" i="35"/>
  <c r="J560" i="35" s="1"/>
  <c r="B560" i="35"/>
  <c r="J559" i="35"/>
  <c r="F559" i="35"/>
  <c r="B559" i="35"/>
  <c r="I559" i="35" s="1"/>
  <c r="H559" i="35" s="1"/>
  <c r="J558" i="35"/>
  <c r="F558" i="35"/>
  <c r="B558" i="35"/>
  <c r="I558" i="35" s="1"/>
  <c r="H558" i="35" s="1"/>
  <c r="H557" i="35"/>
  <c r="F557" i="35"/>
  <c r="J557" i="35" s="1"/>
  <c r="B557" i="35"/>
  <c r="I557" i="35" s="1"/>
  <c r="I556" i="35"/>
  <c r="H556" i="35"/>
  <c r="F556" i="35"/>
  <c r="J556" i="35" s="1"/>
  <c r="B556" i="35"/>
  <c r="J555" i="35"/>
  <c r="I555" i="35"/>
  <c r="H555" i="35" s="1"/>
  <c r="F555" i="35"/>
  <c r="B555" i="35"/>
  <c r="F554" i="35"/>
  <c r="J554" i="35" s="1"/>
  <c r="B554" i="35"/>
  <c r="I554" i="35" s="1"/>
  <c r="F553" i="35"/>
  <c r="J553" i="35" s="1"/>
  <c r="B553" i="35"/>
  <c r="I553" i="35" s="1"/>
  <c r="H553" i="35" s="1"/>
  <c r="I552" i="35"/>
  <c r="H552" i="35" s="1"/>
  <c r="F552" i="35"/>
  <c r="J552" i="35" s="1"/>
  <c r="B552" i="35"/>
  <c r="J551" i="35"/>
  <c r="F551" i="35"/>
  <c r="B551" i="35"/>
  <c r="I551" i="35" s="1"/>
  <c r="H551" i="35" s="1"/>
  <c r="J550" i="35"/>
  <c r="F550" i="35"/>
  <c r="B550" i="35"/>
  <c r="I550" i="35" s="1"/>
  <c r="H550" i="35" s="1"/>
  <c r="H549" i="35"/>
  <c r="F549" i="35"/>
  <c r="J549" i="35" s="1"/>
  <c r="B549" i="35"/>
  <c r="I549" i="35" s="1"/>
  <c r="I548" i="35"/>
  <c r="H548" i="35"/>
  <c r="F548" i="35"/>
  <c r="J548" i="35" s="1"/>
  <c r="B548" i="35"/>
  <c r="J547" i="35"/>
  <c r="I547" i="35"/>
  <c r="H547" i="35" s="1"/>
  <c r="F547" i="35"/>
  <c r="B547" i="35"/>
  <c r="F546" i="35"/>
  <c r="J546" i="35" s="1"/>
  <c r="B546" i="35"/>
  <c r="I546" i="35" s="1"/>
  <c r="F545" i="35"/>
  <c r="J545" i="35" s="1"/>
  <c r="B545" i="35"/>
  <c r="I545" i="35" s="1"/>
  <c r="H545" i="35" s="1"/>
  <c r="I544" i="35"/>
  <c r="H544" i="35" s="1"/>
  <c r="F544" i="35"/>
  <c r="J544" i="35" s="1"/>
  <c r="B544" i="35"/>
  <c r="J543" i="35"/>
  <c r="F543" i="35"/>
  <c r="B543" i="35"/>
  <c r="I543" i="35" s="1"/>
  <c r="H543" i="35" s="1"/>
  <c r="J542" i="35"/>
  <c r="F542" i="35"/>
  <c r="B542" i="35"/>
  <c r="I542" i="35" s="1"/>
  <c r="H542" i="35" s="1"/>
  <c r="H541" i="35"/>
  <c r="F541" i="35"/>
  <c r="J541" i="35" s="1"/>
  <c r="B541" i="35"/>
  <c r="I541" i="35" s="1"/>
  <c r="I540" i="35"/>
  <c r="H540" i="35"/>
  <c r="F540" i="35"/>
  <c r="J540" i="35" s="1"/>
  <c r="B540" i="35"/>
  <c r="J539" i="35"/>
  <c r="I539" i="35"/>
  <c r="H539" i="35" s="1"/>
  <c r="F539" i="35"/>
  <c r="B539" i="35"/>
  <c r="F538" i="35"/>
  <c r="J538" i="35" s="1"/>
  <c r="B538" i="35"/>
  <c r="I538" i="35" s="1"/>
  <c r="F537" i="35"/>
  <c r="J537" i="35" s="1"/>
  <c r="B537" i="35"/>
  <c r="I537" i="35" s="1"/>
  <c r="H537" i="35" s="1"/>
  <c r="I536" i="35"/>
  <c r="H536" i="35" s="1"/>
  <c r="F536" i="35"/>
  <c r="J536" i="35" s="1"/>
  <c r="B536" i="35"/>
  <c r="J535" i="35"/>
  <c r="F535" i="35"/>
  <c r="B535" i="35"/>
  <c r="I535" i="35" s="1"/>
  <c r="H535" i="35" s="1"/>
  <c r="J534" i="35"/>
  <c r="F534" i="35"/>
  <c r="B534" i="35"/>
  <c r="I534" i="35" s="1"/>
  <c r="H534" i="35" s="1"/>
  <c r="H533" i="35"/>
  <c r="F533" i="35"/>
  <c r="J533" i="35" s="1"/>
  <c r="B533" i="35"/>
  <c r="I533" i="35" s="1"/>
  <c r="I532" i="35"/>
  <c r="H532" i="35"/>
  <c r="F532" i="35"/>
  <c r="J532" i="35" s="1"/>
  <c r="B532" i="35"/>
  <c r="J531" i="35"/>
  <c r="I531" i="35"/>
  <c r="H531" i="35" s="1"/>
  <c r="F531" i="35"/>
  <c r="B531" i="35"/>
  <c r="F530" i="35"/>
  <c r="J530" i="35" s="1"/>
  <c r="B530" i="35"/>
  <c r="I530" i="35" s="1"/>
  <c r="F529" i="35"/>
  <c r="J529" i="35" s="1"/>
  <c r="B529" i="35"/>
  <c r="I529" i="35" s="1"/>
  <c r="H529" i="35" s="1"/>
  <c r="I528" i="35"/>
  <c r="H528" i="35" s="1"/>
  <c r="F528" i="35"/>
  <c r="J528" i="35" s="1"/>
  <c r="B528" i="35"/>
  <c r="J527" i="35"/>
  <c r="F527" i="35"/>
  <c r="B527" i="35"/>
  <c r="I527" i="35" s="1"/>
  <c r="H527" i="35" s="1"/>
  <c r="J526" i="35"/>
  <c r="F526" i="35"/>
  <c r="B526" i="35"/>
  <c r="I526" i="35" s="1"/>
  <c r="H526" i="35" s="1"/>
  <c r="H525" i="35"/>
  <c r="F525" i="35"/>
  <c r="J525" i="35" s="1"/>
  <c r="B525" i="35"/>
  <c r="I525" i="35" s="1"/>
  <c r="I524" i="35"/>
  <c r="H524" i="35"/>
  <c r="F524" i="35"/>
  <c r="J524" i="35" s="1"/>
  <c r="B524" i="35"/>
  <c r="J523" i="35"/>
  <c r="I523" i="35"/>
  <c r="H523" i="35" s="1"/>
  <c r="F523" i="35"/>
  <c r="B523" i="35"/>
  <c r="F522" i="35"/>
  <c r="J522" i="35" s="1"/>
  <c r="B522" i="35"/>
  <c r="I522" i="35" s="1"/>
  <c r="F521" i="35"/>
  <c r="J521" i="35" s="1"/>
  <c r="B521" i="35"/>
  <c r="I521" i="35" s="1"/>
  <c r="H521" i="35" s="1"/>
  <c r="I520" i="35"/>
  <c r="H520" i="35" s="1"/>
  <c r="F520" i="35"/>
  <c r="J520" i="35" s="1"/>
  <c r="B520" i="35"/>
  <c r="J519" i="35"/>
  <c r="F519" i="35"/>
  <c r="B519" i="35"/>
  <c r="I519" i="35" s="1"/>
  <c r="H519" i="35" s="1"/>
  <c r="J518" i="35"/>
  <c r="F518" i="35"/>
  <c r="B518" i="35"/>
  <c r="I518" i="35" s="1"/>
  <c r="H518" i="35" s="1"/>
  <c r="H517" i="35"/>
  <c r="F517" i="35"/>
  <c r="J517" i="35" s="1"/>
  <c r="B517" i="35"/>
  <c r="I517" i="35" s="1"/>
  <c r="I516" i="35"/>
  <c r="H516" i="35"/>
  <c r="F516" i="35"/>
  <c r="J516" i="35" s="1"/>
  <c r="B516" i="35"/>
  <c r="J515" i="35"/>
  <c r="I515" i="35"/>
  <c r="H515" i="35" s="1"/>
  <c r="F515" i="35"/>
  <c r="B515" i="35"/>
  <c r="F514" i="35"/>
  <c r="J514" i="35" s="1"/>
  <c r="B514" i="35"/>
  <c r="I514" i="35" s="1"/>
  <c r="F513" i="35"/>
  <c r="J513" i="35" s="1"/>
  <c r="B513" i="35"/>
  <c r="I513" i="35" s="1"/>
  <c r="H513" i="35" s="1"/>
  <c r="I512" i="35"/>
  <c r="H512" i="35" s="1"/>
  <c r="F512" i="35"/>
  <c r="J512" i="35" s="1"/>
  <c r="B512" i="35"/>
  <c r="J511" i="35"/>
  <c r="F511" i="35"/>
  <c r="B511" i="35"/>
  <c r="I511" i="35" s="1"/>
  <c r="H511" i="35" s="1"/>
  <c r="J510" i="35"/>
  <c r="F510" i="35"/>
  <c r="B510" i="35"/>
  <c r="I510" i="35" s="1"/>
  <c r="H510" i="35" s="1"/>
  <c r="H509" i="35"/>
  <c r="F509" i="35"/>
  <c r="J509" i="35" s="1"/>
  <c r="B509" i="35"/>
  <c r="I509" i="35" s="1"/>
  <c r="I508" i="35"/>
  <c r="H508" i="35"/>
  <c r="F508" i="35"/>
  <c r="J508" i="35" s="1"/>
  <c r="B508" i="35"/>
  <c r="J507" i="35"/>
  <c r="I507" i="35"/>
  <c r="H507" i="35" s="1"/>
  <c r="F507" i="35"/>
  <c r="B507" i="35"/>
  <c r="F506" i="35"/>
  <c r="J506" i="35" s="1"/>
  <c r="B506" i="35"/>
  <c r="I506" i="35" s="1"/>
  <c r="F505" i="35"/>
  <c r="J505" i="35" s="1"/>
  <c r="B505" i="35"/>
  <c r="I505" i="35" s="1"/>
  <c r="H505" i="35" s="1"/>
  <c r="I504" i="35"/>
  <c r="H504" i="35" s="1"/>
  <c r="F504" i="35"/>
  <c r="J504" i="35" s="1"/>
  <c r="B504" i="35"/>
  <c r="J503" i="35"/>
  <c r="F503" i="35"/>
  <c r="B503" i="35"/>
  <c r="I503" i="35" s="1"/>
  <c r="H503" i="35" s="1"/>
  <c r="J502" i="35"/>
  <c r="F502" i="35"/>
  <c r="B502" i="35"/>
  <c r="I502" i="35" s="1"/>
  <c r="H502" i="35" s="1"/>
  <c r="H501" i="35"/>
  <c r="F501" i="35"/>
  <c r="J501" i="35" s="1"/>
  <c r="B501" i="35"/>
  <c r="I501" i="35" s="1"/>
  <c r="I500" i="35"/>
  <c r="H500" i="35"/>
  <c r="F500" i="35"/>
  <c r="J500" i="35" s="1"/>
  <c r="B500" i="35"/>
  <c r="J499" i="35"/>
  <c r="I499" i="35"/>
  <c r="H499" i="35" s="1"/>
  <c r="F499" i="35"/>
  <c r="B499" i="35"/>
  <c r="F498" i="35"/>
  <c r="J498" i="35" s="1"/>
  <c r="B498" i="35"/>
  <c r="I498" i="35" s="1"/>
  <c r="F497" i="35"/>
  <c r="J497" i="35" s="1"/>
  <c r="B497" i="35"/>
  <c r="I497" i="35" s="1"/>
  <c r="H497" i="35" s="1"/>
  <c r="I496" i="35"/>
  <c r="H496" i="35" s="1"/>
  <c r="F496" i="35"/>
  <c r="J496" i="35" s="1"/>
  <c r="B496" i="35"/>
  <c r="J495" i="35"/>
  <c r="F495" i="35"/>
  <c r="B495" i="35"/>
  <c r="I495" i="35" s="1"/>
  <c r="H495" i="35" s="1"/>
  <c r="J494" i="35"/>
  <c r="F494" i="35"/>
  <c r="B494" i="35"/>
  <c r="I494" i="35" s="1"/>
  <c r="H494" i="35" s="1"/>
  <c r="H493" i="35"/>
  <c r="F493" i="35"/>
  <c r="J493" i="35" s="1"/>
  <c r="B493" i="35"/>
  <c r="I493" i="35" s="1"/>
  <c r="I492" i="35"/>
  <c r="H492" i="35"/>
  <c r="F492" i="35"/>
  <c r="J492" i="35" s="1"/>
  <c r="B492" i="35"/>
  <c r="J491" i="35"/>
  <c r="I491" i="35"/>
  <c r="H491" i="35" s="1"/>
  <c r="F491" i="35"/>
  <c r="B491" i="35"/>
  <c r="F490" i="35"/>
  <c r="J490" i="35" s="1"/>
  <c r="B490" i="35"/>
  <c r="I490" i="35" s="1"/>
  <c r="F489" i="35"/>
  <c r="J489" i="35" s="1"/>
  <c r="B489" i="35"/>
  <c r="I489" i="35" s="1"/>
  <c r="H489" i="35" s="1"/>
  <c r="I488" i="35"/>
  <c r="H488" i="35" s="1"/>
  <c r="F488" i="35"/>
  <c r="J488" i="35" s="1"/>
  <c r="B488" i="35"/>
  <c r="J487" i="35"/>
  <c r="F487" i="35"/>
  <c r="B487" i="35"/>
  <c r="I487" i="35" s="1"/>
  <c r="H487" i="35" s="1"/>
  <c r="J486" i="35"/>
  <c r="F486" i="35"/>
  <c r="B486" i="35"/>
  <c r="I486" i="35" s="1"/>
  <c r="H486" i="35" s="1"/>
  <c r="I485" i="35"/>
  <c r="H485" i="35"/>
  <c r="F485" i="35"/>
  <c r="J485" i="35" s="1"/>
  <c r="I484" i="35"/>
  <c r="H484" i="35"/>
  <c r="F484" i="35"/>
  <c r="J484" i="35" s="1"/>
  <c r="F483" i="35"/>
  <c r="J483" i="35" s="1"/>
  <c r="B483" i="35"/>
  <c r="I483" i="35" s="1"/>
  <c r="H483" i="35" s="1"/>
  <c r="I482" i="35"/>
  <c r="H482" i="35" s="1"/>
  <c r="F482" i="35"/>
  <c r="J482" i="35" s="1"/>
  <c r="B482" i="35"/>
  <c r="J481" i="35"/>
  <c r="I481" i="35"/>
  <c r="F481" i="35"/>
  <c r="J480" i="35"/>
  <c r="F480" i="35"/>
  <c r="B480" i="35"/>
  <c r="I480" i="35" s="1"/>
  <c r="H480" i="35" s="1"/>
  <c r="J479" i="35"/>
  <c r="F479" i="35"/>
  <c r="B479" i="35"/>
  <c r="I479" i="35" s="1"/>
  <c r="F478" i="35"/>
  <c r="J478" i="35" s="1"/>
  <c r="H478" i="35" s="1"/>
  <c r="B478" i="35"/>
  <c r="I478" i="35" s="1"/>
  <c r="I477" i="35"/>
  <c r="F477" i="35"/>
  <c r="J477" i="35" s="1"/>
  <c r="H477" i="35" s="1"/>
  <c r="B477" i="35"/>
  <c r="J476" i="35"/>
  <c r="I476" i="35"/>
  <c r="H476" i="35" s="1"/>
  <c r="F476" i="35"/>
  <c r="B476" i="35"/>
  <c r="F475" i="35"/>
  <c r="J475" i="35" s="1"/>
  <c r="B475" i="35"/>
  <c r="I475" i="35" s="1"/>
  <c r="F474" i="35"/>
  <c r="J474" i="35" s="1"/>
  <c r="B474" i="35"/>
  <c r="I474" i="35" s="1"/>
  <c r="H474" i="35" s="1"/>
  <c r="I473" i="35"/>
  <c r="H473" i="35" s="1"/>
  <c r="F473" i="35"/>
  <c r="J473" i="35" s="1"/>
  <c r="B473" i="35"/>
  <c r="J472" i="35"/>
  <c r="F472" i="35"/>
  <c r="B472" i="35"/>
  <c r="I472" i="35" s="1"/>
  <c r="H472" i="35" s="1"/>
  <c r="J471" i="35"/>
  <c r="F471" i="35"/>
  <c r="B471" i="35"/>
  <c r="I471" i="35" s="1"/>
  <c r="F470" i="35"/>
  <c r="J470" i="35" s="1"/>
  <c r="H470" i="35" s="1"/>
  <c r="B470" i="35"/>
  <c r="I470" i="35" s="1"/>
  <c r="I469" i="35"/>
  <c r="F469" i="35"/>
  <c r="J469" i="35" s="1"/>
  <c r="H469" i="35" s="1"/>
  <c r="B469" i="35"/>
  <c r="J468" i="35"/>
  <c r="I468" i="35"/>
  <c r="H468" i="35" s="1"/>
  <c r="F468" i="35"/>
  <c r="B468" i="35"/>
  <c r="F467" i="35"/>
  <c r="J467" i="35" s="1"/>
  <c r="B467" i="35"/>
  <c r="I467" i="35" s="1"/>
  <c r="F466" i="35"/>
  <c r="J466" i="35" s="1"/>
  <c r="B466" i="35"/>
  <c r="I466" i="35" s="1"/>
  <c r="H466" i="35" s="1"/>
  <c r="I465" i="35"/>
  <c r="H465" i="35" s="1"/>
  <c r="F465" i="35"/>
  <c r="J465" i="35" s="1"/>
  <c r="I464" i="35"/>
  <c r="H464" i="35"/>
  <c r="F464" i="35"/>
  <c r="J464" i="35" s="1"/>
  <c r="B464" i="35"/>
  <c r="J463" i="35"/>
  <c r="I463" i="35"/>
  <c r="H463" i="35" s="1"/>
  <c r="F463" i="35"/>
  <c r="B463" i="35"/>
  <c r="F462" i="35"/>
  <c r="J462" i="35" s="1"/>
  <c r="B462" i="35"/>
  <c r="I462" i="35" s="1"/>
  <c r="F461" i="35"/>
  <c r="J461" i="35" s="1"/>
  <c r="B461" i="35"/>
  <c r="I461" i="35" s="1"/>
  <c r="H461" i="35" s="1"/>
  <c r="I460" i="35"/>
  <c r="H460" i="35" s="1"/>
  <c r="F460" i="35"/>
  <c r="J460" i="35" s="1"/>
  <c r="B460" i="35"/>
  <c r="J459" i="35"/>
  <c r="F459" i="35"/>
  <c r="B459" i="35"/>
  <c r="I459" i="35" s="1"/>
  <c r="H459" i="35" s="1"/>
  <c r="J458" i="35"/>
  <c r="F458" i="35"/>
  <c r="B458" i="35"/>
  <c r="I458" i="35" s="1"/>
  <c r="H458" i="35" s="1"/>
  <c r="H457" i="35"/>
  <c r="F457" i="35"/>
  <c r="J457" i="35" s="1"/>
  <c r="B457" i="35"/>
  <c r="I457" i="35" s="1"/>
  <c r="I456" i="35"/>
  <c r="H456" i="35"/>
  <c r="F456" i="35"/>
  <c r="J456" i="35" s="1"/>
  <c r="B456" i="35"/>
  <c r="J455" i="35"/>
  <c r="I455" i="35"/>
  <c r="H455" i="35" s="1"/>
  <c r="F455" i="35"/>
  <c r="B455" i="35"/>
  <c r="F454" i="35"/>
  <c r="J454" i="35" s="1"/>
  <c r="B454" i="35"/>
  <c r="I454" i="35" s="1"/>
  <c r="F453" i="35"/>
  <c r="J453" i="35" s="1"/>
  <c r="B453" i="35"/>
  <c r="I453" i="35" s="1"/>
  <c r="H453" i="35" s="1"/>
  <c r="I452" i="35"/>
  <c r="H452" i="35" s="1"/>
  <c r="F452" i="35"/>
  <c r="J452" i="35" s="1"/>
  <c r="B452" i="35"/>
  <c r="J451" i="35"/>
  <c r="F451" i="35"/>
  <c r="B451" i="35"/>
  <c r="I451" i="35" s="1"/>
  <c r="H451" i="35" s="1"/>
  <c r="J450" i="35"/>
  <c r="F450" i="35"/>
  <c r="B450" i="35"/>
  <c r="I450" i="35" s="1"/>
  <c r="H450" i="35" s="1"/>
  <c r="H449" i="35"/>
  <c r="F449" i="35"/>
  <c r="J449" i="35" s="1"/>
  <c r="B449" i="35"/>
  <c r="I449" i="35" s="1"/>
  <c r="I448" i="35"/>
  <c r="H448" i="35"/>
  <c r="F448" i="35"/>
  <c r="J448" i="35" s="1"/>
  <c r="B448" i="35"/>
  <c r="J447" i="35"/>
  <c r="I447" i="35"/>
  <c r="H447" i="35" s="1"/>
  <c r="F447" i="35"/>
  <c r="B447" i="35"/>
  <c r="F446" i="35"/>
  <c r="J446" i="35" s="1"/>
  <c r="B446" i="35"/>
  <c r="I446" i="35" s="1"/>
  <c r="F445" i="35"/>
  <c r="J445" i="35" s="1"/>
  <c r="B445" i="35"/>
  <c r="I445" i="35" s="1"/>
  <c r="H445" i="35" s="1"/>
  <c r="I444" i="35"/>
  <c r="H444" i="35" s="1"/>
  <c r="F444" i="35"/>
  <c r="J444" i="35" s="1"/>
  <c r="B444" i="35"/>
  <c r="J443" i="35"/>
  <c r="F443" i="35"/>
  <c r="B443" i="35"/>
  <c r="I443" i="35" s="1"/>
  <c r="H443" i="35" s="1"/>
  <c r="J442" i="35"/>
  <c r="F442" i="35"/>
  <c r="B442" i="35"/>
  <c r="I442" i="35" s="1"/>
  <c r="H442" i="35" s="1"/>
  <c r="H441" i="35"/>
  <c r="F441" i="35"/>
  <c r="J441" i="35" s="1"/>
  <c r="B441" i="35"/>
  <c r="I441" i="35" s="1"/>
  <c r="I440" i="35"/>
  <c r="H440" i="35"/>
  <c r="F440" i="35"/>
  <c r="J440" i="35" s="1"/>
  <c r="B440" i="35"/>
  <c r="J439" i="35"/>
  <c r="I439" i="35"/>
  <c r="H439" i="35" s="1"/>
  <c r="F439" i="35"/>
  <c r="B439" i="35"/>
  <c r="F438" i="35"/>
  <c r="J438" i="35" s="1"/>
  <c r="B438" i="35"/>
  <c r="I438" i="35" s="1"/>
  <c r="F437" i="35"/>
  <c r="J437" i="35" s="1"/>
  <c r="B437" i="35"/>
  <c r="I437" i="35" s="1"/>
  <c r="H437" i="35" s="1"/>
  <c r="I436" i="35"/>
  <c r="H436" i="35" s="1"/>
  <c r="F436" i="35"/>
  <c r="J436" i="35" s="1"/>
  <c r="B436" i="35"/>
  <c r="J435" i="35"/>
  <c r="F435" i="35"/>
  <c r="B435" i="35"/>
  <c r="I435" i="35" s="1"/>
  <c r="H435" i="35" s="1"/>
  <c r="J434" i="35"/>
  <c r="F434" i="35"/>
  <c r="B434" i="35"/>
  <c r="I434" i="35" s="1"/>
  <c r="H434" i="35" s="1"/>
  <c r="H433" i="35"/>
  <c r="F433" i="35"/>
  <c r="J433" i="35" s="1"/>
  <c r="B433" i="35"/>
  <c r="I433" i="35" s="1"/>
  <c r="I432" i="35"/>
  <c r="H432" i="35"/>
  <c r="F432" i="35"/>
  <c r="J432" i="35" s="1"/>
  <c r="B432" i="35"/>
  <c r="J431" i="35"/>
  <c r="I431" i="35"/>
  <c r="H431" i="35" s="1"/>
  <c r="F431" i="35"/>
  <c r="B431" i="35"/>
  <c r="J430" i="35"/>
  <c r="F430" i="35"/>
  <c r="B430" i="35"/>
  <c r="I430" i="35" s="1"/>
  <c r="H430" i="35" s="1"/>
  <c r="J429" i="35"/>
  <c r="F429" i="35"/>
  <c r="B429" i="35"/>
  <c r="I429" i="35" s="1"/>
  <c r="H429" i="35" s="1"/>
  <c r="I428" i="35"/>
  <c r="H428" i="35" s="1"/>
  <c r="F428" i="35"/>
  <c r="J428" i="35" s="1"/>
  <c r="B428" i="35"/>
  <c r="J427" i="35"/>
  <c r="F427" i="35"/>
  <c r="B427" i="35"/>
  <c r="I427" i="35" s="1"/>
  <c r="H427" i="35" s="1"/>
  <c r="I426" i="35"/>
  <c r="F426" i="35"/>
  <c r="J426" i="35" s="1"/>
  <c r="J425" i="35"/>
  <c r="I425" i="35"/>
  <c r="F425" i="35"/>
  <c r="J424" i="35"/>
  <c r="I424" i="35"/>
  <c r="H424" i="35" s="1"/>
  <c r="F424" i="35"/>
  <c r="I423" i="35"/>
  <c r="F423" i="35"/>
  <c r="J423" i="35" s="1"/>
  <c r="F422" i="35"/>
  <c r="J422" i="35" s="1"/>
  <c r="B422" i="35"/>
  <c r="I422" i="35" s="1"/>
  <c r="F421" i="35"/>
  <c r="J421" i="35" s="1"/>
  <c r="B421" i="35"/>
  <c r="I421" i="35" s="1"/>
  <c r="H421" i="35" s="1"/>
  <c r="I420" i="35"/>
  <c r="H420" i="35" s="1"/>
  <c r="F420" i="35"/>
  <c r="J420" i="35" s="1"/>
  <c r="B420" i="35"/>
  <c r="J419" i="35"/>
  <c r="F419" i="35"/>
  <c r="B419" i="35"/>
  <c r="I419" i="35" s="1"/>
  <c r="H419" i="35" s="1"/>
  <c r="I418" i="35"/>
  <c r="F418" i="35"/>
  <c r="J418" i="35" s="1"/>
  <c r="B418" i="35"/>
  <c r="F417" i="35"/>
  <c r="J417" i="35" s="1"/>
  <c r="H417" i="35" s="1"/>
  <c r="B417" i="35"/>
  <c r="I417" i="35" s="1"/>
  <c r="I416" i="35"/>
  <c r="F416" i="35"/>
  <c r="J416" i="35" s="1"/>
  <c r="H416" i="35" s="1"/>
  <c r="B416" i="35"/>
  <c r="J415" i="35"/>
  <c r="I415" i="35"/>
  <c r="H415" i="35"/>
  <c r="F415" i="35"/>
  <c r="B415" i="35"/>
  <c r="J414" i="35"/>
  <c r="I414" i="35"/>
  <c r="H414" i="35" s="1"/>
  <c r="F414" i="35"/>
  <c r="B414" i="35"/>
  <c r="J413" i="35"/>
  <c r="H413" i="35"/>
  <c r="F413" i="35"/>
  <c r="B413" i="35"/>
  <c r="I413" i="35" s="1"/>
  <c r="I412" i="35"/>
  <c r="H412" i="35"/>
  <c r="F412" i="35"/>
  <c r="J412" i="35" s="1"/>
  <c r="B412" i="35"/>
  <c r="J411" i="35"/>
  <c r="I411" i="35"/>
  <c r="H411" i="35" s="1"/>
  <c r="F411" i="35"/>
  <c r="B411" i="35"/>
  <c r="J410" i="35"/>
  <c r="F410" i="35"/>
  <c r="B410" i="35"/>
  <c r="I410" i="35" s="1"/>
  <c r="H410" i="35" s="1"/>
  <c r="J409" i="35"/>
  <c r="F409" i="35"/>
  <c r="B409" i="35"/>
  <c r="I409" i="35" s="1"/>
  <c r="H409" i="35" s="1"/>
  <c r="I408" i="35"/>
  <c r="H408" i="35" s="1"/>
  <c r="F408" i="35"/>
  <c r="J408" i="35" s="1"/>
  <c r="B408" i="35"/>
  <c r="J407" i="35"/>
  <c r="F407" i="35"/>
  <c r="B407" i="35"/>
  <c r="I407" i="35" s="1"/>
  <c r="H407" i="35" s="1"/>
  <c r="F406" i="35"/>
  <c r="J406" i="35" s="1"/>
  <c r="B406" i="35"/>
  <c r="I406" i="35" s="1"/>
  <c r="H406" i="35" s="1"/>
  <c r="F405" i="35"/>
  <c r="J405" i="35" s="1"/>
  <c r="B405" i="35"/>
  <c r="I405" i="35" s="1"/>
  <c r="I404" i="35"/>
  <c r="H404" i="35" s="1"/>
  <c r="F404" i="35"/>
  <c r="J404" i="35" s="1"/>
  <c r="B404" i="35"/>
  <c r="J403" i="35"/>
  <c r="F403" i="35"/>
  <c r="B403" i="35"/>
  <c r="I403" i="35" s="1"/>
  <c r="H403" i="35" s="1"/>
  <c r="I402" i="35"/>
  <c r="F402" i="35"/>
  <c r="J402" i="35" s="1"/>
  <c r="B402" i="35"/>
  <c r="F401" i="35"/>
  <c r="J401" i="35" s="1"/>
  <c r="H401" i="35" s="1"/>
  <c r="B401" i="35"/>
  <c r="I401" i="35" s="1"/>
  <c r="I400" i="35"/>
  <c r="F400" i="35"/>
  <c r="J400" i="35" s="1"/>
  <c r="H400" i="35" s="1"/>
  <c r="B400" i="35"/>
  <c r="J399" i="35"/>
  <c r="I399" i="35"/>
  <c r="H399" i="35"/>
  <c r="F399" i="35"/>
  <c r="B399" i="35"/>
  <c r="J398" i="35"/>
  <c r="I398" i="35"/>
  <c r="H398" i="35" s="1"/>
  <c r="F398" i="35"/>
  <c r="B398" i="35"/>
  <c r="J397" i="35"/>
  <c r="H397" i="35"/>
  <c r="F397" i="35"/>
  <c r="B397" i="35"/>
  <c r="I397" i="35" s="1"/>
  <c r="I396" i="35"/>
  <c r="H396" i="35"/>
  <c r="F396" i="35"/>
  <c r="J396" i="35" s="1"/>
  <c r="B396" i="35"/>
  <c r="J395" i="35"/>
  <c r="I395" i="35"/>
  <c r="H395" i="35" s="1"/>
  <c r="F395" i="35"/>
  <c r="B395" i="35"/>
  <c r="J394" i="35"/>
  <c r="F394" i="35"/>
  <c r="B394" i="35"/>
  <c r="I394" i="35" s="1"/>
  <c r="H394" i="35" s="1"/>
  <c r="J393" i="35"/>
  <c r="F393" i="35"/>
  <c r="B393" i="35"/>
  <c r="I393" i="35" s="1"/>
  <c r="H393" i="35" s="1"/>
  <c r="I392" i="35"/>
  <c r="H392" i="35" s="1"/>
  <c r="F392" i="35"/>
  <c r="J392" i="35" s="1"/>
  <c r="B392" i="35"/>
  <c r="J391" i="35"/>
  <c r="F391" i="35"/>
  <c r="B391" i="35"/>
  <c r="I391" i="35" s="1"/>
  <c r="H391" i="35" s="1"/>
  <c r="F390" i="35"/>
  <c r="J390" i="35" s="1"/>
  <c r="B390" i="35"/>
  <c r="I390" i="35" s="1"/>
  <c r="H390" i="35" s="1"/>
  <c r="F389" i="35"/>
  <c r="J389" i="35" s="1"/>
  <c r="B389" i="35"/>
  <c r="I389" i="35" s="1"/>
  <c r="I388" i="35"/>
  <c r="H388" i="35" s="1"/>
  <c r="F388" i="35"/>
  <c r="J388" i="35" s="1"/>
  <c r="B388" i="35"/>
  <c r="J387" i="35"/>
  <c r="F387" i="35"/>
  <c r="B387" i="35"/>
  <c r="I387" i="35" s="1"/>
  <c r="H387" i="35" s="1"/>
  <c r="I386" i="35"/>
  <c r="F386" i="35"/>
  <c r="J386" i="35" s="1"/>
  <c r="B386" i="35"/>
  <c r="F385" i="35"/>
  <c r="J385" i="35" s="1"/>
  <c r="H385" i="35" s="1"/>
  <c r="B385" i="35"/>
  <c r="I385" i="35" s="1"/>
  <c r="I384" i="35"/>
  <c r="F384" i="35"/>
  <c r="J384" i="35" s="1"/>
  <c r="H384" i="35" s="1"/>
  <c r="I383" i="35"/>
  <c r="H383" i="35" s="1"/>
  <c r="F383" i="35"/>
  <c r="J383" i="35" s="1"/>
  <c r="B383" i="35"/>
  <c r="J382" i="35"/>
  <c r="F382" i="35"/>
  <c r="B382" i="35"/>
  <c r="I382" i="35" s="1"/>
  <c r="H382" i="35" s="1"/>
  <c r="I381" i="35"/>
  <c r="F381" i="35"/>
  <c r="J381" i="35" s="1"/>
  <c r="B381" i="35"/>
  <c r="F380" i="35"/>
  <c r="J380" i="35" s="1"/>
  <c r="H380" i="35" s="1"/>
  <c r="B380" i="35"/>
  <c r="I380" i="35" s="1"/>
  <c r="I379" i="35"/>
  <c r="F379" i="35"/>
  <c r="J379" i="35" s="1"/>
  <c r="H379" i="35" s="1"/>
  <c r="B379" i="35"/>
  <c r="J378" i="35"/>
  <c r="I378" i="35"/>
  <c r="H378" i="35"/>
  <c r="F378" i="35"/>
  <c r="B378" i="35"/>
  <c r="J377" i="35"/>
  <c r="I377" i="35"/>
  <c r="H377" i="35" s="1"/>
  <c r="F377" i="35"/>
  <c r="B377" i="35"/>
  <c r="J376" i="35"/>
  <c r="H376" i="35"/>
  <c r="F376" i="35"/>
  <c r="B376" i="35"/>
  <c r="I376" i="35" s="1"/>
  <c r="I375" i="35"/>
  <c r="H375" i="35"/>
  <c r="F375" i="35"/>
  <c r="J375" i="35" s="1"/>
  <c r="I374" i="35"/>
  <c r="F374" i="35"/>
  <c r="J374" i="35" s="1"/>
  <c r="H374" i="35" s="1"/>
  <c r="I373" i="35"/>
  <c r="H373" i="35" s="1"/>
  <c r="F373" i="35"/>
  <c r="J373" i="35" s="1"/>
  <c r="I372" i="35"/>
  <c r="H372" i="35" s="1"/>
  <c r="F372" i="35"/>
  <c r="J372" i="35" s="1"/>
  <c r="B372" i="35"/>
  <c r="J371" i="35"/>
  <c r="F371" i="35"/>
  <c r="B371" i="35"/>
  <c r="I371" i="35" s="1"/>
  <c r="H371" i="35" s="1"/>
  <c r="F370" i="35"/>
  <c r="J370" i="35" s="1"/>
  <c r="B370" i="35"/>
  <c r="I370" i="35" s="1"/>
  <c r="H370" i="35" s="1"/>
  <c r="F369" i="35"/>
  <c r="J369" i="35" s="1"/>
  <c r="B369" i="35"/>
  <c r="I369" i="35" s="1"/>
  <c r="I368" i="35"/>
  <c r="H368" i="35" s="1"/>
  <c r="F368" i="35"/>
  <c r="J368" i="35" s="1"/>
  <c r="B368" i="35"/>
  <c r="J367" i="35"/>
  <c r="F367" i="35"/>
  <c r="B367" i="35"/>
  <c r="I367" i="35" s="1"/>
  <c r="H367" i="35" s="1"/>
  <c r="I366" i="35"/>
  <c r="F366" i="35"/>
  <c r="J366" i="35" s="1"/>
  <c r="B366" i="35"/>
  <c r="F365" i="35"/>
  <c r="J365" i="35" s="1"/>
  <c r="H365" i="35" s="1"/>
  <c r="B365" i="35"/>
  <c r="I365" i="35" s="1"/>
  <c r="I364" i="35"/>
  <c r="F364" i="35"/>
  <c r="J364" i="35" s="1"/>
  <c r="H364" i="35" s="1"/>
  <c r="B364" i="35"/>
  <c r="J363" i="35"/>
  <c r="I363" i="35"/>
  <c r="H363" i="35"/>
  <c r="F363" i="35"/>
  <c r="B363" i="35"/>
  <c r="J362" i="35"/>
  <c r="I362" i="35"/>
  <c r="H362" i="35" s="1"/>
  <c r="F362" i="35"/>
  <c r="B362" i="35"/>
  <c r="J361" i="35"/>
  <c r="H361" i="35"/>
  <c r="F361" i="35"/>
  <c r="B361" i="35"/>
  <c r="I361" i="35" s="1"/>
  <c r="I360" i="35"/>
  <c r="H360" i="35"/>
  <c r="F360" i="35"/>
  <c r="J360" i="35" s="1"/>
  <c r="B360" i="35"/>
  <c r="J359" i="35"/>
  <c r="I359" i="35"/>
  <c r="H359" i="35" s="1"/>
  <c r="F359" i="35"/>
  <c r="B359" i="35"/>
  <c r="J358" i="35"/>
  <c r="F358" i="35"/>
  <c r="B358" i="35"/>
  <c r="I358" i="35" s="1"/>
  <c r="H358" i="35" s="1"/>
  <c r="J357" i="35"/>
  <c r="F357" i="35"/>
  <c r="B357" i="35"/>
  <c r="I357" i="35" s="1"/>
  <c r="H357" i="35" s="1"/>
  <c r="I356" i="35"/>
  <c r="H356" i="35" s="1"/>
  <c r="F356" i="35"/>
  <c r="J356" i="35" s="1"/>
  <c r="B356" i="35"/>
  <c r="J355" i="35"/>
  <c r="F355" i="35"/>
  <c r="B355" i="35"/>
  <c r="I355" i="35" s="1"/>
  <c r="H355" i="35" s="1"/>
  <c r="F354" i="35"/>
  <c r="J354" i="35" s="1"/>
  <c r="B354" i="35"/>
  <c r="I354" i="35" s="1"/>
  <c r="H354" i="35" s="1"/>
  <c r="F353" i="35"/>
  <c r="J353" i="35" s="1"/>
  <c r="B353" i="35"/>
  <c r="I353" i="35" s="1"/>
  <c r="I352" i="35"/>
  <c r="H352" i="35" s="1"/>
  <c r="F352" i="35"/>
  <c r="J352" i="35" s="1"/>
  <c r="B352" i="35"/>
  <c r="J351" i="35"/>
  <c r="F351" i="35"/>
  <c r="B351" i="35"/>
  <c r="I351" i="35" s="1"/>
  <c r="H351" i="35" s="1"/>
  <c r="I350" i="35"/>
  <c r="F350" i="35"/>
  <c r="J350" i="35" s="1"/>
  <c r="B350" i="35"/>
  <c r="I349" i="35"/>
  <c r="F349" i="35"/>
  <c r="J349" i="35" s="1"/>
  <c r="H349" i="35" s="1"/>
  <c r="I348" i="35"/>
  <c r="F348" i="35"/>
  <c r="J348" i="35" s="1"/>
  <c r="H348" i="35" s="1"/>
  <c r="I347" i="35"/>
  <c r="F347" i="35"/>
  <c r="J347" i="35" s="1"/>
  <c r="H347" i="35" s="1"/>
  <c r="I346" i="35"/>
  <c r="F346" i="35"/>
  <c r="J346" i="35" s="1"/>
  <c r="H346" i="35" s="1"/>
  <c r="F345" i="35"/>
  <c r="J345" i="35" s="1"/>
  <c r="H345" i="35" s="1"/>
  <c r="B345" i="35"/>
  <c r="I345" i="35" s="1"/>
  <c r="I344" i="35"/>
  <c r="F344" i="35"/>
  <c r="J344" i="35" s="1"/>
  <c r="H344" i="35" s="1"/>
  <c r="B344" i="35"/>
  <c r="J343" i="35"/>
  <c r="I343" i="35"/>
  <c r="H343" i="35"/>
  <c r="F343" i="35"/>
  <c r="B343" i="35"/>
  <c r="J342" i="35"/>
  <c r="I342" i="35"/>
  <c r="H342" i="35" s="1"/>
  <c r="F342" i="35"/>
  <c r="B342" i="35"/>
  <c r="J341" i="35"/>
  <c r="H341" i="35"/>
  <c r="F341" i="35"/>
  <c r="B341" i="35"/>
  <c r="I341" i="35" s="1"/>
  <c r="I340" i="35"/>
  <c r="H340" i="35"/>
  <c r="F340" i="35"/>
  <c r="J340" i="35" s="1"/>
  <c r="B340" i="35"/>
  <c r="J339" i="35"/>
  <c r="I339" i="35"/>
  <c r="H339" i="35" s="1"/>
  <c r="F339" i="35"/>
  <c r="B339" i="35"/>
  <c r="J338" i="35"/>
  <c r="F338" i="35"/>
  <c r="B338" i="35"/>
  <c r="I338" i="35" s="1"/>
  <c r="H338" i="35" s="1"/>
  <c r="J337" i="35"/>
  <c r="F337" i="35"/>
  <c r="B337" i="35"/>
  <c r="I337" i="35" s="1"/>
  <c r="H337" i="35" s="1"/>
  <c r="I336" i="35"/>
  <c r="H336" i="35" s="1"/>
  <c r="F336" i="35"/>
  <c r="J336" i="35" s="1"/>
  <c r="B336" i="35"/>
  <c r="J335" i="35"/>
  <c r="F335" i="35"/>
  <c r="B335" i="35"/>
  <c r="I335" i="35" s="1"/>
  <c r="H335" i="35" s="1"/>
  <c r="F334" i="35"/>
  <c r="J334" i="35" s="1"/>
  <c r="B334" i="35"/>
  <c r="I334" i="35" s="1"/>
  <c r="F333" i="35"/>
  <c r="J333" i="35" s="1"/>
  <c r="B333" i="35"/>
  <c r="I333" i="35" s="1"/>
  <c r="H333" i="35" s="1"/>
  <c r="I332" i="35"/>
  <c r="H332" i="35" s="1"/>
  <c r="F332" i="35"/>
  <c r="J332" i="35" s="1"/>
  <c r="B332" i="35"/>
  <c r="J331" i="35"/>
  <c r="F331" i="35"/>
  <c r="B331" i="35"/>
  <c r="I331" i="35" s="1"/>
  <c r="H331" i="35" s="1"/>
  <c r="I330" i="35"/>
  <c r="F330" i="35"/>
  <c r="J330" i="35" s="1"/>
  <c r="B330" i="35"/>
  <c r="F329" i="35"/>
  <c r="J329" i="35" s="1"/>
  <c r="H329" i="35" s="1"/>
  <c r="B329" i="35"/>
  <c r="I329" i="35" s="1"/>
  <c r="I328" i="35"/>
  <c r="F328" i="35"/>
  <c r="J328" i="35" s="1"/>
  <c r="H328" i="35" s="1"/>
  <c r="B328" i="35"/>
  <c r="J327" i="35"/>
  <c r="I327" i="35"/>
  <c r="H327" i="35"/>
  <c r="F327" i="35"/>
  <c r="B327" i="35"/>
  <c r="J326" i="35"/>
  <c r="I326" i="35"/>
  <c r="H326" i="35" s="1"/>
  <c r="F326" i="35"/>
  <c r="B326" i="35"/>
  <c r="J325" i="35"/>
  <c r="H325" i="35"/>
  <c r="F325" i="35"/>
  <c r="B325" i="35"/>
  <c r="I325" i="35" s="1"/>
  <c r="I324" i="35"/>
  <c r="H324" i="35"/>
  <c r="F324" i="35"/>
  <c r="J324" i="35" s="1"/>
  <c r="B324" i="35"/>
  <c r="J323" i="35"/>
  <c r="I323" i="35"/>
  <c r="H323" i="35" s="1"/>
  <c r="F323" i="35"/>
  <c r="B323" i="35"/>
  <c r="J322" i="35"/>
  <c r="F322" i="35"/>
  <c r="B322" i="35"/>
  <c r="I322" i="35" s="1"/>
  <c r="H322" i="35" s="1"/>
  <c r="J321" i="35"/>
  <c r="F321" i="35"/>
  <c r="B321" i="35"/>
  <c r="I321" i="35" s="1"/>
  <c r="H321" i="35" s="1"/>
  <c r="I320" i="35"/>
  <c r="H320" i="35" s="1"/>
  <c r="F320" i="35"/>
  <c r="J320" i="35" s="1"/>
  <c r="B320" i="35"/>
  <c r="J319" i="35"/>
  <c r="F319" i="35"/>
  <c r="B319" i="35"/>
  <c r="I319" i="35" s="1"/>
  <c r="H319" i="35" s="1"/>
  <c r="F318" i="35"/>
  <c r="J318" i="35" s="1"/>
  <c r="B318" i="35"/>
  <c r="I318" i="35" s="1"/>
  <c r="I317" i="35"/>
  <c r="F317" i="35"/>
  <c r="J317" i="35" s="1"/>
  <c r="H317" i="35" s="1"/>
  <c r="B317" i="35"/>
  <c r="J316" i="35"/>
  <c r="I316" i="35"/>
  <c r="H316" i="35" s="1"/>
  <c r="F316" i="35"/>
  <c r="B316" i="35"/>
  <c r="J315" i="35"/>
  <c r="F315" i="35"/>
  <c r="B315" i="35"/>
  <c r="I315" i="35" s="1"/>
  <c r="H315" i="35" s="1"/>
  <c r="F314" i="35"/>
  <c r="J314" i="35" s="1"/>
  <c r="B314" i="35"/>
  <c r="I314" i="35" s="1"/>
  <c r="I313" i="35"/>
  <c r="F313" i="35"/>
  <c r="J313" i="35" s="1"/>
  <c r="H313" i="35" s="1"/>
  <c r="B313" i="35"/>
  <c r="J312" i="35"/>
  <c r="I312" i="35"/>
  <c r="H312" i="35" s="1"/>
  <c r="F312" i="35"/>
  <c r="B312" i="35"/>
  <c r="J311" i="35"/>
  <c r="F311" i="35"/>
  <c r="B311" i="35"/>
  <c r="I311" i="35" s="1"/>
  <c r="H311" i="35" s="1"/>
  <c r="F310" i="35"/>
  <c r="J310" i="35" s="1"/>
  <c r="B310" i="35"/>
  <c r="I310" i="35" s="1"/>
  <c r="I309" i="35"/>
  <c r="F309" i="35"/>
  <c r="J309" i="35" s="1"/>
  <c r="H309" i="35" s="1"/>
  <c r="B309" i="35"/>
  <c r="J308" i="35"/>
  <c r="I308" i="35"/>
  <c r="H308" i="35" s="1"/>
  <c r="F308" i="35"/>
  <c r="B308" i="35"/>
  <c r="J307" i="35"/>
  <c r="F307" i="35"/>
  <c r="B307" i="35"/>
  <c r="I307" i="35" s="1"/>
  <c r="H307" i="35" s="1"/>
  <c r="F306" i="35"/>
  <c r="J306" i="35" s="1"/>
  <c r="B306" i="35"/>
  <c r="I306" i="35" s="1"/>
  <c r="I305" i="35"/>
  <c r="F305" i="35"/>
  <c r="J305" i="35" s="1"/>
  <c r="H305" i="35" s="1"/>
  <c r="B305" i="35"/>
  <c r="J304" i="35"/>
  <c r="I304" i="35"/>
  <c r="H304" i="35" s="1"/>
  <c r="F304" i="35"/>
  <c r="B304" i="35"/>
  <c r="J303" i="35"/>
  <c r="F303" i="35"/>
  <c r="B303" i="35"/>
  <c r="I303" i="35" s="1"/>
  <c r="H303" i="35" s="1"/>
  <c r="I302" i="35"/>
  <c r="F302" i="35"/>
  <c r="J302" i="35" s="1"/>
  <c r="H302" i="35" s="1"/>
  <c r="I301" i="35"/>
  <c r="F301" i="35"/>
  <c r="J301" i="35" s="1"/>
  <c r="H301" i="35" s="1"/>
  <c r="F300" i="35"/>
  <c r="J300" i="35" s="1"/>
  <c r="B300" i="35"/>
  <c r="I300" i="35" s="1"/>
  <c r="I299" i="35"/>
  <c r="F299" i="35"/>
  <c r="J299" i="35" s="1"/>
  <c r="H299" i="35" s="1"/>
  <c r="B299" i="35"/>
  <c r="J298" i="35"/>
  <c r="I298" i="35"/>
  <c r="H298" i="35" s="1"/>
  <c r="F298" i="35"/>
  <c r="B298" i="35"/>
  <c r="J297" i="35"/>
  <c r="F297" i="35"/>
  <c r="B297" i="35"/>
  <c r="I297" i="35" s="1"/>
  <c r="H297" i="35" s="1"/>
  <c r="F296" i="35"/>
  <c r="J296" i="35" s="1"/>
  <c r="B296" i="35"/>
  <c r="I296" i="35" s="1"/>
  <c r="I295" i="35"/>
  <c r="F295" i="35"/>
  <c r="J295" i="35" s="1"/>
  <c r="H295" i="35" s="1"/>
  <c r="B295" i="35"/>
  <c r="J294" i="35"/>
  <c r="I294" i="35"/>
  <c r="H294" i="35" s="1"/>
  <c r="F294" i="35"/>
  <c r="B294" i="35"/>
  <c r="J293" i="35"/>
  <c r="F293" i="35"/>
  <c r="B293" i="35"/>
  <c r="I293" i="35" s="1"/>
  <c r="H293" i="35" s="1"/>
  <c r="F292" i="35"/>
  <c r="J292" i="35" s="1"/>
  <c r="B292" i="35"/>
  <c r="I292" i="35" s="1"/>
  <c r="I291" i="35"/>
  <c r="F291" i="35"/>
  <c r="J291" i="35" s="1"/>
  <c r="H291" i="35" s="1"/>
  <c r="B291" i="35"/>
  <c r="J290" i="35"/>
  <c r="I290" i="35"/>
  <c r="H290" i="35" s="1"/>
  <c r="F290" i="35"/>
  <c r="B290" i="35"/>
  <c r="J289" i="35"/>
  <c r="F289" i="35"/>
  <c r="B289" i="35"/>
  <c r="I289" i="35" s="1"/>
  <c r="H289" i="35" s="1"/>
  <c r="F288" i="35"/>
  <c r="J288" i="35" s="1"/>
  <c r="B288" i="35"/>
  <c r="I288" i="35" s="1"/>
  <c r="I287" i="35"/>
  <c r="F287" i="35"/>
  <c r="J287" i="35" s="1"/>
  <c r="H287" i="35" s="1"/>
  <c r="B287" i="35"/>
  <c r="J286" i="35"/>
  <c r="I286" i="35"/>
  <c r="H286" i="35" s="1"/>
  <c r="F286" i="35"/>
  <c r="B286" i="35"/>
  <c r="J285" i="35"/>
  <c r="F285" i="35"/>
  <c r="B285" i="35"/>
  <c r="I285" i="35" s="1"/>
  <c r="H285" i="35" s="1"/>
  <c r="F284" i="35"/>
  <c r="J284" i="35" s="1"/>
  <c r="B284" i="35"/>
  <c r="I284" i="35" s="1"/>
  <c r="I283" i="35"/>
  <c r="F283" i="35"/>
  <c r="J283" i="35" s="1"/>
  <c r="H283" i="35" s="1"/>
  <c r="B283" i="35"/>
  <c r="J282" i="35"/>
  <c r="I282" i="35"/>
  <c r="H282" i="35" s="1"/>
  <c r="F282" i="35"/>
  <c r="B282" i="35"/>
  <c r="J281" i="35"/>
  <c r="F281" i="35"/>
  <c r="B281" i="35"/>
  <c r="I281" i="35" s="1"/>
  <c r="H281" i="35" s="1"/>
  <c r="F280" i="35"/>
  <c r="J280" i="35" s="1"/>
  <c r="B280" i="35"/>
  <c r="I280" i="35" s="1"/>
  <c r="I279" i="35"/>
  <c r="F279" i="35"/>
  <c r="J279" i="35" s="1"/>
  <c r="H279" i="35" s="1"/>
  <c r="I278" i="35"/>
  <c r="F278" i="35"/>
  <c r="J278" i="35" s="1"/>
  <c r="H278" i="35" s="1"/>
  <c r="I277" i="35"/>
  <c r="F277" i="35"/>
  <c r="J277" i="35" s="1"/>
  <c r="H277" i="35" s="1"/>
  <c r="B277" i="35"/>
  <c r="J276" i="35"/>
  <c r="I276" i="35"/>
  <c r="H276" i="35" s="1"/>
  <c r="F276" i="35"/>
  <c r="B276" i="35"/>
  <c r="J275" i="35"/>
  <c r="F275" i="35"/>
  <c r="B275" i="35"/>
  <c r="I275" i="35" s="1"/>
  <c r="H275" i="35" s="1"/>
  <c r="F274" i="35"/>
  <c r="J274" i="35" s="1"/>
  <c r="B274" i="35"/>
  <c r="I274" i="35" s="1"/>
  <c r="I273" i="35"/>
  <c r="F273" i="35"/>
  <c r="J273" i="35" s="1"/>
  <c r="H273" i="35" s="1"/>
  <c r="B273" i="35"/>
  <c r="J272" i="35"/>
  <c r="I272" i="35"/>
  <c r="H272" i="35" s="1"/>
  <c r="F272" i="35"/>
  <c r="J271" i="35"/>
  <c r="I271" i="35"/>
  <c r="H271" i="35" s="1"/>
  <c r="F271" i="35"/>
  <c r="B271" i="35"/>
  <c r="J270" i="35"/>
  <c r="F270" i="35"/>
  <c r="B270" i="35"/>
  <c r="I270" i="35" s="1"/>
  <c r="H270" i="35" s="1"/>
  <c r="F269" i="35"/>
  <c r="J269" i="35" s="1"/>
  <c r="B269" i="35"/>
  <c r="I269" i="35" s="1"/>
  <c r="I268" i="35"/>
  <c r="F268" i="35"/>
  <c r="J268" i="35" s="1"/>
  <c r="H268" i="35" s="1"/>
  <c r="B268" i="35"/>
  <c r="J267" i="35"/>
  <c r="I267" i="35"/>
  <c r="H267" i="35" s="1"/>
  <c r="F267" i="35"/>
  <c r="B267" i="35"/>
  <c r="J266" i="35"/>
  <c r="F266" i="35"/>
  <c r="B266" i="35"/>
  <c r="I266" i="35" s="1"/>
  <c r="H266" i="35" s="1"/>
  <c r="F265" i="35"/>
  <c r="J265" i="35" s="1"/>
  <c r="B265" i="35"/>
  <c r="I265" i="35" s="1"/>
  <c r="I264" i="35"/>
  <c r="F264" i="35"/>
  <c r="J264" i="35" s="1"/>
  <c r="H264" i="35" s="1"/>
  <c r="B264" i="35"/>
  <c r="J263" i="35"/>
  <c r="I263" i="35"/>
  <c r="H263" i="35" s="1"/>
  <c r="F263" i="35"/>
  <c r="B263" i="35"/>
  <c r="J262" i="35"/>
  <c r="F262" i="35"/>
  <c r="B262" i="35"/>
  <c r="I262" i="35" s="1"/>
  <c r="H262" i="35" s="1"/>
  <c r="F261" i="35"/>
  <c r="J261" i="35" s="1"/>
  <c r="B261" i="35"/>
  <c r="I261" i="35" s="1"/>
  <c r="I260" i="35"/>
  <c r="F260" i="35"/>
  <c r="J260" i="35" s="1"/>
  <c r="H260" i="35" s="1"/>
  <c r="B260" i="35"/>
  <c r="J259" i="35"/>
  <c r="I259" i="35"/>
  <c r="H259" i="35" s="1"/>
  <c r="F259" i="35"/>
  <c r="B259" i="35"/>
  <c r="J258" i="35"/>
  <c r="F258" i="35"/>
  <c r="B258" i="35"/>
  <c r="I258" i="35" s="1"/>
  <c r="H258" i="35" s="1"/>
  <c r="F257" i="35"/>
  <c r="J257" i="35" s="1"/>
  <c r="B257" i="35"/>
  <c r="I257" i="35" s="1"/>
  <c r="I256" i="35"/>
  <c r="F256" i="35"/>
  <c r="J256" i="35" s="1"/>
  <c r="H256" i="35" s="1"/>
  <c r="B256" i="35"/>
  <c r="J255" i="35"/>
  <c r="I255" i="35"/>
  <c r="H255" i="35" s="1"/>
  <c r="F255" i="35"/>
  <c r="B255" i="35"/>
  <c r="J254" i="35"/>
  <c r="F254" i="35"/>
  <c r="B254" i="35"/>
  <c r="I254" i="35" s="1"/>
  <c r="H254" i="35" s="1"/>
  <c r="F253" i="35"/>
  <c r="J253" i="35" s="1"/>
  <c r="B253" i="35"/>
  <c r="I253" i="35" s="1"/>
  <c r="I252" i="35"/>
  <c r="F252" i="35"/>
  <c r="J252" i="35" s="1"/>
  <c r="H252" i="35" s="1"/>
  <c r="I251" i="35"/>
  <c r="F251" i="35"/>
  <c r="J251" i="35" s="1"/>
  <c r="H251" i="35" s="1"/>
  <c r="B251" i="35"/>
  <c r="J250" i="35"/>
  <c r="I250" i="35"/>
  <c r="H250" i="35" s="1"/>
  <c r="F250" i="35"/>
  <c r="B250" i="35"/>
  <c r="J249" i="35"/>
  <c r="F249" i="35"/>
  <c r="B249" i="35"/>
  <c r="I249" i="35" s="1"/>
  <c r="H249" i="35" s="1"/>
  <c r="F248" i="35"/>
  <c r="J248" i="35" s="1"/>
  <c r="B248" i="35"/>
  <c r="I248" i="35" s="1"/>
  <c r="H248" i="35" s="1"/>
  <c r="I247" i="35"/>
  <c r="F247" i="35"/>
  <c r="J247" i="35" s="1"/>
  <c r="H247" i="35" s="1"/>
  <c r="B247" i="35"/>
  <c r="J246" i="35"/>
  <c r="I246" i="35"/>
  <c r="H246" i="35" s="1"/>
  <c r="F246" i="35"/>
  <c r="B246" i="35"/>
  <c r="J245" i="35"/>
  <c r="F245" i="35"/>
  <c r="B245" i="35"/>
  <c r="I245" i="35" s="1"/>
  <c r="H245" i="35" s="1"/>
  <c r="F244" i="35"/>
  <c r="J244" i="35" s="1"/>
  <c r="B244" i="35"/>
  <c r="I244" i="35" s="1"/>
  <c r="H244" i="35" s="1"/>
  <c r="I243" i="35"/>
  <c r="F243" i="35"/>
  <c r="J243" i="35" s="1"/>
  <c r="H243" i="35" s="1"/>
  <c r="B243" i="35"/>
  <c r="J242" i="35"/>
  <c r="I242" i="35"/>
  <c r="H242" i="35" s="1"/>
  <c r="F242" i="35"/>
  <c r="B242" i="35"/>
  <c r="J241" i="35"/>
  <c r="F241" i="35"/>
  <c r="B241" i="35"/>
  <c r="I241" i="35" s="1"/>
  <c r="H241" i="35" s="1"/>
  <c r="F240" i="35"/>
  <c r="J240" i="35" s="1"/>
  <c r="B240" i="35"/>
  <c r="I240" i="35" s="1"/>
  <c r="H240" i="35" s="1"/>
  <c r="I239" i="35"/>
  <c r="F239" i="35"/>
  <c r="J239" i="35" s="1"/>
  <c r="H239" i="35" s="1"/>
  <c r="I238" i="35"/>
  <c r="F238" i="35"/>
  <c r="J238" i="35" s="1"/>
  <c r="H238" i="35" s="1"/>
  <c r="B238" i="35"/>
  <c r="J237" i="35"/>
  <c r="I237" i="35"/>
  <c r="H237" i="35" s="1"/>
  <c r="F237" i="35"/>
  <c r="B237" i="35"/>
  <c r="J236" i="35"/>
  <c r="F236" i="35"/>
  <c r="B236" i="35"/>
  <c r="I236" i="35" s="1"/>
  <c r="H236" i="35" s="1"/>
  <c r="F235" i="35"/>
  <c r="J235" i="35" s="1"/>
  <c r="B235" i="35"/>
  <c r="I235" i="35" s="1"/>
  <c r="I234" i="35"/>
  <c r="F234" i="35"/>
  <c r="J234" i="35" s="1"/>
  <c r="H234" i="35" s="1"/>
  <c r="B234" i="35"/>
  <c r="J233" i="35"/>
  <c r="I233" i="35"/>
  <c r="H233" i="35" s="1"/>
  <c r="F233" i="35"/>
  <c r="B233" i="35"/>
  <c r="J232" i="35"/>
  <c r="F232" i="35"/>
  <c r="B232" i="35"/>
  <c r="I232" i="35" s="1"/>
  <c r="H232" i="35" s="1"/>
  <c r="F231" i="35"/>
  <c r="J231" i="35" s="1"/>
  <c r="B231" i="35"/>
  <c r="I231" i="35" s="1"/>
  <c r="I230" i="35"/>
  <c r="F230" i="35"/>
  <c r="J230" i="35" s="1"/>
  <c r="H230" i="35" s="1"/>
  <c r="B230" i="35"/>
  <c r="J229" i="35"/>
  <c r="I229" i="35"/>
  <c r="H229" i="35" s="1"/>
  <c r="F229" i="35"/>
  <c r="B229" i="35"/>
  <c r="J228" i="35"/>
  <c r="F228" i="35"/>
  <c r="B228" i="35"/>
  <c r="I228" i="35" s="1"/>
  <c r="H228" i="35" s="1"/>
  <c r="F227" i="35"/>
  <c r="J227" i="35" s="1"/>
  <c r="B227" i="35"/>
  <c r="I227" i="35" s="1"/>
  <c r="I226" i="35"/>
  <c r="F226" i="35"/>
  <c r="J226" i="35" s="1"/>
  <c r="H226" i="35" s="1"/>
  <c r="B226" i="35"/>
  <c r="J225" i="35"/>
  <c r="I225" i="35"/>
  <c r="H225" i="35" s="1"/>
  <c r="F225" i="35"/>
  <c r="B225" i="35"/>
  <c r="J224" i="35"/>
  <c r="F224" i="35"/>
  <c r="B224" i="35"/>
  <c r="I224" i="35" s="1"/>
  <c r="H224" i="35" s="1"/>
  <c r="I223" i="35"/>
  <c r="F223" i="35"/>
  <c r="J223" i="35" s="1"/>
  <c r="H223" i="35" s="1"/>
  <c r="I222" i="35"/>
  <c r="F222" i="35"/>
  <c r="J222" i="35" s="1"/>
  <c r="H222" i="35" s="1"/>
  <c r="I221" i="35"/>
  <c r="F221" i="35"/>
  <c r="J221" i="35" s="1"/>
  <c r="H221" i="35" s="1"/>
  <c r="I220" i="35"/>
  <c r="F220" i="35"/>
  <c r="J220" i="35" s="1"/>
  <c r="H220" i="35" s="1"/>
  <c r="B220" i="35"/>
  <c r="J219" i="35"/>
  <c r="I219" i="35"/>
  <c r="H219" i="35"/>
  <c r="F219" i="35"/>
  <c r="B219" i="35"/>
  <c r="J218" i="35"/>
  <c r="I218" i="35"/>
  <c r="H218" i="35" s="1"/>
  <c r="F218" i="35"/>
  <c r="B218" i="35"/>
  <c r="J217" i="35"/>
  <c r="F217" i="35"/>
  <c r="B217" i="35"/>
  <c r="I217" i="35" s="1"/>
  <c r="H217" i="35" s="1"/>
  <c r="I216" i="35"/>
  <c r="F216" i="35"/>
  <c r="J216" i="35" s="1"/>
  <c r="H216" i="35" s="1"/>
  <c r="B216" i="35"/>
  <c r="J215" i="35"/>
  <c r="I215" i="35"/>
  <c r="H215" i="35"/>
  <c r="F215" i="35"/>
  <c r="B215" i="35"/>
  <c r="J214" i="35"/>
  <c r="I214" i="35"/>
  <c r="H214" i="35" s="1"/>
  <c r="F214" i="35"/>
  <c r="B214" i="35"/>
  <c r="J213" i="35"/>
  <c r="F213" i="35"/>
  <c r="B213" i="35"/>
  <c r="I213" i="35" s="1"/>
  <c r="H213" i="35" s="1"/>
  <c r="I212" i="35"/>
  <c r="F212" i="35"/>
  <c r="J212" i="35" s="1"/>
  <c r="H212" i="35" s="1"/>
  <c r="B212" i="35"/>
  <c r="J211" i="35"/>
  <c r="I211" i="35"/>
  <c r="H211" i="35"/>
  <c r="F211" i="35"/>
  <c r="B211" i="35"/>
  <c r="J210" i="35"/>
  <c r="I210" i="35"/>
  <c r="H210" i="35" s="1"/>
  <c r="F210" i="35"/>
  <c r="J209" i="35"/>
  <c r="I209" i="35"/>
  <c r="H209" i="35" s="1"/>
  <c r="F209" i="35"/>
  <c r="J208" i="35"/>
  <c r="I208" i="35"/>
  <c r="H208" i="35" s="1"/>
  <c r="F208" i="35"/>
  <c r="B208" i="35"/>
  <c r="J207" i="35"/>
  <c r="H207" i="35" s="1"/>
  <c r="I207" i="35"/>
  <c r="F207" i="35"/>
  <c r="J206" i="35"/>
  <c r="F206" i="35"/>
  <c r="B206" i="35"/>
  <c r="I206" i="35" s="1"/>
  <c r="H206" i="35" s="1"/>
  <c r="I205" i="35"/>
  <c r="F205" i="35"/>
  <c r="J205" i="35" s="1"/>
  <c r="H205" i="35" s="1"/>
  <c r="B205" i="35"/>
  <c r="J204" i="35"/>
  <c r="I204" i="35"/>
  <c r="H204" i="35"/>
  <c r="F204" i="35"/>
  <c r="B204" i="35"/>
  <c r="J203" i="35"/>
  <c r="I203" i="35"/>
  <c r="H203" i="35" s="1"/>
  <c r="F203" i="35"/>
  <c r="B203" i="35"/>
  <c r="J202" i="35"/>
  <c r="F202" i="35"/>
  <c r="B202" i="35"/>
  <c r="I202" i="35" s="1"/>
  <c r="H202" i="35" s="1"/>
  <c r="I201" i="35"/>
  <c r="F201" i="35"/>
  <c r="J201" i="35" s="1"/>
  <c r="H201" i="35" s="1"/>
  <c r="B201" i="35"/>
  <c r="J200" i="35"/>
  <c r="I200" i="35"/>
  <c r="H200" i="35"/>
  <c r="F200" i="35"/>
  <c r="B200" i="35"/>
  <c r="J199" i="35"/>
  <c r="I199" i="35"/>
  <c r="H199" i="35" s="1"/>
  <c r="F199" i="35"/>
  <c r="B199" i="35"/>
  <c r="J198" i="35"/>
  <c r="F198" i="35"/>
  <c r="B198" i="35"/>
  <c r="I198" i="35" s="1"/>
  <c r="H198" i="35" s="1"/>
  <c r="I197" i="35"/>
  <c r="F197" i="35"/>
  <c r="J197" i="35" s="1"/>
  <c r="H197" i="35" s="1"/>
  <c r="B197" i="35"/>
  <c r="J196" i="35"/>
  <c r="I196" i="35"/>
  <c r="H196" i="35"/>
  <c r="F196" i="35"/>
  <c r="B196" i="35"/>
  <c r="J195" i="35"/>
  <c r="I195" i="35"/>
  <c r="H195" i="35" s="1"/>
  <c r="F195" i="35"/>
  <c r="B195" i="35"/>
  <c r="J194" i="35"/>
  <c r="H194" i="35" s="1"/>
  <c r="I194" i="35"/>
  <c r="F194" i="35"/>
  <c r="J193" i="35"/>
  <c r="H193" i="35" s="1"/>
  <c r="I193" i="35"/>
  <c r="F193" i="35"/>
  <c r="J192" i="35"/>
  <c r="F192" i="35"/>
  <c r="B192" i="35"/>
  <c r="I192" i="35" s="1"/>
  <c r="H192" i="35" s="1"/>
  <c r="I191" i="35"/>
  <c r="F191" i="35"/>
  <c r="J191" i="35" s="1"/>
  <c r="H191" i="35" s="1"/>
  <c r="B191" i="35"/>
  <c r="J190" i="35"/>
  <c r="I190" i="35"/>
  <c r="H190" i="35"/>
  <c r="F190" i="35"/>
  <c r="B190" i="35"/>
  <c r="J189" i="35"/>
  <c r="I189" i="35"/>
  <c r="H189" i="35" s="1"/>
  <c r="F189" i="35"/>
  <c r="B189" i="35"/>
  <c r="J188" i="35"/>
  <c r="F188" i="35"/>
  <c r="B188" i="35"/>
  <c r="I188" i="35" s="1"/>
  <c r="H188" i="35" s="1"/>
  <c r="I187" i="35"/>
  <c r="F187" i="35"/>
  <c r="J187" i="35" s="1"/>
  <c r="H187" i="35" s="1"/>
  <c r="B187" i="35"/>
  <c r="J186" i="35"/>
  <c r="I186" i="35"/>
  <c r="H186" i="35"/>
  <c r="F186" i="35"/>
  <c r="B186" i="35"/>
  <c r="J185" i="35"/>
  <c r="I185" i="35"/>
  <c r="H185" i="35" s="1"/>
  <c r="F185" i="35"/>
  <c r="B185" i="35"/>
  <c r="J184" i="35"/>
  <c r="F184" i="35"/>
  <c r="B184" i="35"/>
  <c r="I184" i="35" s="1"/>
  <c r="H184" i="35" s="1"/>
  <c r="I183" i="35"/>
  <c r="F183" i="35"/>
  <c r="J183" i="35" s="1"/>
  <c r="H183" i="35" s="1"/>
  <c r="B183" i="35"/>
  <c r="J182" i="35"/>
  <c r="I182" i="35"/>
  <c r="H182" i="35"/>
  <c r="F182" i="35"/>
  <c r="B182" i="35"/>
  <c r="J181" i="35"/>
  <c r="I181" i="35"/>
  <c r="H181" i="35" s="1"/>
  <c r="F181" i="35"/>
  <c r="B181" i="35"/>
  <c r="J180" i="35"/>
  <c r="F180" i="35"/>
  <c r="B180" i="35"/>
  <c r="I180" i="35" s="1"/>
  <c r="H180" i="35" s="1"/>
  <c r="I179" i="35"/>
  <c r="F179" i="35"/>
  <c r="J179" i="35" s="1"/>
  <c r="H179" i="35" s="1"/>
  <c r="B179" i="35"/>
  <c r="J178" i="35"/>
  <c r="I178" i="35"/>
  <c r="H178" i="35"/>
  <c r="F178" i="35"/>
  <c r="B178" i="35"/>
  <c r="J177" i="35"/>
  <c r="I177" i="35"/>
  <c r="H177" i="35" s="1"/>
  <c r="F177" i="35"/>
  <c r="B177" i="35"/>
  <c r="J176" i="35"/>
  <c r="F176" i="35"/>
  <c r="B176" i="35"/>
  <c r="I176" i="35" s="1"/>
  <c r="H176" i="35" s="1"/>
  <c r="I175" i="35"/>
  <c r="F175" i="35"/>
  <c r="J175" i="35" s="1"/>
  <c r="H175" i="35" s="1"/>
  <c r="B175" i="35"/>
  <c r="J174" i="35"/>
  <c r="I174" i="35"/>
  <c r="H174" i="35"/>
  <c r="F174" i="35"/>
  <c r="B174" i="35"/>
  <c r="J173" i="35"/>
  <c r="I173" i="35"/>
  <c r="H173" i="35" s="1"/>
  <c r="F173" i="35"/>
  <c r="B173" i="35"/>
  <c r="J172" i="35"/>
  <c r="F172" i="35"/>
  <c r="B172" i="35"/>
  <c r="I172" i="35" s="1"/>
  <c r="H172" i="35" s="1"/>
  <c r="I171" i="35"/>
  <c r="F171" i="35"/>
  <c r="J171" i="35" s="1"/>
  <c r="H171" i="35" s="1"/>
  <c r="B171" i="35"/>
  <c r="J170" i="35"/>
  <c r="I170" i="35"/>
  <c r="H170" i="35"/>
  <c r="F170" i="35"/>
  <c r="B170" i="35"/>
  <c r="J169" i="35"/>
  <c r="I169" i="35"/>
  <c r="H169" i="35" s="1"/>
  <c r="F169" i="35"/>
  <c r="B169" i="35"/>
  <c r="J168" i="35"/>
  <c r="F168" i="35"/>
  <c r="B168" i="35"/>
  <c r="I168" i="35" s="1"/>
  <c r="H168" i="35" s="1"/>
  <c r="I167" i="35"/>
  <c r="F167" i="35"/>
  <c r="J167" i="35" s="1"/>
  <c r="H167" i="35" s="1"/>
  <c r="B167" i="35"/>
  <c r="J166" i="35"/>
  <c r="I166" i="35"/>
  <c r="H166" i="35"/>
  <c r="F166" i="35"/>
  <c r="B166" i="35"/>
  <c r="J165" i="35"/>
  <c r="I165" i="35"/>
  <c r="H165" i="35" s="1"/>
  <c r="F165" i="35"/>
  <c r="B165" i="35"/>
  <c r="J164" i="35"/>
  <c r="F164" i="35"/>
  <c r="B164" i="35"/>
  <c r="I164" i="35" s="1"/>
  <c r="H164" i="35" s="1"/>
  <c r="I163" i="35"/>
  <c r="F163" i="35"/>
  <c r="J163" i="35" s="1"/>
  <c r="H163" i="35" s="1"/>
  <c r="B163" i="35"/>
  <c r="J162" i="35"/>
  <c r="I162" i="35"/>
  <c r="H162" i="35"/>
  <c r="F162" i="35"/>
  <c r="B162" i="35"/>
  <c r="J161" i="35"/>
  <c r="I161" i="35"/>
  <c r="H161" i="35" s="1"/>
  <c r="F161" i="35"/>
  <c r="B161" i="35"/>
  <c r="J160" i="35"/>
  <c r="F160" i="35"/>
  <c r="B160" i="35"/>
  <c r="I160" i="35" s="1"/>
  <c r="H160" i="35" s="1"/>
  <c r="I159" i="35"/>
  <c r="F159" i="35"/>
  <c r="J159" i="35" s="1"/>
  <c r="H159" i="35" s="1"/>
  <c r="B159" i="35"/>
  <c r="J158" i="35"/>
  <c r="I158" i="35"/>
  <c r="H158" i="35"/>
  <c r="F158" i="35"/>
  <c r="B158" i="35"/>
  <c r="J157" i="35"/>
  <c r="I157" i="35"/>
  <c r="H157" i="35" s="1"/>
  <c r="F157" i="35"/>
  <c r="B157" i="35"/>
  <c r="J156" i="35"/>
  <c r="F156" i="35"/>
  <c r="B156" i="35"/>
  <c r="I156" i="35" s="1"/>
  <c r="H156" i="35" s="1"/>
  <c r="I155" i="35"/>
  <c r="F155" i="35"/>
  <c r="J155" i="35" s="1"/>
  <c r="H155" i="35" s="1"/>
  <c r="B155" i="35"/>
  <c r="J154" i="35"/>
  <c r="I154" i="35"/>
  <c r="H154" i="35"/>
  <c r="F154" i="35"/>
  <c r="B154" i="35"/>
  <c r="J153" i="35"/>
  <c r="I153" i="35"/>
  <c r="H153" i="35" s="1"/>
  <c r="F153" i="35"/>
  <c r="B153" i="35"/>
  <c r="J152" i="35"/>
  <c r="F152" i="35"/>
  <c r="B152" i="35"/>
  <c r="I152" i="35" s="1"/>
  <c r="H152" i="35" s="1"/>
  <c r="I151" i="35"/>
  <c r="F151" i="35"/>
  <c r="J151" i="35" s="1"/>
  <c r="H151" i="35" s="1"/>
  <c r="B151" i="35"/>
  <c r="J150" i="35"/>
  <c r="I150" i="35"/>
  <c r="H150" i="35"/>
  <c r="F150" i="35"/>
  <c r="B150" i="35"/>
  <c r="J149" i="35"/>
  <c r="I149" i="35"/>
  <c r="H149" i="35" s="1"/>
  <c r="F149" i="35"/>
  <c r="B149" i="35"/>
  <c r="J148" i="35"/>
  <c r="H148" i="35" s="1"/>
  <c r="I148" i="35"/>
  <c r="F148" i="35"/>
  <c r="J147" i="35"/>
  <c r="H147" i="35" s="1"/>
  <c r="I147" i="35"/>
  <c r="F147" i="35"/>
  <c r="J146" i="35"/>
  <c r="H146" i="35" s="1"/>
  <c r="I146" i="35"/>
  <c r="F146" i="35"/>
  <c r="J145" i="35"/>
  <c r="F145" i="35"/>
  <c r="B145" i="35"/>
  <c r="I145" i="35" s="1"/>
  <c r="H145" i="35" s="1"/>
  <c r="I144" i="35"/>
  <c r="F144" i="35"/>
  <c r="J144" i="35" s="1"/>
  <c r="H144" i="35" s="1"/>
  <c r="B144" i="35"/>
  <c r="J143" i="35"/>
  <c r="I143" i="35"/>
  <c r="H143" i="35"/>
  <c r="F143" i="35"/>
  <c r="B143" i="35"/>
  <c r="J142" i="35"/>
  <c r="I142" i="35"/>
  <c r="H142" i="35" s="1"/>
  <c r="F142" i="35"/>
  <c r="B142" i="35"/>
  <c r="J141" i="35"/>
  <c r="F141" i="35"/>
  <c r="B141" i="35"/>
  <c r="I141" i="35" s="1"/>
  <c r="H141" i="35" s="1"/>
  <c r="I140" i="35"/>
  <c r="F140" i="35"/>
  <c r="J140" i="35" s="1"/>
  <c r="H140" i="35" s="1"/>
  <c r="B140" i="35"/>
  <c r="J139" i="35"/>
  <c r="I139" i="35"/>
  <c r="H139" i="35"/>
  <c r="F139" i="35"/>
  <c r="J138" i="35"/>
  <c r="I138" i="35"/>
  <c r="H138" i="35"/>
  <c r="F138" i="35"/>
  <c r="J137" i="35"/>
  <c r="I137" i="35"/>
  <c r="H137" i="35"/>
  <c r="F137" i="35"/>
  <c r="J136" i="35"/>
  <c r="I136" i="35"/>
  <c r="H136" i="35"/>
  <c r="F136" i="35"/>
  <c r="B136" i="35"/>
  <c r="J135" i="35"/>
  <c r="I135" i="35"/>
  <c r="H135" i="35" s="1"/>
  <c r="F135" i="35"/>
  <c r="B135" i="35"/>
  <c r="J134" i="35"/>
  <c r="F134" i="35"/>
  <c r="B134" i="35"/>
  <c r="I134" i="35" s="1"/>
  <c r="H134" i="35" s="1"/>
  <c r="I133" i="35"/>
  <c r="F133" i="35"/>
  <c r="J133" i="35" s="1"/>
  <c r="H133" i="35" s="1"/>
  <c r="B133" i="35"/>
  <c r="J132" i="35"/>
  <c r="I132" i="35"/>
  <c r="H132" i="35"/>
  <c r="F132" i="35"/>
  <c r="J131" i="35"/>
  <c r="I131" i="35"/>
  <c r="H131" i="35"/>
  <c r="F131" i="35"/>
  <c r="J130" i="35"/>
  <c r="I130" i="35"/>
  <c r="H130" i="35"/>
  <c r="F130" i="35"/>
  <c r="B130" i="35"/>
  <c r="J129" i="35"/>
  <c r="I129" i="35"/>
  <c r="H129" i="35" s="1"/>
  <c r="F129" i="35"/>
  <c r="J128" i="35"/>
  <c r="I128" i="35"/>
  <c r="H128" i="35" s="1"/>
  <c r="F128" i="35"/>
  <c r="B128" i="35"/>
  <c r="J127" i="35"/>
  <c r="F127" i="35"/>
  <c r="B127" i="35"/>
  <c r="I127" i="35" s="1"/>
  <c r="H127" i="35" s="1"/>
  <c r="I126" i="35"/>
  <c r="F126" i="35"/>
  <c r="J126" i="35" s="1"/>
  <c r="H126" i="35" s="1"/>
  <c r="B126" i="35"/>
  <c r="J125" i="35"/>
  <c r="I125" i="35"/>
  <c r="H125" i="35"/>
  <c r="F125" i="35"/>
  <c r="B125" i="35"/>
  <c r="J124" i="35"/>
  <c r="I124" i="35"/>
  <c r="H124" i="35" s="1"/>
  <c r="F124" i="35"/>
  <c r="B124" i="35"/>
  <c r="J123" i="35"/>
  <c r="F123" i="35"/>
  <c r="B123" i="35"/>
  <c r="I123" i="35" s="1"/>
  <c r="H123" i="35" s="1"/>
  <c r="I122" i="35"/>
  <c r="F122" i="35"/>
  <c r="J122" i="35" s="1"/>
  <c r="H122" i="35" s="1"/>
  <c r="B122" i="35"/>
  <c r="J121" i="35"/>
  <c r="I121" i="35"/>
  <c r="H121" i="35"/>
  <c r="F121" i="35"/>
  <c r="B121" i="35"/>
  <c r="J120" i="35"/>
  <c r="I120" i="35"/>
  <c r="H120" i="35" s="1"/>
  <c r="F120" i="35"/>
  <c r="B120" i="35"/>
  <c r="J119" i="35"/>
  <c r="F119" i="35"/>
  <c r="B119" i="35"/>
  <c r="I119" i="35" s="1"/>
  <c r="H119" i="35" s="1"/>
  <c r="I118" i="35"/>
  <c r="F118" i="35"/>
  <c r="J118" i="35" s="1"/>
  <c r="H118" i="35" s="1"/>
  <c r="B118" i="35"/>
  <c r="J117" i="35"/>
  <c r="I117" i="35"/>
  <c r="H117" i="35"/>
  <c r="F117" i="35"/>
  <c r="B117" i="35"/>
  <c r="J116" i="35"/>
  <c r="I116" i="35"/>
  <c r="H116" i="35" s="1"/>
  <c r="F116" i="35"/>
  <c r="B116" i="35"/>
  <c r="J115" i="35"/>
  <c r="F115" i="35"/>
  <c r="B115" i="35"/>
  <c r="I115" i="35" s="1"/>
  <c r="H115" i="35" s="1"/>
  <c r="I114" i="35"/>
  <c r="F114" i="35"/>
  <c r="J114" i="35" s="1"/>
  <c r="H114" i="35" s="1"/>
  <c r="B114" i="35"/>
  <c r="J113" i="35"/>
  <c r="I113" i="35"/>
  <c r="H113" i="35"/>
  <c r="F113" i="35"/>
  <c r="B113" i="35"/>
  <c r="J112" i="35"/>
  <c r="I112" i="35"/>
  <c r="H112" i="35" s="1"/>
  <c r="F112" i="35"/>
  <c r="B112" i="35"/>
  <c r="J111" i="35"/>
  <c r="F111" i="35"/>
  <c r="B111" i="35"/>
  <c r="I111" i="35" s="1"/>
  <c r="H111" i="35" s="1"/>
  <c r="I110" i="35"/>
  <c r="F110" i="35"/>
  <c r="J110" i="35" s="1"/>
  <c r="H110" i="35" s="1"/>
  <c r="I109" i="35"/>
  <c r="F109" i="35"/>
  <c r="J109" i="35" s="1"/>
  <c r="H109" i="35" s="1"/>
  <c r="I108" i="35"/>
  <c r="F108" i="35"/>
  <c r="J108" i="35" s="1"/>
  <c r="H108" i="35" s="1"/>
  <c r="B108" i="35"/>
  <c r="J107" i="35"/>
  <c r="I107" i="35"/>
  <c r="H107" i="35"/>
  <c r="F107" i="35"/>
  <c r="B107" i="35"/>
  <c r="J106" i="35"/>
  <c r="I106" i="35"/>
  <c r="H106" i="35" s="1"/>
  <c r="F106" i="35"/>
  <c r="B106" i="35"/>
  <c r="J105" i="35"/>
  <c r="F105" i="35"/>
  <c r="B105" i="35"/>
  <c r="I105" i="35" s="1"/>
  <c r="H105" i="35" s="1"/>
  <c r="I104" i="35"/>
  <c r="F104" i="35"/>
  <c r="J104" i="35" s="1"/>
  <c r="H104" i="35" s="1"/>
  <c r="B104" i="35"/>
  <c r="J103" i="35"/>
  <c r="I103" i="35"/>
  <c r="H103" i="35"/>
  <c r="F103" i="35"/>
  <c r="B103" i="35"/>
  <c r="J102" i="35"/>
  <c r="I102" i="35"/>
  <c r="H102" i="35" s="1"/>
  <c r="F102" i="35"/>
  <c r="B102" i="35"/>
  <c r="J101" i="35"/>
  <c r="F101" i="35"/>
  <c r="B101" i="35"/>
  <c r="I101" i="35" s="1"/>
  <c r="H101" i="35" s="1"/>
  <c r="I100" i="35"/>
  <c r="F100" i="35"/>
  <c r="J100" i="35" s="1"/>
  <c r="H100" i="35" s="1"/>
  <c r="B100" i="35"/>
  <c r="J99" i="35"/>
  <c r="I99" i="35"/>
  <c r="H99" i="35"/>
  <c r="F99" i="35"/>
  <c r="B99" i="35"/>
  <c r="J98" i="35"/>
  <c r="I98" i="35"/>
  <c r="H98" i="35" s="1"/>
  <c r="F98" i="35"/>
  <c r="B98" i="35"/>
  <c r="J97" i="35"/>
  <c r="F97" i="35"/>
  <c r="B97" i="35"/>
  <c r="I97" i="35" s="1"/>
  <c r="H97" i="35" s="1"/>
  <c r="I96" i="35"/>
  <c r="F96" i="35"/>
  <c r="J96" i="35" s="1"/>
  <c r="H96" i="35" s="1"/>
  <c r="B96" i="35"/>
  <c r="J95" i="35"/>
  <c r="I95" i="35"/>
  <c r="H95" i="35"/>
  <c r="F95" i="35"/>
  <c r="B95" i="35"/>
  <c r="J94" i="35"/>
  <c r="I94" i="35"/>
  <c r="H94" i="35" s="1"/>
  <c r="F94" i="35"/>
  <c r="B94" i="35"/>
  <c r="J93" i="35"/>
  <c r="H93" i="35" s="1"/>
  <c r="I93" i="35"/>
  <c r="F93" i="35"/>
  <c r="J92" i="35"/>
  <c r="H92" i="35" s="1"/>
  <c r="I92" i="35"/>
  <c r="F92" i="35"/>
  <c r="J91" i="35"/>
  <c r="H91" i="35" s="1"/>
  <c r="I91" i="35"/>
  <c r="F91" i="35"/>
  <c r="J90" i="35"/>
  <c r="H90" i="35" s="1"/>
  <c r="I90" i="35"/>
  <c r="F90" i="35"/>
  <c r="J89" i="35"/>
  <c r="H89" i="35" s="1"/>
  <c r="I89" i="35"/>
  <c r="F89" i="35"/>
  <c r="J88" i="35"/>
  <c r="H88" i="35" s="1"/>
  <c r="I88" i="35"/>
  <c r="F88" i="35"/>
  <c r="J87" i="35"/>
  <c r="H87" i="35" s="1"/>
  <c r="I87" i="35"/>
  <c r="F87" i="35"/>
  <c r="J86" i="35"/>
  <c r="H86" i="35" s="1"/>
  <c r="I86" i="35"/>
  <c r="F86" i="35"/>
  <c r="J85" i="35"/>
  <c r="H85" i="35" s="1"/>
  <c r="I85" i="35"/>
  <c r="F85" i="35"/>
  <c r="J84" i="35"/>
  <c r="H84" i="35" s="1"/>
  <c r="I84" i="35"/>
  <c r="F84" i="35"/>
  <c r="J83" i="35"/>
  <c r="F83" i="35"/>
  <c r="B83" i="35"/>
  <c r="I83" i="35" s="1"/>
  <c r="H83" i="35" s="1"/>
  <c r="I82" i="35"/>
  <c r="F82" i="35"/>
  <c r="J82" i="35" s="1"/>
  <c r="H82" i="35" s="1"/>
  <c r="B82" i="35"/>
  <c r="J81" i="35"/>
  <c r="I81" i="35"/>
  <c r="H81" i="35"/>
  <c r="F81" i="35"/>
  <c r="B81" i="35"/>
  <c r="J80" i="35"/>
  <c r="I80" i="35"/>
  <c r="H80" i="35" s="1"/>
  <c r="F80" i="35"/>
  <c r="B80" i="35"/>
  <c r="J79" i="35"/>
  <c r="F79" i="35"/>
  <c r="B79" i="35"/>
  <c r="I79" i="35" s="1"/>
  <c r="H79" i="35" s="1"/>
  <c r="I78" i="35"/>
  <c r="F78" i="35"/>
  <c r="J78" i="35" s="1"/>
  <c r="H78" i="35" s="1"/>
  <c r="B78" i="35"/>
  <c r="J77" i="35"/>
  <c r="I77" i="35"/>
  <c r="H77" i="35"/>
  <c r="F77" i="35"/>
  <c r="B77" i="35"/>
  <c r="J76" i="35"/>
  <c r="I76" i="35"/>
  <c r="H76" i="35" s="1"/>
  <c r="F76" i="35"/>
  <c r="B76" i="35"/>
  <c r="J75" i="35"/>
  <c r="F75" i="35"/>
  <c r="B75" i="35"/>
  <c r="I75" i="35" s="1"/>
  <c r="H75" i="35" s="1"/>
  <c r="I74" i="35"/>
  <c r="F74" i="35"/>
  <c r="J74" i="35" s="1"/>
  <c r="H74" i="35" s="1"/>
  <c r="B74" i="35"/>
  <c r="J73" i="35"/>
  <c r="I73" i="35"/>
  <c r="H73" i="35"/>
  <c r="F73" i="35"/>
  <c r="B73" i="35"/>
  <c r="J72" i="35"/>
  <c r="I72" i="35"/>
  <c r="H72" i="35" s="1"/>
  <c r="F72" i="35"/>
  <c r="B72" i="35"/>
  <c r="J71" i="35"/>
  <c r="F71" i="35"/>
  <c r="B71" i="35"/>
  <c r="I71" i="35" s="1"/>
  <c r="H71" i="35" s="1"/>
  <c r="I70" i="35"/>
  <c r="F70" i="35"/>
  <c r="J70" i="35" s="1"/>
  <c r="H70" i="35" s="1"/>
  <c r="B70" i="35"/>
  <c r="J69" i="35"/>
  <c r="I69" i="35"/>
  <c r="H69" i="35"/>
  <c r="F69" i="35"/>
  <c r="J68" i="35"/>
  <c r="I68" i="35"/>
  <c r="H68" i="35"/>
  <c r="F68" i="35"/>
  <c r="J67" i="35"/>
  <c r="I67" i="35"/>
  <c r="H67" i="35"/>
  <c r="F67" i="35"/>
  <c r="B67" i="35"/>
  <c r="J66" i="35"/>
  <c r="I66" i="35"/>
  <c r="H66" i="35" s="1"/>
  <c r="F66" i="35"/>
  <c r="B66" i="35"/>
  <c r="J65" i="35"/>
  <c r="F65" i="35"/>
  <c r="B65" i="35"/>
  <c r="I65" i="35" s="1"/>
  <c r="H65" i="35" s="1"/>
  <c r="I64" i="35"/>
  <c r="F64" i="35"/>
  <c r="J64" i="35" s="1"/>
  <c r="H64" i="35" s="1"/>
  <c r="B64" i="35"/>
  <c r="J63" i="35"/>
  <c r="I63" i="35"/>
  <c r="H63" i="35"/>
  <c r="F63" i="35"/>
  <c r="B63" i="35"/>
  <c r="J62" i="35"/>
  <c r="I62" i="35"/>
  <c r="H62" i="35" s="1"/>
  <c r="F62" i="35"/>
  <c r="B62" i="35"/>
  <c r="J61" i="35"/>
  <c r="F61" i="35"/>
  <c r="B61" i="35"/>
  <c r="I61" i="35" s="1"/>
  <c r="H61" i="35" s="1"/>
  <c r="I60" i="35"/>
  <c r="F60" i="35"/>
  <c r="J60" i="35" s="1"/>
  <c r="H60" i="35" s="1"/>
  <c r="B60" i="35"/>
  <c r="J59" i="35"/>
  <c r="I59" i="35"/>
  <c r="H59" i="35"/>
  <c r="F59" i="35"/>
  <c r="B59" i="35"/>
  <c r="J58" i="35"/>
  <c r="I58" i="35"/>
  <c r="H58" i="35" s="1"/>
  <c r="F58" i="35"/>
  <c r="B58" i="35"/>
  <c r="J57" i="35"/>
  <c r="F57" i="35"/>
  <c r="B57" i="35"/>
  <c r="I57" i="35" s="1"/>
  <c r="H57" i="35" s="1"/>
  <c r="I56" i="35"/>
  <c r="F56" i="35"/>
  <c r="J56" i="35" s="1"/>
  <c r="H56" i="35" s="1"/>
  <c r="B56" i="35"/>
  <c r="J55" i="35"/>
  <c r="I55" i="35"/>
  <c r="H55" i="35"/>
  <c r="F55" i="35"/>
  <c r="B55" i="35"/>
  <c r="J54" i="35"/>
  <c r="I54" i="35"/>
  <c r="H54" i="35" s="1"/>
  <c r="F54" i="35"/>
  <c r="B54" i="35"/>
  <c r="J53" i="35"/>
  <c r="F53" i="35"/>
  <c r="B53" i="35"/>
  <c r="I53" i="35" s="1"/>
  <c r="H53" i="35" s="1"/>
  <c r="I52" i="35"/>
  <c r="F52" i="35"/>
  <c r="J52" i="35" s="1"/>
  <c r="H52" i="35" s="1"/>
  <c r="B52" i="35"/>
  <c r="J51" i="35"/>
  <c r="I51" i="35"/>
  <c r="H51" i="35"/>
  <c r="F51" i="35"/>
  <c r="B51" i="35"/>
  <c r="J50" i="35"/>
  <c r="I50" i="35"/>
  <c r="H50" i="35" s="1"/>
  <c r="F50" i="35"/>
  <c r="B50" i="35"/>
  <c r="J49" i="35"/>
  <c r="F49" i="35"/>
  <c r="B49" i="35"/>
  <c r="I49" i="35" s="1"/>
  <c r="H49" i="35" s="1"/>
  <c r="I48" i="35"/>
  <c r="F48" i="35"/>
  <c r="J48" i="35" s="1"/>
  <c r="H48" i="35" s="1"/>
  <c r="I47" i="35"/>
  <c r="F47" i="35"/>
  <c r="J47" i="35" s="1"/>
  <c r="H47" i="35" s="1"/>
  <c r="I46" i="35"/>
  <c r="F46" i="35"/>
  <c r="J46" i="35" s="1"/>
  <c r="H46" i="35" s="1"/>
  <c r="B46" i="35"/>
  <c r="J45" i="35"/>
  <c r="I45" i="35"/>
  <c r="H45" i="35"/>
  <c r="F45" i="35"/>
  <c r="B45" i="35"/>
  <c r="J44" i="35"/>
  <c r="I44" i="35"/>
  <c r="H44" i="35" s="1"/>
  <c r="F44" i="35"/>
  <c r="B44" i="35"/>
  <c r="J43" i="35"/>
  <c r="F43" i="35"/>
  <c r="B43" i="35"/>
  <c r="I43" i="35" s="1"/>
  <c r="H43" i="35" s="1"/>
  <c r="I42" i="35"/>
  <c r="F42" i="35"/>
  <c r="J42" i="35" s="1"/>
  <c r="H42" i="35" s="1"/>
  <c r="B42" i="35"/>
  <c r="J41" i="35"/>
  <c r="I41" i="35"/>
  <c r="H41" i="35"/>
  <c r="F41" i="35"/>
  <c r="B41" i="35"/>
  <c r="J40" i="35"/>
  <c r="I40" i="35"/>
  <c r="H40" i="35" s="1"/>
  <c r="F40" i="35"/>
  <c r="B40" i="35"/>
  <c r="J39" i="35"/>
  <c r="F39" i="35"/>
  <c r="B39" i="35"/>
  <c r="I39" i="35" s="1"/>
  <c r="H39" i="35" s="1"/>
  <c r="I38" i="35"/>
  <c r="F38" i="35"/>
  <c r="J38" i="35" s="1"/>
  <c r="H38" i="35" s="1"/>
  <c r="B38" i="35"/>
  <c r="J37" i="35"/>
  <c r="I37" i="35"/>
  <c r="H37" i="35"/>
  <c r="F37" i="35"/>
  <c r="J36" i="35"/>
  <c r="I36" i="35"/>
  <c r="H36" i="35"/>
  <c r="F36" i="35"/>
  <c r="B36" i="35"/>
  <c r="J35" i="35"/>
  <c r="I35" i="35"/>
  <c r="H35" i="35" s="1"/>
  <c r="F35" i="35"/>
  <c r="B35" i="35"/>
  <c r="J34" i="35"/>
  <c r="F34" i="35"/>
  <c r="B34" i="35"/>
  <c r="I34" i="35" s="1"/>
  <c r="H34" i="35" s="1"/>
  <c r="I33" i="35"/>
  <c r="F33" i="35"/>
  <c r="J33" i="35" s="1"/>
  <c r="H33" i="35" s="1"/>
  <c r="B33" i="35"/>
  <c r="J32" i="35"/>
  <c r="I32" i="35"/>
  <c r="H32" i="35"/>
  <c r="F32" i="35"/>
  <c r="B32" i="35"/>
  <c r="J31" i="35"/>
  <c r="I31" i="35"/>
  <c r="H31" i="35" s="1"/>
  <c r="F31" i="35"/>
  <c r="B31" i="35"/>
  <c r="J30" i="35"/>
  <c r="F30" i="35"/>
  <c r="B30" i="35"/>
  <c r="I30" i="35" s="1"/>
  <c r="H30" i="35" s="1"/>
  <c r="I29" i="35"/>
  <c r="F29" i="35"/>
  <c r="J29" i="35" s="1"/>
  <c r="H29" i="35" s="1"/>
  <c r="B29" i="35"/>
  <c r="J28" i="35"/>
  <c r="I28" i="35"/>
  <c r="H28" i="35"/>
  <c r="F28" i="35"/>
  <c r="J27" i="35"/>
  <c r="I27" i="35"/>
  <c r="H27" i="35"/>
  <c r="F27" i="35"/>
  <c r="B27" i="35"/>
  <c r="J26" i="35"/>
  <c r="I26" i="35"/>
  <c r="H26" i="35" s="1"/>
  <c r="F26" i="35"/>
  <c r="B26" i="35"/>
  <c r="J25" i="35"/>
  <c r="F25" i="35"/>
  <c r="B25" i="35"/>
  <c r="I25" i="35" s="1"/>
  <c r="H25" i="35" s="1"/>
  <c r="I24" i="35"/>
  <c r="F24" i="35"/>
  <c r="J24" i="35" s="1"/>
  <c r="H24" i="35" s="1"/>
  <c r="B24" i="35"/>
  <c r="J23" i="35"/>
  <c r="I23" i="35"/>
  <c r="H23" i="35"/>
  <c r="F23" i="35"/>
  <c r="B23" i="35"/>
  <c r="J22" i="35"/>
  <c r="I22" i="35"/>
  <c r="H22" i="35" s="1"/>
  <c r="F22" i="35"/>
  <c r="B22" i="35"/>
  <c r="J21" i="35"/>
  <c r="F21" i="35"/>
  <c r="B21" i="35"/>
  <c r="I21" i="35" s="1"/>
  <c r="H21" i="35" s="1"/>
  <c r="I20" i="35"/>
  <c r="F20" i="35"/>
  <c r="J20" i="35" s="1"/>
  <c r="H20" i="35" s="1"/>
  <c r="B20" i="35"/>
  <c r="J19" i="35"/>
  <c r="I19" i="35"/>
  <c r="H19" i="35"/>
  <c r="F19" i="35"/>
  <c r="B19" i="35"/>
  <c r="J18" i="35"/>
  <c r="I18" i="35"/>
  <c r="H18" i="35" s="1"/>
  <c r="F18" i="35"/>
  <c r="B18" i="35"/>
  <c r="J17" i="35"/>
  <c r="H17" i="35" s="1"/>
  <c r="I17" i="35"/>
  <c r="F17" i="35"/>
  <c r="J16" i="35"/>
  <c r="F16" i="35"/>
  <c r="B16" i="35"/>
  <c r="I16" i="35" s="1"/>
  <c r="H16" i="35" s="1"/>
  <c r="I15" i="35"/>
  <c r="F15" i="35"/>
  <c r="J15" i="35" s="1"/>
  <c r="H15" i="35" s="1"/>
  <c r="B15" i="35"/>
  <c r="J14" i="35"/>
  <c r="I14" i="35"/>
  <c r="H14" i="35"/>
  <c r="F14" i="35"/>
  <c r="B14" i="35"/>
  <c r="J13" i="35"/>
  <c r="I13" i="35"/>
  <c r="H13" i="35" s="1"/>
  <c r="F13" i="35"/>
  <c r="B13" i="35"/>
  <c r="J12" i="35"/>
  <c r="F12" i="35"/>
  <c r="B12" i="35"/>
  <c r="I12" i="35" s="1"/>
  <c r="H12" i="35" s="1"/>
  <c r="I11" i="35"/>
  <c r="F11" i="35"/>
  <c r="J11" i="35" s="1"/>
  <c r="H11" i="35" s="1"/>
  <c r="B11" i="35"/>
  <c r="J10" i="35"/>
  <c r="I10" i="35"/>
  <c r="H10" i="35"/>
  <c r="F10" i="35"/>
  <c r="B10" i="35"/>
  <c r="J9" i="35"/>
  <c r="I9" i="35"/>
  <c r="H9" i="35" s="1"/>
  <c r="F9" i="35"/>
  <c r="B9" i="35"/>
  <c r="J8" i="35"/>
  <c r="F8" i="35"/>
  <c r="B8" i="35"/>
  <c r="I8" i="35" s="1"/>
  <c r="H8" i="35" s="1"/>
  <c r="I7" i="35"/>
  <c r="F7" i="35"/>
  <c r="J7" i="35" s="1"/>
  <c r="H7" i="35" s="1"/>
  <c r="B7" i="35"/>
  <c r="J6" i="35"/>
  <c r="I6" i="35"/>
  <c r="H6" i="35"/>
  <c r="F6" i="35"/>
  <c r="B6" i="35"/>
  <c r="J5" i="35"/>
  <c r="I5" i="35"/>
  <c r="H5" i="35" s="1"/>
  <c r="F5" i="35"/>
  <c r="B5" i="35"/>
  <c r="J4" i="35"/>
  <c r="F4" i="35"/>
  <c r="B4" i="35"/>
  <c r="I4" i="35" s="1"/>
  <c r="H4" i="35" s="1"/>
  <c r="I3" i="35"/>
  <c r="F3" i="35"/>
  <c r="J3" i="35" s="1"/>
  <c r="H3" i="35" s="1"/>
  <c r="B3" i="35"/>
  <c r="J2" i="35"/>
  <c r="I2" i="35"/>
  <c r="H2" i="35"/>
  <c r="F2" i="35"/>
  <c r="B2" i="35"/>
  <c r="H227" i="35" l="1"/>
  <c r="H231" i="35"/>
  <c r="H235" i="35"/>
  <c r="H253" i="35"/>
  <c r="H257" i="35"/>
  <c r="H261" i="35"/>
  <c r="H265" i="35"/>
  <c r="H269" i="35"/>
  <c r="H334" i="35"/>
  <c r="H369" i="35"/>
  <c r="H405" i="35"/>
  <c r="H274" i="35"/>
  <c r="H280" i="35"/>
  <c r="H284" i="35"/>
  <c r="H288" i="35"/>
  <c r="H292" i="35"/>
  <c r="H296" i="35"/>
  <c r="H300" i="35"/>
  <c r="H306" i="35"/>
  <c r="H310" i="35"/>
  <c r="H314" i="35"/>
  <c r="H318" i="35"/>
  <c r="H353" i="35"/>
  <c r="H389" i="35"/>
  <c r="H422" i="35"/>
  <c r="H467" i="35"/>
  <c r="H475" i="35"/>
  <c r="H585" i="35"/>
  <c r="H607" i="35"/>
  <c r="H615" i="35"/>
  <c r="H629" i="35"/>
  <c r="H635" i="35"/>
  <c r="H643" i="35"/>
  <c r="H651" i="35"/>
  <c r="H763" i="35"/>
  <c r="H771" i="35"/>
  <c r="H783" i="35"/>
  <c r="H791" i="35"/>
  <c r="H799" i="35"/>
  <c r="H807" i="35"/>
  <c r="H821" i="35"/>
  <c r="H829" i="35"/>
  <c r="H941" i="35"/>
  <c r="H949" i="35"/>
  <c r="H957" i="35"/>
  <c r="H965" i="35"/>
  <c r="H1003" i="35"/>
  <c r="H1011" i="35"/>
  <c r="H1019" i="35"/>
  <c r="H1027" i="35"/>
  <c r="H1033" i="35"/>
  <c r="H330" i="35"/>
  <c r="H350" i="35"/>
  <c r="H366" i="35"/>
  <c r="H381" i="35"/>
  <c r="H402" i="35"/>
  <c r="H418" i="35"/>
  <c r="H573" i="35"/>
  <c r="H849" i="35"/>
  <c r="H853" i="35"/>
  <c r="H857" i="35"/>
  <c r="H1047" i="35"/>
  <c r="H1063" i="35"/>
  <c r="H1079" i="35"/>
  <c r="H1095" i="35"/>
  <c r="H423" i="35"/>
  <c r="H426" i="35"/>
  <c r="H471" i="35"/>
  <c r="H479" i="35"/>
  <c r="H481" i="35"/>
  <c r="H572" i="35"/>
  <c r="H576" i="35"/>
  <c r="H589" i="35"/>
  <c r="H603" i="35"/>
  <c r="H611" i="35"/>
  <c r="H639" i="35"/>
  <c r="H647" i="35"/>
  <c r="H655" i="35"/>
  <c r="H657" i="35"/>
  <c r="H767" i="35"/>
  <c r="H779" i="35"/>
  <c r="H787" i="35"/>
  <c r="H795" i="35"/>
  <c r="H803" i="35"/>
  <c r="H811" i="35"/>
  <c r="H817" i="35"/>
  <c r="H825" i="35"/>
  <c r="H848" i="35"/>
  <c r="H852" i="35"/>
  <c r="H856" i="35"/>
  <c r="H945" i="35"/>
  <c r="H953" i="35"/>
  <c r="H961" i="35"/>
  <c r="H1007" i="35"/>
  <c r="H1015" i="35"/>
  <c r="H1023" i="35"/>
  <c r="H1035" i="35"/>
  <c r="H1268" i="35"/>
  <c r="H1278" i="35"/>
  <c r="H1294" i="35"/>
  <c r="H1323" i="35"/>
  <c r="H1341" i="35"/>
  <c r="H1361" i="35"/>
  <c r="H386" i="35"/>
  <c r="H425" i="35"/>
  <c r="H438" i="35"/>
  <c r="H446" i="35"/>
  <c r="H454" i="35"/>
  <c r="H462" i="35"/>
  <c r="H490" i="35"/>
  <c r="H498" i="35"/>
  <c r="H506" i="35"/>
  <c r="H514" i="35"/>
  <c r="H522" i="35"/>
  <c r="H530" i="35"/>
  <c r="H538" i="35"/>
  <c r="H546" i="35"/>
  <c r="H554" i="35"/>
  <c r="H562" i="35"/>
  <c r="H570" i="35"/>
  <c r="H571" i="35"/>
  <c r="H575" i="35"/>
  <c r="H580" i="35"/>
  <c r="H582" i="35"/>
  <c r="H594" i="35"/>
  <c r="H624" i="35"/>
  <c r="H625" i="35"/>
  <c r="H632" i="35"/>
  <c r="H660" i="35"/>
  <c r="H678" i="35"/>
  <c r="H686" i="35"/>
  <c r="H694" i="35"/>
  <c r="H702" i="35"/>
  <c r="H710" i="35"/>
  <c r="H718" i="35"/>
  <c r="H726" i="35"/>
  <c r="H734" i="35"/>
  <c r="H742" i="35"/>
  <c r="H750" i="35"/>
  <c r="H758" i="35"/>
  <c r="H838" i="35"/>
  <c r="H846" i="35"/>
  <c r="H847" i="35"/>
  <c r="H851" i="35"/>
  <c r="H855" i="35"/>
  <c r="H872" i="35"/>
  <c r="H880" i="35"/>
  <c r="H888" i="35"/>
  <c r="H896" i="35"/>
  <c r="H904" i="35"/>
  <c r="H912" i="35"/>
  <c r="H920" i="35"/>
  <c r="H928" i="35"/>
  <c r="H936" i="35"/>
  <c r="H974" i="35"/>
  <c r="H982" i="35"/>
  <c r="H990" i="35"/>
  <c r="H998" i="35"/>
  <c r="H999" i="35"/>
  <c r="H1034" i="35"/>
  <c r="H1039" i="35"/>
  <c r="H1058" i="35"/>
  <c r="H1074" i="35"/>
  <c r="H1090" i="35"/>
  <c r="H1100" i="35"/>
  <c r="H1113" i="35"/>
  <c r="H1129" i="35"/>
  <c r="H1145" i="35"/>
  <c r="H1155" i="35"/>
  <c r="H1223" i="35"/>
  <c r="H1239" i="35"/>
  <c r="H1390" i="35"/>
  <c r="H1398" i="35"/>
  <c r="H1443" i="35"/>
  <c r="H1110" i="35"/>
  <c r="H1118" i="35"/>
  <c r="H1126" i="35"/>
  <c r="H1134" i="35"/>
  <c r="H1142" i="35"/>
  <c r="H1152" i="35"/>
  <c r="H1160" i="35"/>
  <c r="H1220" i="35"/>
  <c r="H1228" i="35"/>
  <c r="H1236" i="35"/>
  <c r="H1244" i="35"/>
  <c r="H1256" i="35"/>
  <c r="H1265" i="35"/>
  <c r="H1274" i="35"/>
  <c r="H1283" i="35"/>
  <c r="H1291" i="35"/>
  <c r="H1310" i="35"/>
  <c r="H1320" i="35"/>
  <c r="H1328" i="35"/>
  <c r="H1338" i="35"/>
  <c r="H1348" i="35"/>
  <c r="H1358" i="35"/>
  <c r="H1367" i="35"/>
  <c r="H1414" i="35"/>
  <c r="H1424" i="35"/>
  <c r="H1487" i="35"/>
  <c r="H1503" i="35"/>
  <c r="H1512" i="35"/>
  <c r="H1538" i="35"/>
  <c r="H1607" i="35"/>
  <c r="H1730" i="35"/>
  <c r="H1045" i="35"/>
  <c r="H1053" i="35"/>
  <c r="H1061" i="35"/>
  <c r="H1069" i="35"/>
  <c r="H1077" i="35"/>
  <c r="H1085" i="35"/>
  <c r="H1093" i="35"/>
  <c r="H1103" i="35"/>
  <c r="H1108" i="35"/>
  <c r="H1116" i="35"/>
  <c r="H1124" i="35"/>
  <c r="H1132" i="35"/>
  <c r="H1140" i="35"/>
  <c r="H1150" i="35"/>
  <c r="H1158" i="35"/>
  <c r="H1218" i="35"/>
  <c r="H1226" i="35"/>
  <c r="H1234" i="35"/>
  <c r="H1242" i="35"/>
  <c r="H1248" i="35"/>
  <c r="H1250" i="35"/>
  <c r="H1252" i="35"/>
  <c r="H1254" i="35"/>
  <c r="H1263" i="35"/>
  <c r="H1272" i="35"/>
  <c r="H1281" i="35"/>
  <c r="H1289" i="35"/>
  <c r="H1297" i="35"/>
  <c r="H1299" i="35"/>
  <c r="H1301" i="35"/>
  <c r="H1318" i="35"/>
  <c r="H1326" i="35"/>
  <c r="H1334" i="35"/>
  <c r="H1336" i="35"/>
  <c r="H1344" i="35"/>
  <c r="H1346" i="35"/>
  <c r="H1351" i="35"/>
  <c r="H1356" i="35"/>
  <c r="H1364" i="35"/>
  <c r="H1375" i="35"/>
  <c r="H1383" i="35"/>
  <c r="H1385" i="35"/>
  <c r="H1426" i="35"/>
  <c r="H1428" i="35"/>
  <c r="H1455" i="35"/>
  <c r="H1461" i="35"/>
  <c r="H1464" i="35"/>
  <c r="H1471" i="35"/>
  <c r="H1479" i="35"/>
  <c r="H1528" i="35"/>
  <c r="H1541" i="35"/>
  <c r="H1546" i="35"/>
  <c r="H1559" i="35"/>
  <c r="H1565" i="35"/>
  <c r="H1582" i="35"/>
  <c r="H1584" i="35"/>
  <c r="H1603" i="35"/>
  <c r="H1606" i="35"/>
  <c r="H1384" i="35"/>
  <c r="H1402" i="35"/>
  <c r="H1427" i="35"/>
  <c r="H1444" i="35"/>
  <c r="H1492" i="35"/>
  <c r="H1494" i="35"/>
  <c r="H1508" i="35"/>
  <c r="H1537" i="35"/>
  <c r="H1587" i="35"/>
  <c r="H1594" i="35"/>
  <c r="H1722" i="35"/>
  <c r="H1739" i="35"/>
  <c r="H1377" i="35"/>
  <c r="H1393" i="35"/>
  <c r="H1410" i="35"/>
  <c r="H1436" i="35"/>
  <c r="H1452" i="35"/>
  <c r="H1457" i="35"/>
  <c r="H1473" i="35"/>
  <c r="H1489" i="35"/>
  <c r="H1505" i="35"/>
  <c r="H1520" i="35"/>
  <c r="H1530" i="35"/>
  <c r="H1556" i="35"/>
  <c r="H1561" i="35"/>
  <c r="H1579" i="35"/>
  <c r="H1690" i="35"/>
  <c r="H1694" i="35"/>
  <c r="H1698" i="35"/>
  <c r="H1702" i="35"/>
  <c r="H1706" i="35"/>
  <c r="H1758" i="35"/>
  <c r="H1760" i="35"/>
  <c r="H1772" i="35"/>
  <c r="H1784" i="35"/>
  <c r="H1786" i="35"/>
  <c r="H1802" i="35"/>
  <c r="H1805" i="35"/>
  <c r="H1821" i="35"/>
  <c r="H1840" i="35"/>
  <c r="H1476" i="35"/>
  <c r="H1519" i="35"/>
  <c r="H1593" i="35"/>
  <c r="H1744" i="35"/>
  <c r="H1763" i="35"/>
  <c r="H1789" i="35"/>
  <c r="H1794" i="35"/>
  <c r="H1475" i="35"/>
  <c r="H1518" i="35"/>
  <c r="H1522" i="35"/>
  <c r="H1592" i="35"/>
  <c r="H1614" i="35"/>
  <c r="H1618" i="35"/>
  <c r="H1622" i="35"/>
  <c r="H1626" i="35"/>
  <c r="H1630" i="35"/>
  <c r="H1634" i="35"/>
  <c r="H1638" i="35"/>
  <c r="H1642" i="35"/>
  <c r="H1646" i="35"/>
  <c r="H1650" i="35"/>
  <c r="H1654" i="35"/>
  <c r="H1658" i="35"/>
  <c r="H1662" i="35"/>
  <c r="H1666" i="35"/>
  <c r="H1670" i="35"/>
  <c r="H1674" i="35"/>
  <c r="H1678" i="35"/>
  <c r="H1759" i="35"/>
  <c r="H1764" i="35"/>
  <c r="H1767" i="35"/>
  <c r="H1785" i="35"/>
  <c r="H1790" i="35"/>
  <c r="H1801" i="35"/>
  <c r="H1825" i="35"/>
  <c r="H1841" i="35"/>
  <c r="H1852" i="35"/>
  <c r="H1868" i="35"/>
  <c r="H1875" i="35"/>
  <c r="H1888" i="35"/>
  <c r="H1895" i="35"/>
  <c r="H1904" i="35"/>
  <c r="H1911" i="35"/>
  <c r="H1931" i="35"/>
  <c r="H1938" i="35"/>
  <c r="H1947" i="35"/>
  <c r="H1948" i="35"/>
  <c r="H1966" i="35"/>
  <c r="H1979" i="35"/>
  <c r="H1987" i="35"/>
  <c r="H1992" i="35"/>
  <c r="H1994" i="35"/>
  <c r="H2003" i="35"/>
  <c r="H2008" i="35"/>
  <c r="H2010" i="35"/>
  <c r="H2017" i="35"/>
  <c r="H1773" i="35"/>
  <c r="H1810" i="35"/>
  <c r="H1811" i="35"/>
  <c r="H1829" i="35"/>
  <c r="H1836" i="35"/>
  <c r="H1845" i="35"/>
  <c r="H1856" i="35"/>
  <c r="H1863" i="35"/>
  <c r="H1872" i="35"/>
  <c r="H1883" i="35"/>
  <c r="H1892" i="35"/>
  <c r="H1899" i="35"/>
  <c r="H1908" i="35"/>
  <c r="H1915" i="35"/>
  <c r="H1926" i="35"/>
  <c r="H1935" i="35"/>
  <c r="H1942" i="35"/>
  <c r="H1952" i="35"/>
  <c r="H1954" i="35"/>
  <c r="H1963" i="35"/>
  <c r="H1983" i="35"/>
  <c r="H1999" i="35"/>
  <c r="H1887" i="35"/>
  <c r="H1903" i="35"/>
  <c r="H1919" i="35"/>
  <c r="H1930" i="35"/>
  <c r="H1946" i="35"/>
  <c r="H1978" i="35"/>
  <c r="H1986" i="35"/>
  <c r="H2000" i="35"/>
  <c r="H2002" i="35"/>
  <c r="H2011" i="35"/>
  <c r="H2012" i="35"/>
  <c r="H2020" i="35"/>
  <c r="H2028" i="35"/>
  <c r="H2030" i="35"/>
  <c r="H2035" i="35"/>
  <c r="H2043" i="35"/>
  <c r="H2051" i="35"/>
  <c r="H2060" i="35"/>
  <c r="H2077" i="35"/>
  <c r="H2085" i="35"/>
  <c r="H2093" i="35"/>
  <c r="H2101" i="35"/>
  <c r="H2104" i="35"/>
  <c r="H2107" i="35"/>
  <c r="H2117" i="35"/>
  <c r="H2120" i="35"/>
  <c r="H2124" i="35"/>
  <c r="H2134" i="35"/>
  <c r="H2137" i="35"/>
  <c r="H2140" i="35"/>
  <c r="H2153" i="35"/>
  <c r="H2156" i="35"/>
  <c r="H2159" i="35"/>
  <c r="H2169" i="35"/>
  <c r="H2174" i="35"/>
  <c r="H2177" i="35"/>
  <c r="H2182" i="35"/>
  <c r="H2191" i="35"/>
  <c r="H2200" i="35"/>
  <c r="H2204" i="35"/>
  <c r="H2226" i="35"/>
  <c r="H2229" i="35"/>
  <c r="H2041" i="35"/>
  <c r="H2108" i="35"/>
  <c r="H2125" i="35"/>
  <c r="H2128" i="35"/>
  <c r="H2141" i="35"/>
  <c r="H2160" i="35"/>
  <c r="H2178" i="35"/>
  <c r="H2183" i="35"/>
  <c r="H2186" i="35"/>
  <c r="H2192" i="35"/>
  <c r="H2195" i="35"/>
  <c r="H2201" i="35"/>
  <c r="H2214" i="35"/>
  <c r="H2225" i="35"/>
  <c r="H2230" i="35"/>
  <c r="H2236" i="35"/>
  <c r="H2249" i="35"/>
  <c r="H2259" i="35"/>
  <c r="H2275" i="35"/>
  <c r="H2283" i="35"/>
  <c r="H2290" i="35"/>
  <c r="H2299" i="35"/>
  <c r="H2313" i="35"/>
  <c r="H2315" i="35"/>
  <c r="H2324" i="35"/>
  <c r="H2329" i="35"/>
  <c r="H2331" i="35"/>
  <c r="H2334" i="35"/>
  <c r="H2403" i="35"/>
  <c r="H2417" i="35"/>
  <c r="H2237" i="35"/>
  <c r="H2245" i="35"/>
  <c r="H2271" i="35"/>
  <c r="H2287" i="35"/>
  <c r="H2296" i="35"/>
  <c r="H2320" i="35"/>
  <c r="H2350" i="35"/>
  <c r="H2366" i="35"/>
  <c r="H2382" i="35"/>
  <c r="H2217" i="35"/>
  <c r="H2238" i="35"/>
  <c r="H2282" i="35"/>
  <c r="H2300" i="35"/>
  <c r="H2307" i="35"/>
  <c r="H2316" i="35"/>
  <c r="H2321" i="35"/>
  <c r="H2323" i="35"/>
  <c r="H2369" i="35"/>
  <c r="H2387" i="35"/>
  <c r="H2406" i="35"/>
  <c r="H2409" i="35"/>
  <c r="H2345" i="35"/>
  <c r="H2361" i="35"/>
  <c r="H2377" i="35"/>
  <c r="H2386" i="35"/>
  <c r="H2394" i="35"/>
  <c r="H2402" i="35"/>
  <c r="H2389" i="35"/>
  <c r="H2397" i="35"/>
  <c r="H2405" i="35"/>
  <c r="H2413" i="35"/>
  <c r="H2425" i="35"/>
  <c r="H2432" i="35"/>
  <c r="H2441" i="35"/>
  <c r="H2337" i="35"/>
  <c r="H2420" i="35"/>
  <c r="H2429" i="35"/>
  <c r="H2436" i="35"/>
  <c r="H2509" i="35"/>
  <c r="H2513" i="35"/>
  <c r="H2517" i="35"/>
  <c r="H2521" i="35"/>
  <c r="H2525" i="35"/>
  <c r="H2529" i="35"/>
  <c r="H2533" i="35"/>
  <c r="H2541" i="35"/>
  <c r="H2549" i="35"/>
  <c r="H2565" i="35"/>
  <c r="H2508" i="35"/>
  <c r="H2512" i="35"/>
  <c r="H2516" i="35"/>
  <c r="H2520" i="35"/>
  <c r="H2524" i="35"/>
  <c r="H2528" i="35"/>
  <c r="H2532" i="35"/>
  <c r="H2536" i="35"/>
  <c r="H2552" i="35"/>
  <c r="H2556" i="35"/>
  <c r="H2560" i="35"/>
  <c r="H2564" i="35"/>
  <c r="H2568" i="35"/>
  <c r="H2507" i="35"/>
  <c r="H2511" i="35"/>
  <c r="H2515" i="35"/>
  <c r="H2519" i="35"/>
  <c r="H2523" i="35"/>
  <c r="H2527" i="35"/>
  <c r="H2531" i="35"/>
  <c r="H2535" i="35"/>
  <c r="H2539" i="35"/>
  <c r="H2543" i="35"/>
  <c r="H2547" i="35"/>
  <c r="H2551" i="35"/>
  <c r="H2555" i="35"/>
  <c r="H2559" i="35"/>
  <c r="H2563" i="35"/>
  <c r="H2567" i="35"/>
  <c r="H2287" i="34" l="1"/>
  <c r="H2165" i="34"/>
  <c r="H2092" i="34"/>
  <c r="H2040" i="34"/>
  <c r="H1934" i="34"/>
  <c r="H1874" i="34"/>
  <c r="H1757" i="34"/>
  <c r="H1691" i="34"/>
  <c r="H1645" i="34"/>
  <c r="H1566" i="34"/>
  <c r="H1492" i="34"/>
  <c r="H1361" i="34"/>
  <c r="H1279" i="34"/>
  <c r="H1253" i="34"/>
  <c r="H1100" i="34"/>
  <c r="H1057" i="34"/>
  <c r="H1030" i="34"/>
  <c r="H978" i="34"/>
  <c r="H860" i="34"/>
  <c r="H731" i="34"/>
  <c r="H678" i="34"/>
  <c r="H642" i="34"/>
  <c r="H492" i="34"/>
  <c r="H446" i="34"/>
  <c r="H351" i="34"/>
  <c r="H319" i="34"/>
  <c r="H253" i="34"/>
  <c r="H115" i="34"/>
  <c r="H2288" i="34" s="1"/>
  <c r="H4" i="8" l="1"/>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3" i="8"/>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3" i="9"/>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3" i="9"/>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3" i="10"/>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3" i="11"/>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3" i="12"/>
  <c r="G4" i="12"/>
  <c r="G5" i="12"/>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3" i="12"/>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3" i="12"/>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3" i="13"/>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3" i="13"/>
  <c r="H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3" i="14"/>
  <c r="F4" i="14"/>
  <c r="F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3" i="14"/>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3" i="14"/>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3"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3"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3" i="15"/>
  <c r="H4"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3" i="16"/>
  <c r="G4" i="16"/>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3" i="16"/>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3"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3" i="16"/>
  <c r="H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3" i="18"/>
  <c r="F4" i="18"/>
  <c r="F5" i="18"/>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3" i="18"/>
  <c r="E4" i="18"/>
  <c r="E5" i="18"/>
  <c r="E6" i="18"/>
  <c r="E7"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3" i="18"/>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118" i="19"/>
  <c r="H119" i="19"/>
  <c r="H120" i="19"/>
  <c r="H121" i="19"/>
  <c r="H122" i="19"/>
  <c r="H123" i="19"/>
  <c r="H124" i="19"/>
  <c r="H125" i="19"/>
  <c r="H126" i="19"/>
  <c r="H127" i="19"/>
  <c r="H128" i="19"/>
  <c r="H129" i="19"/>
  <c r="H130" i="19"/>
  <c r="H131" i="19"/>
  <c r="H132" i="19"/>
  <c r="H3" i="19"/>
  <c r="G4" i="19"/>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93" i="19"/>
  <c r="G94" i="19"/>
  <c r="G95" i="19"/>
  <c r="G96" i="19"/>
  <c r="G97" i="19"/>
  <c r="G98" i="19"/>
  <c r="G99" i="19"/>
  <c r="G100" i="19"/>
  <c r="G101" i="19"/>
  <c r="G102" i="19"/>
  <c r="G103" i="19"/>
  <c r="G104" i="19"/>
  <c r="G105" i="19"/>
  <c r="G106" i="19"/>
  <c r="G107" i="19"/>
  <c r="G108" i="19"/>
  <c r="G109" i="19"/>
  <c r="G110" i="19"/>
  <c r="G111" i="19"/>
  <c r="G112" i="19"/>
  <c r="G113" i="19"/>
  <c r="G114" i="19"/>
  <c r="G115" i="19"/>
  <c r="G116" i="19"/>
  <c r="G117" i="19"/>
  <c r="G118" i="19"/>
  <c r="G119" i="19"/>
  <c r="G120" i="19"/>
  <c r="G121" i="19"/>
  <c r="G122" i="19"/>
  <c r="G123" i="19"/>
  <c r="G124" i="19"/>
  <c r="G125" i="19"/>
  <c r="G126" i="19"/>
  <c r="G127" i="19"/>
  <c r="G128" i="19"/>
  <c r="G129" i="19"/>
  <c r="G130" i="19"/>
  <c r="G131" i="19"/>
  <c r="G132" i="19"/>
  <c r="G3" i="19"/>
  <c r="F4"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130" i="19"/>
  <c r="F131" i="19"/>
  <c r="F132" i="19"/>
  <c r="F3" i="19"/>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3" i="19"/>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8" i="20"/>
  <c r="H49" i="20"/>
  <c r="H50" i="20"/>
  <c r="H51" i="20"/>
  <c r="H52" i="20"/>
  <c r="H53" i="20"/>
  <c r="H54" i="20"/>
  <c r="H55" i="20"/>
  <c r="H56" i="20"/>
  <c r="H57" i="20"/>
  <c r="H58" i="20"/>
  <c r="H59" i="20"/>
  <c r="H60" i="20"/>
  <c r="H61" i="20"/>
  <c r="H62" i="20"/>
  <c r="H63" i="20"/>
  <c r="H64" i="20"/>
  <c r="H65" i="20"/>
  <c r="H66" i="20"/>
  <c r="H67" i="20"/>
  <c r="H68" i="20"/>
  <c r="H69" i="20"/>
  <c r="H70" i="20"/>
  <c r="H71" i="20"/>
  <c r="H72" i="20"/>
  <c r="H73" i="20"/>
  <c r="H74" i="20"/>
  <c r="H75" i="20"/>
  <c r="H76" i="20"/>
  <c r="H77" i="20"/>
  <c r="H78" i="20"/>
  <c r="H79" i="20"/>
  <c r="H80" i="20"/>
  <c r="H81" i="20"/>
  <c r="H82" i="20"/>
  <c r="H83" i="20"/>
  <c r="H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F42" i="20"/>
  <c r="F43" i="20"/>
  <c r="F44" i="20"/>
  <c r="F45" i="20"/>
  <c r="F46" i="20"/>
  <c r="F47" i="20"/>
  <c r="F48" i="20"/>
  <c r="F49" i="20"/>
  <c r="F50" i="20"/>
  <c r="F51" i="20"/>
  <c r="F52" i="20"/>
  <c r="F53" i="20"/>
  <c r="F54" i="20"/>
  <c r="F55" i="20"/>
  <c r="F56" i="20"/>
  <c r="F57" i="20"/>
  <c r="F58" i="20"/>
  <c r="F59" i="20"/>
  <c r="F60" i="20"/>
  <c r="F61" i="20"/>
  <c r="F62" i="20"/>
  <c r="F63" i="20"/>
  <c r="F64" i="20"/>
  <c r="F65" i="20"/>
  <c r="F66" i="20"/>
  <c r="F67" i="20"/>
  <c r="F68" i="20"/>
  <c r="F69" i="20"/>
  <c r="F70" i="20"/>
  <c r="F71" i="20"/>
  <c r="F72" i="20"/>
  <c r="F73" i="20"/>
  <c r="F74" i="20"/>
  <c r="F75" i="20"/>
  <c r="F76" i="20"/>
  <c r="F77" i="20"/>
  <c r="F78" i="20"/>
  <c r="F79" i="20"/>
  <c r="F80" i="20"/>
  <c r="F81" i="20"/>
  <c r="F82" i="20"/>
  <c r="F83" i="20"/>
  <c r="F3" i="20"/>
  <c r="E4" i="20"/>
  <c r="E5" i="20"/>
  <c r="E6" i="20"/>
  <c r="E7" i="20"/>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E64" i="20"/>
  <c r="E65" i="20"/>
  <c r="E66" i="20"/>
  <c r="E67" i="20"/>
  <c r="E68" i="20"/>
  <c r="E69" i="20"/>
  <c r="E70" i="20"/>
  <c r="E71" i="20"/>
  <c r="E72" i="20"/>
  <c r="E73" i="20"/>
  <c r="E74" i="20"/>
  <c r="E75" i="20"/>
  <c r="E76" i="20"/>
  <c r="E77" i="20"/>
  <c r="E78" i="20"/>
  <c r="E79" i="20"/>
  <c r="E80" i="20"/>
  <c r="E81" i="20"/>
  <c r="E82" i="20"/>
  <c r="E83" i="20"/>
  <c r="E3" i="20"/>
  <c r="H4" i="21"/>
  <c r="H5" i="21"/>
  <c r="H6" i="21"/>
  <c r="H7" i="21"/>
  <c r="H8" i="21"/>
  <c r="H9" i="21"/>
  <c r="H10" i="21"/>
  <c r="H11" i="21"/>
  <c r="H12" i="21"/>
  <c r="H13" i="21"/>
  <c r="H14" i="21"/>
  <c r="H15" i="21"/>
  <c r="H16" i="21"/>
  <c r="H17" i="21"/>
  <c r="H18" i="21"/>
  <c r="H19" i="21"/>
  <c r="H20" i="21"/>
  <c r="H21" i="21"/>
  <c r="H22" i="21"/>
  <c r="H23" i="21"/>
  <c r="H24" i="21"/>
  <c r="H25" i="21"/>
  <c r="H26" i="21"/>
  <c r="H27" i="21"/>
  <c r="H3" i="21"/>
  <c r="G4" i="21"/>
  <c r="G5" i="21"/>
  <c r="G6" i="21"/>
  <c r="G7" i="21"/>
  <c r="G8" i="21"/>
  <c r="G9" i="21"/>
  <c r="G10" i="21"/>
  <c r="G11" i="21"/>
  <c r="G12" i="21"/>
  <c r="G13" i="21"/>
  <c r="G14" i="21"/>
  <c r="G15" i="21"/>
  <c r="G16" i="21"/>
  <c r="G17" i="21"/>
  <c r="G18" i="21"/>
  <c r="G19" i="21"/>
  <c r="G20" i="21"/>
  <c r="G21" i="21"/>
  <c r="G22" i="21"/>
  <c r="G23" i="21"/>
  <c r="G24" i="21"/>
  <c r="G25" i="21"/>
  <c r="G26" i="21"/>
  <c r="G27" i="21"/>
  <c r="G3" i="21"/>
  <c r="F4" i="21"/>
  <c r="F5" i="21"/>
  <c r="F6" i="21"/>
  <c r="F7" i="21"/>
  <c r="F8" i="21"/>
  <c r="F9" i="21"/>
  <c r="F10" i="21"/>
  <c r="F11" i="21"/>
  <c r="F12" i="21"/>
  <c r="F13" i="21"/>
  <c r="F14" i="21"/>
  <c r="F15" i="21"/>
  <c r="F16" i="21"/>
  <c r="F17" i="21"/>
  <c r="F18" i="21"/>
  <c r="F19" i="21"/>
  <c r="F20" i="21"/>
  <c r="F21" i="21"/>
  <c r="F22" i="21"/>
  <c r="F23" i="21"/>
  <c r="F24" i="21"/>
  <c r="F25" i="21"/>
  <c r="F26" i="21"/>
  <c r="F27" i="21"/>
  <c r="F3" i="21"/>
  <c r="E4" i="21"/>
  <c r="E5" i="21"/>
  <c r="E6" i="21"/>
  <c r="E7" i="21"/>
  <c r="E8" i="21"/>
  <c r="E9" i="21"/>
  <c r="E10" i="21"/>
  <c r="E11" i="21"/>
  <c r="E12" i="21"/>
  <c r="E13" i="21"/>
  <c r="E14" i="21"/>
  <c r="E15" i="21"/>
  <c r="E16" i="21"/>
  <c r="E17" i="21"/>
  <c r="E18" i="21"/>
  <c r="E19" i="21"/>
  <c r="E20" i="21"/>
  <c r="E21" i="21"/>
  <c r="E22" i="21"/>
  <c r="E23" i="21"/>
  <c r="E24" i="21"/>
  <c r="E25" i="21"/>
  <c r="E26" i="21"/>
  <c r="E27" i="21"/>
  <c r="E3" i="21"/>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3" i="22"/>
  <c r="G4" i="22"/>
  <c r="G5" i="22"/>
  <c r="G6" i="22"/>
  <c r="G7"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3" i="22"/>
  <c r="E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3" i="22"/>
  <c r="H4" i="23"/>
  <c r="H5" i="23"/>
  <c r="H6" i="23"/>
  <c r="H7" i="23"/>
  <c r="H8" i="23"/>
  <c r="H9" i="23"/>
  <c r="H10" i="23"/>
  <c r="H11" i="23"/>
  <c r="H12" i="23"/>
  <c r="H13" i="23"/>
  <c r="H14" i="23"/>
  <c r="H15" i="23"/>
  <c r="H16" i="23"/>
  <c r="H17" i="23"/>
  <c r="H18" i="23"/>
  <c r="H19" i="23"/>
  <c r="H20" i="23"/>
  <c r="H21" i="23"/>
  <c r="H22" i="23"/>
  <c r="H23" i="23"/>
  <c r="H24" i="23"/>
  <c r="H25" i="23"/>
  <c r="H26" i="23"/>
  <c r="H27" i="23"/>
  <c r="H28" i="23"/>
  <c r="H29" i="23"/>
  <c r="H30" i="23"/>
  <c r="H31" i="23"/>
  <c r="H32" i="23"/>
  <c r="H33" i="23"/>
  <c r="H34" i="23"/>
  <c r="H35" i="23"/>
  <c r="H36" i="23"/>
  <c r="H37" i="23"/>
  <c r="H38" i="23"/>
  <c r="H39" i="23"/>
  <c r="H40" i="23"/>
  <c r="H41" i="23"/>
  <c r="H42" i="23"/>
  <c r="H43" i="23"/>
  <c r="H44" i="23"/>
  <c r="H3" i="23"/>
  <c r="G4" i="23"/>
  <c r="G5" i="23"/>
  <c r="G6" i="23"/>
  <c r="G7" i="23"/>
  <c r="G8" i="23"/>
  <c r="G9" i="23"/>
  <c r="G10" i="23"/>
  <c r="G11" i="23"/>
  <c r="G12" i="23"/>
  <c r="G13" i="23"/>
  <c r="G14" i="23"/>
  <c r="G15" i="23"/>
  <c r="G16" i="23"/>
  <c r="G17" i="23"/>
  <c r="G18" i="23"/>
  <c r="G19" i="23"/>
  <c r="G20" i="23"/>
  <c r="G21" i="23"/>
  <c r="G22" i="23"/>
  <c r="G23" i="23"/>
  <c r="G24" i="23"/>
  <c r="G25" i="23"/>
  <c r="G26" i="23"/>
  <c r="G27" i="23"/>
  <c r="G28" i="23"/>
  <c r="G29" i="23"/>
  <c r="G30" i="23"/>
  <c r="G31" i="23"/>
  <c r="G32" i="23"/>
  <c r="G33" i="23"/>
  <c r="G34" i="23"/>
  <c r="G35" i="23"/>
  <c r="G36" i="23"/>
  <c r="G37" i="23"/>
  <c r="G38" i="23"/>
  <c r="G39" i="23"/>
  <c r="G40" i="23"/>
  <c r="G41" i="23"/>
  <c r="G42" i="23"/>
  <c r="G43" i="23"/>
  <c r="G44" i="23"/>
  <c r="G3" i="23"/>
  <c r="F4" i="23"/>
  <c r="F5" i="23"/>
  <c r="F6" i="23"/>
  <c r="F7" i="23"/>
  <c r="F8" i="23"/>
  <c r="F9" i="23"/>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F41" i="23"/>
  <c r="F42" i="23"/>
  <c r="F43" i="23"/>
  <c r="F44" i="23"/>
  <c r="F3" i="23"/>
  <c r="E4" i="23"/>
  <c r="E5" i="23"/>
  <c r="E6" i="23"/>
  <c r="E7" i="23"/>
  <c r="E8"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3" i="23"/>
  <c r="H4" i="24"/>
  <c r="H5" i="24"/>
  <c r="H6" i="24"/>
  <c r="H7" i="24"/>
  <c r="H8" i="24"/>
  <c r="H9" i="24"/>
  <c r="H10" i="24"/>
  <c r="H11" i="24"/>
  <c r="H12" i="24"/>
  <c r="H13" i="24"/>
  <c r="H14" i="24"/>
  <c r="H15" i="24"/>
  <c r="H16" i="24"/>
  <c r="H17" i="24"/>
  <c r="H18" i="24"/>
  <c r="H19" i="24"/>
  <c r="H20" i="24"/>
  <c r="H21" i="24"/>
  <c r="H22" i="24"/>
  <c r="H23" i="24"/>
  <c r="H24" i="24"/>
  <c r="H25" i="24"/>
  <c r="H26" i="24"/>
  <c r="H27" i="24"/>
  <c r="H28" i="24"/>
  <c r="H3" i="24"/>
  <c r="G4" i="24"/>
  <c r="G5" i="24"/>
  <c r="G6" i="24"/>
  <c r="G7" i="24"/>
  <c r="G8" i="24"/>
  <c r="G9" i="24"/>
  <c r="G10" i="24"/>
  <c r="G11" i="24"/>
  <c r="G12" i="24"/>
  <c r="G13" i="24"/>
  <c r="G14" i="24"/>
  <c r="G15" i="24"/>
  <c r="G16" i="24"/>
  <c r="G17" i="24"/>
  <c r="G18" i="24"/>
  <c r="G19" i="24"/>
  <c r="G20" i="24"/>
  <c r="G21" i="24"/>
  <c r="G22" i="24"/>
  <c r="G23" i="24"/>
  <c r="G24" i="24"/>
  <c r="G25" i="24"/>
  <c r="G26" i="24"/>
  <c r="G27" i="24"/>
  <c r="G28" i="24"/>
  <c r="G3" i="24"/>
  <c r="F4" i="24"/>
  <c r="F5" i="24"/>
  <c r="F6" i="24"/>
  <c r="F7" i="24"/>
  <c r="F8" i="24"/>
  <c r="F9" i="24"/>
  <c r="F10" i="24"/>
  <c r="F11" i="24"/>
  <c r="F12" i="24"/>
  <c r="F13" i="24"/>
  <c r="F14" i="24"/>
  <c r="F15" i="24"/>
  <c r="F16" i="24"/>
  <c r="F17" i="24"/>
  <c r="F18" i="24"/>
  <c r="F19" i="24"/>
  <c r="F20" i="24"/>
  <c r="F21" i="24"/>
  <c r="F22" i="24"/>
  <c r="F23" i="24"/>
  <c r="F24" i="24"/>
  <c r="F25" i="24"/>
  <c r="F26" i="24"/>
  <c r="F27" i="24"/>
  <c r="F28" i="24"/>
  <c r="F3" i="24"/>
  <c r="E4" i="24"/>
  <c r="E5" i="24"/>
  <c r="E6" i="24"/>
  <c r="E7" i="24"/>
  <c r="E8" i="24"/>
  <c r="E9" i="24"/>
  <c r="E10" i="24"/>
  <c r="E11" i="24"/>
  <c r="E12" i="24"/>
  <c r="E13" i="24"/>
  <c r="E14" i="24"/>
  <c r="E15" i="24"/>
  <c r="E16" i="24"/>
  <c r="E17" i="24"/>
  <c r="E18" i="24"/>
  <c r="E19" i="24"/>
  <c r="E20" i="24"/>
  <c r="E21" i="24"/>
  <c r="E22" i="24"/>
  <c r="E23" i="24"/>
  <c r="E24" i="24"/>
  <c r="E25" i="24"/>
  <c r="E26" i="24"/>
  <c r="E27" i="24"/>
  <c r="E28" i="24"/>
  <c r="E3" i="24"/>
  <c r="H4" i="25"/>
  <c r="H5" i="25"/>
  <c r="H6" i="25"/>
  <c r="H7" i="25"/>
  <c r="H8" i="25"/>
  <c r="H9" i="25"/>
  <c r="H10" i="25"/>
  <c r="H11" i="25"/>
  <c r="H12" i="25"/>
  <c r="H13" i="25"/>
  <c r="H14"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3" i="25"/>
  <c r="G4" i="25"/>
  <c r="G5" i="25"/>
  <c r="G6" i="25"/>
  <c r="G7" i="25"/>
  <c r="G8" i="25"/>
  <c r="G9" i="25"/>
  <c r="G10" i="25"/>
  <c r="G11" i="25"/>
  <c r="G12"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3" i="25"/>
  <c r="F4" i="25"/>
  <c r="F5" i="25"/>
  <c r="F6" i="25"/>
  <c r="F7" i="25"/>
  <c r="F8" i="25"/>
  <c r="F9" i="25"/>
  <c r="F10" i="25"/>
  <c r="F11" i="25"/>
  <c r="F12" i="25"/>
  <c r="F13" i="25"/>
  <c r="F14"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3" i="25"/>
  <c r="E4" i="25"/>
  <c r="E5" i="25"/>
  <c r="E6" i="25"/>
  <c r="E7" i="25"/>
  <c r="E8" i="25"/>
  <c r="E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3" i="25"/>
  <c r="H4" i="26"/>
  <c r="H5" i="26"/>
  <c r="H6" i="26"/>
  <c r="H7" i="26"/>
  <c r="H8" i="26"/>
  <c r="H9" i="26"/>
  <c r="H10" i="26"/>
  <c r="H11" i="26"/>
  <c r="H12" i="26"/>
  <c r="H13" i="26"/>
  <c r="H14" i="26"/>
  <c r="H15" i="26"/>
  <c r="H16" i="26"/>
  <c r="H17" i="26"/>
  <c r="H18"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H44" i="26"/>
  <c r="H45" i="26"/>
  <c r="H46" i="26"/>
  <c r="H47" i="26"/>
  <c r="H48" i="26"/>
  <c r="H49" i="26"/>
  <c r="H50" i="26"/>
  <c r="H51" i="26"/>
  <c r="H52" i="26"/>
  <c r="H53" i="26"/>
  <c r="H54" i="26"/>
  <c r="H55" i="26"/>
  <c r="H56" i="26"/>
  <c r="H57" i="26"/>
  <c r="H58" i="26"/>
  <c r="H59" i="26"/>
  <c r="H60" i="26"/>
  <c r="H61" i="26"/>
  <c r="H62" i="26"/>
  <c r="H63" i="26"/>
  <c r="H64" i="26"/>
  <c r="H65" i="26"/>
  <c r="H66" i="26"/>
  <c r="H67" i="26"/>
  <c r="H68" i="26"/>
  <c r="H69" i="26"/>
  <c r="H70" i="26"/>
  <c r="H71" i="26"/>
  <c r="H72" i="26"/>
  <c r="H73" i="26"/>
  <c r="H74" i="26"/>
  <c r="H75" i="26"/>
  <c r="H76" i="26"/>
  <c r="H77" i="26"/>
  <c r="H78" i="26"/>
  <c r="H79" i="26"/>
  <c r="H80" i="26"/>
  <c r="H81" i="26"/>
  <c r="H82" i="26"/>
  <c r="H83" i="26"/>
  <c r="H84" i="26"/>
  <c r="H85" i="26"/>
  <c r="H86" i="26"/>
  <c r="H87" i="26"/>
  <c r="H88" i="26"/>
  <c r="H89" i="26"/>
  <c r="H90" i="26"/>
  <c r="H91" i="26"/>
  <c r="H92" i="26"/>
  <c r="H93" i="26"/>
  <c r="H94" i="26"/>
  <c r="H95" i="26"/>
  <c r="H96" i="26"/>
  <c r="H97" i="26"/>
  <c r="H98" i="26"/>
  <c r="H99" i="26"/>
  <c r="H100" i="26"/>
  <c r="H101" i="26"/>
  <c r="H102" i="26"/>
  <c r="H103" i="26"/>
  <c r="H104" i="26"/>
  <c r="H105" i="26"/>
  <c r="H106" i="26"/>
  <c r="H107" i="26"/>
  <c r="H108" i="26"/>
  <c r="H109" i="26"/>
  <c r="H110" i="26"/>
  <c r="H111" i="26"/>
  <c r="H112" i="26"/>
  <c r="H113" i="26"/>
  <c r="H114" i="26"/>
  <c r="H115" i="26"/>
  <c r="H116" i="26"/>
  <c r="H117" i="26"/>
  <c r="H118" i="26"/>
  <c r="H119" i="26"/>
  <c r="H3" i="26"/>
  <c r="G4" i="26"/>
  <c r="G5" i="26"/>
  <c r="G6" i="26"/>
  <c r="G7" i="26"/>
  <c r="G8" i="26"/>
  <c r="G9" i="26"/>
  <c r="G10" i="26"/>
  <c r="G11" i="26"/>
  <c r="G12" i="26"/>
  <c r="G13" i="26"/>
  <c r="G14" i="26"/>
  <c r="G15" i="26"/>
  <c r="G16" i="26"/>
  <c r="G17" i="26"/>
  <c r="G18" i="26"/>
  <c r="G19" i="26"/>
  <c r="G20" i="26"/>
  <c r="G21" i="26"/>
  <c r="G22" i="26"/>
  <c r="G23" i="26"/>
  <c r="G24" i="26"/>
  <c r="G25" i="26"/>
  <c r="G26" i="26"/>
  <c r="G27" i="26"/>
  <c r="G28" i="26"/>
  <c r="G29" i="26"/>
  <c r="G30" i="26"/>
  <c r="G31" i="26"/>
  <c r="G32" i="26"/>
  <c r="G33" i="26"/>
  <c r="G34" i="26"/>
  <c r="G35" i="26"/>
  <c r="G36" i="26"/>
  <c r="G37" i="26"/>
  <c r="G38" i="26"/>
  <c r="G39" i="26"/>
  <c r="G40" i="26"/>
  <c r="G41" i="26"/>
  <c r="G42" i="26"/>
  <c r="G43" i="26"/>
  <c r="G44" i="26"/>
  <c r="G45" i="26"/>
  <c r="G46" i="26"/>
  <c r="G47" i="26"/>
  <c r="G48" i="26"/>
  <c r="G49" i="26"/>
  <c r="G50" i="26"/>
  <c r="G51" i="26"/>
  <c r="G52" i="26"/>
  <c r="G53" i="26"/>
  <c r="G54" i="26"/>
  <c r="G55" i="26"/>
  <c r="G56" i="26"/>
  <c r="G57" i="26"/>
  <c r="G58" i="26"/>
  <c r="G59" i="26"/>
  <c r="G60" i="26"/>
  <c r="G61" i="26"/>
  <c r="G62" i="26"/>
  <c r="G63" i="26"/>
  <c r="G64" i="26"/>
  <c r="G65" i="26"/>
  <c r="G66" i="26"/>
  <c r="G67" i="26"/>
  <c r="G68" i="26"/>
  <c r="G69" i="26"/>
  <c r="G70" i="26"/>
  <c r="G71" i="26"/>
  <c r="G72" i="26"/>
  <c r="G73" i="26"/>
  <c r="G74" i="26"/>
  <c r="G75" i="26"/>
  <c r="G76" i="26"/>
  <c r="G77" i="26"/>
  <c r="G78" i="26"/>
  <c r="G79" i="26"/>
  <c r="G80" i="26"/>
  <c r="G81" i="26"/>
  <c r="G82" i="26"/>
  <c r="G83" i="26"/>
  <c r="G84" i="26"/>
  <c r="G85" i="26"/>
  <c r="G86" i="26"/>
  <c r="G87" i="26"/>
  <c r="G88" i="26"/>
  <c r="G89" i="26"/>
  <c r="G90" i="26"/>
  <c r="G91" i="26"/>
  <c r="G92" i="26"/>
  <c r="G93" i="26"/>
  <c r="G94" i="26"/>
  <c r="G95" i="26"/>
  <c r="G96" i="26"/>
  <c r="G97" i="26"/>
  <c r="G98" i="26"/>
  <c r="G99" i="26"/>
  <c r="G100" i="26"/>
  <c r="G101" i="26"/>
  <c r="G102" i="26"/>
  <c r="G103" i="26"/>
  <c r="G104" i="26"/>
  <c r="G105" i="26"/>
  <c r="G106" i="26"/>
  <c r="G107" i="26"/>
  <c r="G108" i="26"/>
  <c r="G109" i="26"/>
  <c r="G110" i="26"/>
  <c r="G111" i="26"/>
  <c r="G112" i="26"/>
  <c r="G113" i="26"/>
  <c r="G114" i="26"/>
  <c r="G115" i="26"/>
  <c r="G116" i="26"/>
  <c r="G117" i="26"/>
  <c r="G118" i="26"/>
  <c r="G119" i="26"/>
  <c r="G3" i="26"/>
  <c r="F4" i="26"/>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3" i="26"/>
  <c r="E4"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3" i="26"/>
  <c r="H4" i="27"/>
  <c r="H5" i="27"/>
  <c r="H6" i="27"/>
  <c r="H7" i="27"/>
  <c r="H8" i="27"/>
  <c r="H9" i="27"/>
  <c r="H10" i="27"/>
  <c r="H11" i="27"/>
  <c r="H12" i="27"/>
  <c r="H13" i="27"/>
  <c r="H14"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77" i="27"/>
  <c r="H78" i="27"/>
  <c r="H79" i="27"/>
  <c r="H80" i="27"/>
  <c r="H81" i="27"/>
  <c r="H82" i="27"/>
  <c r="H83" i="27"/>
  <c r="H84" i="27"/>
  <c r="H85" i="27"/>
  <c r="H86" i="27"/>
  <c r="H87" i="27"/>
  <c r="H88" i="27"/>
  <c r="H89" i="27"/>
  <c r="H90" i="27"/>
  <c r="H91" i="27"/>
  <c r="H92" i="27"/>
  <c r="H93" i="27"/>
  <c r="H94" i="27"/>
  <c r="H95" i="27"/>
  <c r="H96" i="27"/>
  <c r="H97" i="27"/>
  <c r="H98" i="27"/>
  <c r="H99" i="27"/>
  <c r="H100" i="27"/>
  <c r="H101" i="27"/>
  <c r="H102" i="27"/>
  <c r="H103" i="27"/>
  <c r="H104" i="27"/>
  <c r="H105" i="27"/>
  <c r="H106" i="27"/>
  <c r="H107" i="27"/>
  <c r="H108" i="27"/>
  <c r="H109" i="27"/>
  <c r="H110" i="27"/>
  <c r="H111" i="27"/>
  <c r="H112" i="27"/>
  <c r="H113" i="27"/>
  <c r="H114" i="27"/>
  <c r="H115" i="27"/>
  <c r="H116" i="27"/>
  <c r="H117" i="27"/>
  <c r="H118" i="27"/>
  <c r="H119" i="27"/>
  <c r="H120" i="27"/>
  <c r="H121" i="27"/>
  <c r="H122" i="27"/>
  <c r="H123" i="27"/>
  <c r="H124" i="27"/>
  <c r="H125" i="27"/>
  <c r="H126" i="27"/>
  <c r="H127" i="27"/>
  <c r="H128" i="27"/>
  <c r="H129" i="27"/>
  <c r="H130" i="27"/>
  <c r="H3" i="27"/>
  <c r="G4" i="27"/>
  <c r="G5" i="27"/>
  <c r="G6" i="27"/>
  <c r="G7" i="27"/>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G80" i="27"/>
  <c r="G81" i="27"/>
  <c r="G82" i="27"/>
  <c r="G83" i="27"/>
  <c r="G84" i="27"/>
  <c r="G85" i="27"/>
  <c r="G86" i="27"/>
  <c r="G87" i="27"/>
  <c r="G88" i="27"/>
  <c r="G89" i="27"/>
  <c r="G90" i="27"/>
  <c r="G91" i="27"/>
  <c r="G92" i="27"/>
  <c r="G93" i="27"/>
  <c r="G94" i="27"/>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3" i="27"/>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27" i="27"/>
  <c r="F128" i="27"/>
  <c r="F129" i="27"/>
  <c r="F130" i="27"/>
  <c r="F3" i="27"/>
  <c r="E4" i="27"/>
  <c r="E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3" i="27"/>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3" i="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 i="2"/>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3" i="4"/>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3" i="5"/>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 i="6"/>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3" i="7"/>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3" i="17"/>
  <c r="G4" i="17"/>
  <c r="G5"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3" i="17"/>
  <c r="F4" i="17"/>
  <c r="F5" i="17"/>
  <c r="F6" i="17"/>
  <c r="F7"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3" i="17"/>
  <c r="H4" i="28"/>
  <c r="H5" i="28"/>
  <c r="H6" i="28"/>
  <c r="H7" i="28"/>
  <c r="H8" i="28"/>
  <c r="H9"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H45" i="28"/>
  <c r="H46" i="28"/>
  <c r="H47" i="28"/>
  <c r="H48" i="28"/>
  <c r="H49" i="28"/>
  <c r="H50" i="28"/>
  <c r="H51" i="28"/>
  <c r="H52" i="28"/>
  <c r="H53" i="28"/>
  <c r="H54" i="28"/>
  <c r="H55" i="28"/>
  <c r="H56" i="28"/>
  <c r="H57" i="28"/>
  <c r="H58" i="28"/>
  <c r="H59" i="28"/>
  <c r="H60" i="28"/>
  <c r="H61" i="28"/>
  <c r="H62" i="28"/>
  <c r="H63" i="28"/>
  <c r="H64" i="28"/>
  <c r="H65" i="28"/>
  <c r="H66" i="28"/>
  <c r="H67" i="28"/>
  <c r="H68" i="28"/>
  <c r="H69" i="28"/>
  <c r="H70" i="28"/>
  <c r="H71" i="28"/>
  <c r="H72" i="28"/>
  <c r="H73" i="28"/>
  <c r="H74" i="28"/>
  <c r="H75" i="28"/>
  <c r="H76" i="28"/>
  <c r="H77" i="28"/>
  <c r="H78" i="28"/>
  <c r="H79" i="28"/>
  <c r="H80" i="28"/>
  <c r="H81" i="28"/>
  <c r="H82" i="28"/>
  <c r="H83" i="28"/>
  <c r="H84" i="28"/>
  <c r="H85" i="28"/>
  <c r="H86" i="28"/>
  <c r="H87" i="28"/>
  <c r="H88" i="28"/>
  <c r="H89" i="28"/>
  <c r="H90" i="28"/>
  <c r="H91" i="28"/>
  <c r="H92" i="28"/>
  <c r="H93" i="28"/>
  <c r="H94" i="28"/>
  <c r="H95" i="28"/>
  <c r="H96" i="28"/>
  <c r="H97" i="28"/>
  <c r="H98" i="28"/>
  <c r="H99" i="28"/>
  <c r="H100" i="28"/>
  <c r="H101" i="28"/>
  <c r="H102" i="28"/>
  <c r="H103" i="28"/>
  <c r="H104" i="28"/>
  <c r="H105" i="28"/>
  <c r="H106" i="28"/>
  <c r="H107" i="28"/>
  <c r="H108" i="28"/>
  <c r="H109" i="28"/>
  <c r="H110" i="28"/>
  <c r="H111" i="28"/>
  <c r="H112" i="28"/>
  <c r="H113" i="28"/>
  <c r="H114" i="28"/>
  <c r="H115" i="28"/>
  <c r="G4" i="28"/>
  <c r="G5" i="28"/>
  <c r="G6"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H3" i="28"/>
  <c r="G3" i="28"/>
  <c r="F4" i="28"/>
  <c r="F5" i="28"/>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3" i="28"/>
  <c r="E4" i="28"/>
  <c r="E5" i="28"/>
  <c r="E6" i="28"/>
  <c r="E7" i="28"/>
  <c r="E8" i="28"/>
  <c r="E9" i="28"/>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E53" i="28"/>
  <c r="E54" i="28"/>
  <c r="E55" i="28"/>
  <c r="E56" i="28"/>
  <c r="E57" i="28"/>
  <c r="E58" i="28"/>
  <c r="E59" i="28"/>
  <c r="E60" i="28"/>
  <c r="E61" i="28"/>
  <c r="E62" i="28"/>
  <c r="E63" i="28"/>
  <c r="E64" i="28"/>
  <c r="E65" i="28"/>
  <c r="E66" i="28"/>
  <c r="E67" i="28"/>
  <c r="E68" i="28"/>
  <c r="E69" i="28"/>
  <c r="E70" i="28"/>
  <c r="E71" i="28"/>
  <c r="E72" i="28"/>
  <c r="E73" i="28"/>
  <c r="E74" i="28"/>
  <c r="E75" i="28"/>
  <c r="E76" i="28"/>
  <c r="E77" i="28"/>
  <c r="E78" i="28"/>
  <c r="E79" i="28"/>
  <c r="E80" i="28"/>
  <c r="E81" i="28"/>
  <c r="E82" i="28"/>
  <c r="E83" i="28"/>
  <c r="E84" i="28"/>
  <c r="E85" i="28"/>
  <c r="E86" i="28"/>
  <c r="E87" i="28"/>
  <c r="E88" i="28"/>
  <c r="E89" i="28"/>
  <c r="E90" i="28"/>
  <c r="E91" i="28"/>
  <c r="E92" i="28"/>
  <c r="E93" i="28"/>
  <c r="E94" i="28"/>
  <c r="E95" i="28"/>
  <c r="E96" i="28"/>
  <c r="E97" i="28"/>
  <c r="E98" i="28"/>
  <c r="E99" i="28"/>
  <c r="E100" i="28"/>
  <c r="E101" i="28"/>
  <c r="E102" i="28"/>
  <c r="E103" i="28"/>
  <c r="E104" i="28"/>
  <c r="E105" i="28"/>
  <c r="E106" i="28"/>
  <c r="E107" i="28"/>
  <c r="E108" i="28"/>
  <c r="E109" i="28"/>
  <c r="E110" i="28"/>
  <c r="E111" i="28"/>
  <c r="E112" i="28"/>
  <c r="E113" i="28"/>
  <c r="E114" i="28"/>
  <c r="E115" i="28"/>
  <c r="E3" i="28"/>
</calcChain>
</file>

<file path=xl/sharedStrings.xml><?xml version="1.0" encoding="utf-8"?>
<sst xmlns="http://schemas.openxmlformats.org/spreadsheetml/2006/main" count="54670" uniqueCount="6184">
  <si>
    <t xml:space="preserve">Local agency--please complete these columns. </t>
  </si>
  <si>
    <t>College
Number</t>
  </si>
  <si>
    <t>College or District Name</t>
  </si>
  <si>
    <t>2010 Federal CIP</t>
  </si>
  <si>
    <t>2020 Federal CIP</t>
  </si>
  <si>
    <t>Local Agency Assessment: Reason for Disagreement and Suggested Replacement</t>
  </si>
  <si>
    <t>EFSC</t>
  </si>
  <si>
    <t>EASTERN FLORIDA STATE COLLEGE</t>
  </si>
  <si>
    <t>0351060108</t>
  </si>
  <si>
    <t>GULF COAST STATE COLLEGE</t>
  </si>
  <si>
    <t>0351060112</t>
  </si>
  <si>
    <t>0351080503</t>
  </si>
  <si>
    <t>510805</t>
  </si>
  <si>
    <t>Pharmacy Technician/Assistant.</t>
  </si>
  <si>
    <t>0351090405</t>
  </si>
  <si>
    <t>510904</t>
  </si>
  <si>
    <t>Emergency Medical Technology/Technician (EMT Paramedic).</t>
  </si>
  <si>
    <t>0351090408</t>
  </si>
  <si>
    <t>0351090904</t>
  </si>
  <si>
    <t>510909</t>
  </si>
  <si>
    <t>Surgical Technology/Technologist.</t>
  </si>
  <si>
    <t>0351090908</t>
  </si>
  <si>
    <t>0351091066</t>
  </si>
  <si>
    <t>0351380166</t>
  </si>
  <si>
    <t>0351390100</t>
  </si>
  <si>
    <t>0351390200</t>
  </si>
  <si>
    <t>513902</t>
  </si>
  <si>
    <t>Nursing Assistant/Aide and Patient Care Assistant/Aide.</t>
  </si>
  <si>
    <t>0419070904</t>
  </si>
  <si>
    <t>190709</t>
  </si>
  <si>
    <t>Child Care Provider/Assistant.</t>
  </si>
  <si>
    <t>0511100112</t>
  </si>
  <si>
    <t>111001</t>
  </si>
  <si>
    <t>Network and System Administration/Administrator.</t>
  </si>
  <si>
    <t>0511100114</t>
  </si>
  <si>
    <t>0511100118</t>
  </si>
  <si>
    <t>0511100121</t>
  </si>
  <si>
    <t>0552020401</t>
  </si>
  <si>
    <t>520204</t>
  </si>
  <si>
    <t>Office Management and Supervision.</t>
  </si>
  <si>
    <t>0552030205</t>
  </si>
  <si>
    <t>520302</t>
  </si>
  <si>
    <t>Accounting Technology/Technician and Bookkeeping.</t>
  </si>
  <si>
    <t>0610010507</t>
  </si>
  <si>
    <t>100105</t>
  </si>
  <si>
    <t>Communications Technology/Technician.</t>
  </si>
  <si>
    <t>0612050301</t>
  </si>
  <si>
    <t>120503</t>
  </si>
  <si>
    <t>Culinary Arts/Chef Training.</t>
  </si>
  <si>
    <t>0612050302</t>
  </si>
  <si>
    <t>0615000012</t>
  </si>
  <si>
    <t>150000</t>
  </si>
  <si>
    <t>Engineering Technologies/Technicians, General.</t>
  </si>
  <si>
    <t>0615030313</t>
  </si>
  <si>
    <t>150303</t>
  </si>
  <si>
    <t>Electrical, Electronic, and Communications Engineering Technology/Technician.</t>
  </si>
  <si>
    <t>0615040601</t>
  </si>
  <si>
    <t>150406</t>
  </si>
  <si>
    <t>Automation Engineer Technology/Technician.</t>
  </si>
  <si>
    <t>0650010208</t>
  </si>
  <si>
    <t>500102</t>
  </si>
  <si>
    <t>Digital Arts.</t>
  </si>
  <si>
    <t>0650060209</t>
  </si>
  <si>
    <t>500602</t>
  </si>
  <si>
    <t>Cinematography and Film/Video Production.</t>
  </si>
  <si>
    <t>0652020901</t>
  </si>
  <si>
    <t>520209</t>
  </si>
  <si>
    <t>Transportation/Mobility Management.</t>
  </si>
  <si>
    <t>0743010200</t>
  </si>
  <si>
    <t>430102</t>
  </si>
  <si>
    <t>Corrections.</t>
  </si>
  <si>
    <t>0743010700</t>
  </si>
  <si>
    <t>430107</t>
  </si>
  <si>
    <t>Criminal Justice/Police Science.</t>
  </si>
  <si>
    <t>0743010702</t>
  </si>
  <si>
    <t>0743020300</t>
  </si>
  <si>
    <t>430203</t>
  </si>
  <si>
    <t>Fire Science/Fire-fighting.</t>
  </si>
  <si>
    <t>0924010100</t>
  </si>
  <si>
    <t>1252090101</t>
  </si>
  <si>
    <t>520901</t>
  </si>
  <si>
    <t>Hospitality Administration/Management, General.</t>
  </si>
  <si>
    <t>1351000002</t>
  </si>
  <si>
    <t>510000</t>
  </si>
  <si>
    <t>1351060200</t>
  </si>
  <si>
    <t>510602</t>
  </si>
  <si>
    <t>Dental Hygiene/Hygienist.</t>
  </si>
  <si>
    <t>1351080601</t>
  </si>
  <si>
    <t>510806</t>
  </si>
  <si>
    <t>Physical Therapy Assistant.</t>
  </si>
  <si>
    <t>1351090402</t>
  </si>
  <si>
    <t>1351090700</t>
  </si>
  <si>
    <t>510907</t>
  </si>
  <si>
    <t>Medical Radiologic Technology/Science - Radiation Therapist.</t>
  </si>
  <si>
    <t>1351090800</t>
  </si>
  <si>
    <t>510908</t>
  </si>
  <si>
    <t>Respiratory Care Therapy/Therapist.</t>
  </si>
  <si>
    <t>1351090900</t>
  </si>
  <si>
    <t>1351091004</t>
  </si>
  <si>
    <t>510910</t>
  </si>
  <si>
    <t>Diagnostic Medical Sonography/Sonographer and Ultrasound Technician.</t>
  </si>
  <si>
    <t>1351380100</t>
  </si>
  <si>
    <t>513801</t>
  </si>
  <si>
    <t>Registered Nursing/Registered Nurse.</t>
  </si>
  <si>
    <t>1413121003</t>
  </si>
  <si>
    <t>1511020100</t>
  </si>
  <si>
    <t>1511100112</t>
  </si>
  <si>
    <t>1552020102</t>
  </si>
  <si>
    <t>520201</t>
  </si>
  <si>
    <t>Business Administration and Management, General.</t>
  </si>
  <si>
    <t>1552030201</t>
  </si>
  <si>
    <t>1552070308</t>
  </si>
  <si>
    <t>520703</t>
  </si>
  <si>
    <t>Small Business Administration/Management.</t>
  </si>
  <si>
    <t>1611080103</t>
  </si>
  <si>
    <t>110801</t>
  </si>
  <si>
    <t>Web Page, Digital/Multimedia and Information Resources Design.</t>
  </si>
  <si>
    <t>1612050401</t>
  </si>
  <si>
    <t>120504</t>
  </si>
  <si>
    <t>Restaurant, Culinary, and Catering Management/Manager.</t>
  </si>
  <si>
    <t>1615000001</t>
  </si>
  <si>
    <t>1650050202</t>
  </si>
  <si>
    <t>500502</t>
  </si>
  <si>
    <t>Technical Theatre/Theatre Design and Technology.</t>
  </si>
  <si>
    <t>1715020101</t>
  </si>
  <si>
    <t>1722030200</t>
  </si>
  <si>
    <t>220302</t>
  </si>
  <si>
    <t>Legal Assistant/Paralegal.</t>
  </si>
  <si>
    <t>1743010302</t>
  </si>
  <si>
    <t>430103</t>
  </si>
  <si>
    <t>Criminal Justice/Law Enforcement Administration.</t>
  </si>
  <si>
    <t>1743020100</t>
  </si>
  <si>
    <t>THE COLLEGE OF THE FLORIDA KEYS</t>
  </si>
  <si>
    <t>0103060101</t>
  </si>
  <si>
    <t>030601</t>
  </si>
  <si>
    <t>Wildlife, Fish and Wildlands Science and Management.</t>
  </si>
  <si>
    <t>0103060102</t>
  </si>
  <si>
    <t>0249030400</t>
  </si>
  <si>
    <t>490304</t>
  </si>
  <si>
    <t>Diver, Professional and Instructor.</t>
  </si>
  <si>
    <t>0249030401</t>
  </si>
  <si>
    <t>0249030403</t>
  </si>
  <si>
    <t>0249030404</t>
  </si>
  <si>
    <t>0252070100</t>
  </si>
  <si>
    <t>520701</t>
  </si>
  <si>
    <t>Entrepreneurship/Entrepreneurial Studies.</t>
  </si>
  <si>
    <t>0252090402</t>
  </si>
  <si>
    <t>520904</t>
  </si>
  <si>
    <t>Hotel/Motel Administration/Management.</t>
  </si>
  <si>
    <t>0252090403</t>
  </si>
  <si>
    <t>0252090405</t>
  </si>
  <si>
    <t>0252090406</t>
  </si>
  <si>
    <t>0351390203</t>
  </si>
  <si>
    <t>0552020103</t>
  </si>
  <si>
    <t>0552020104</t>
  </si>
  <si>
    <t>0612050401</t>
  </si>
  <si>
    <t>0647060500</t>
  </si>
  <si>
    <t>470605</t>
  </si>
  <si>
    <t>Diesel Mechanics Technology/Technician.</t>
  </si>
  <si>
    <t>0647060512</t>
  </si>
  <si>
    <t>0647060516</t>
  </si>
  <si>
    <t>0846020105</t>
  </si>
  <si>
    <t>0846030204</t>
  </si>
  <si>
    <t>0846050302</t>
  </si>
  <si>
    <t>0847020103</t>
  </si>
  <si>
    <t>1103060100</t>
  </si>
  <si>
    <t>1252090100</t>
  </si>
  <si>
    <t>1511010307</t>
  </si>
  <si>
    <t>110103</t>
  </si>
  <si>
    <t>Information Technology.</t>
  </si>
  <si>
    <t>1511020101</t>
  </si>
  <si>
    <t>110201</t>
  </si>
  <si>
    <t>Computer Programming/Programmer, General.</t>
  </si>
  <si>
    <t>1612050400</t>
  </si>
  <si>
    <t>FSCJ</t>
  </si>
  <si>
    <t>FLORIDA STATE COLLEGE AT JACKSONVILLE</t>
  </si>
  <si>
    <t>0252090503</t>
  </si>
  <si>
    <t>520905</t>
  </si>
  <si>
    <t>Restaurant/Food Services Management.</t>
  </si>
  <si>
    <t>0252150107</t>
  </si>
  <si>
    <t>521501</t>
  </si>
  <si>
    <t>Real Estate.</t>
  </si>
  <si>
    <t>0252190803</t>
  </si>
  <si>
    <t>521908</t>
  </si>
  <si>
    <t>Business and Personal/Financial Services Marketing Operations.</t>
  </si>
  <si>
    <t>0252190805</t>
  </si>
  <si>
    <t>0252190806</t>
  </si>
  <si>
    <t>0252190807</t>
  </si>
  <si>
    <t>0252190810</t>
  </si>
  <si>
    <t>0312030102</t>
  </si>
  <si>
    <t>120301</t>
  </si>
  <si>
    <t>Funeral Service and Mortuary Science, General.</t>
  </si>
  <si>
    <t>0341010101</t>
  </si>
  <si>
    <t>410101</t>
  </si>
  <si>
    <t>Biology/Biotechnology Technology/Technician.</t>
  </si>
  <si>
    <t>0351070712</t>
  </si>
  <si>
    <t>510707</t>
  </si>
  <si>
    <t>Health Information/Medical Records Technology/Technician.</t>
  </si>
  <si>
    <t>0351070714</t>
  </si>
  <si>
    <t>0351080102</t>
  </si>
  <si>
    <t>510801</t>
  </si>
  <si>
    <t>Medical/Clinical Assistant.</t>
  </si>
  <si>
    <t>0351080104</t>
  </si>
  <si>
    <t>0351080506</t>
  </si>
  <si>
    <t>0351090415</t>
  </si>
  <si>
    <t>0351090416</t>
  </si>
  <si>
    <t>0351090703</t>
  </si>
  <si>
    <t>0351090905</t>
  </si>
  <si>
    <t>0351221100</t>
  </si>
  <si>
    <t>512211</t>
  </si>
  <si>
    <t>0351350100</t>
  </si>
  <si>
    <t>0351350102</t>
  </si>
  <si>
    <t>513501</t>
  </si>
  <si>
    <t>Massage Therapy/Therapeutic Massage.</t>
  </si>
  <si>
    <t>0450040807</t>
  </si>
  <si>
    <t>500408</t>
  </si>
  <si>
    <t>Interior Design.</t>
  </si>
  <si>
    <t>0511010311</t>
  </si>
  <si>
    <t>0511010312</t>
  </si>
  <si>
    <t>0511100113</t>
  </si>
  <si>
    <t>0511100117</t>
  </si>
  <si>
    <t>0511100119</t>
  </si>
  <si>
    <t>0511100120</t>
  </si>
  <si>
    <t>0545070213</t>
  </si>
  <si>
    <t>450702</t>
  </si>
  <si>
    <t>Geographic Information Science and Cartography.</t>
  </si>
  <si>
    <t>0552020403</t>
  </si>
  <si>
    <t>0552030203</t>
  </si>
  <si>
    <t>0552030204</t>
  </si>
  <si>
    <t>0552040704</t>
  </si>
  <si>
    <t>520407</t>
  </si>
  <si>
    <t>Business/Office Automation/Technology/Data Entry.</t>
  </si>
  <si>
    <t>0552070101</t>
  </si>
  <si>
    <t>0552070308</t>
  </si>
  <si>
    <t>0609070210</t>
  </si>
  <si>
    <t>090702</t>
  </si>
  <si>
    <t>Digital Communication and Media/Multimedia.</t>
  </si>
  <si>
    <t>0611080303</t>
  </si>
  <si>
    <t>110803</t>
  </si>
  <si>
    <t>Computer Graphics.</t>
  </si>
  <si>
    <t>0612040102</t>
  </si>
  <si>
    <t>120401</t>
  </si>
  <si>
    <t>Cosmetology/Cosmetologist, General.</t>
  </si>
  <si>
    <t>0612040805</t>
  </si>
  <si>
    <t>120408</t>
  </si>
  <si>
    <t>Facial Treatment Specialist/Facialist.</t>
  </si>
  <si>
    <t>0615000007</t>
  </si>
  <si>
    <t>0615000013</t>
  </si>
  <si>
    <t>0615050110</t>
  </si>
  <si>
    <t>150501</t>
  </si>
  <si>
    <t>Heating, Ventilation, Air Conditioning and Refrigeration Engineering Technology/Technician.</t>
  </si>
  <si>
    <t>0615050111</t>
  </si>
  <si>
    <t>0615061303</t>
  </si>
  <si>
    <t>150613</t>
  </si>
  <si>
    <t>Manufacturing Engineering Technology/Technician.</t>
  </si>
  <si>
    <t>0615080300</t>
  </si>
  <si>
    <t>150803</t>
  </si>
  <si>
    <t>Automotive Engineering Technology/Technician.</t>
  </si>
  <si>
    <t>0615080301</t>
  </si>
  <si>
    <t>0615130101</t>
  </si>
  <si>
    <t>151301</t>
  </si>
  <si>
    <t>Drafting and Design Technology/Technician, General.</t>
  </si>
  <si>
    <t>0615130204</t>
  </si>
  <si>
    <t>151302</t>
  </si>
  <si>
    <t>CAD/CADD Drafting and/or Design Technology/Technician.</t>
  </si>
  <si>
    <t>0626120101</t>
  </si>
  <si>
    <t>261201</t>
  </si>
  <si>
    <t>Biotechnology.</t>
  </si>
  <si>
    <t>0641030101</t>
  </si>
  <si>
    <t>410301</t>
  </si>
  <si>
    <t>Chemical Technology/Technician.</t>
  </si>
  <si>
    <t>0641030102</t>
  </si>
  <si>
    <t>0646030202</t>
  </si>
  <si>
    <t>460302</t>
  </si>
  <si>
    <t>Electrician.</t>
  </si>
  <si>
    <t>0647020106</t>
  </si>
  <si>
    <t>470201</t>
  </si>
  <si>
    <t>Heating, Air Conditioning, Ventilation and Refrigeration Maintenance Technology/Technician.</t>
  </si>
  <si>
    <t>0647020107</t>
  </si>
  <si>
    <t>0647060300</t>
  </si>
  <si>
    <t>0647060501</t>
  </si>
  <si>
    <t>0647060700</t>
  </si>
  <si>
    <t>0647060703</t>
  </si>
  <si>
    <t>470607</t>
  </si>
  <si>
    <t>Airframe Mechanics and Aircraft Maintenance Technology/Technician.</t>
  </si>
  <si>
    <t>0647060801</t>
  </si>
  <si>
    <t>470608</t>
  </si>
  <si>
    <t>Aircraft Powerplant Technology/Technician.</t>
  </si>
  <si>
    <t>0647061305</t>
  </si>
  <si>
    <t>470613</t>
  </si>
  <si>
    <t>Medium/Heavy Vehicle and Truck Technology/Technician.</t>
  </si>
  <si>
    <t>0648050805</t>
  </si>
  <si>
    <t>480508</t>
  </si>
  <si>
    <t>Welding Technology/Welder.</t>
  </si>
  <si>
    <t>0648051002</t>
  </si>
  <si>
    <t>480510</t>
  </si>
  <si>
    <t>Computer Numerically Controlled (CNC) Machinist Technology/CNC Machinist.</t>
  </si>
  <si>
    <t>0649010202</t>
  </si>
  <si>
    <t>490102</t>
  </si>
  <si>
    <t>Airline/Commercial/Professional Pilot and Flight Crew.</t>
  </si>
  <si>
    <t>0649010408</t>
  </si>
  <si>
    <t>490104</t>
  </si>
  <si>
    <t>Aviation/Airway Management and Operations.</t>
  </si>
  <si>
    <t>0649010409</t>
  </si>
  <si>
    <t>0649020500</t>
  </si>
  <si>
    <t>490205</t>
  </si>
  <si>
    <t>Truck and Bus Driver/Commercial Vehicle Operator and Instructor.</t>
  </si>
  <si>
    <t>0650050201</t>
  </si>
  <si>
    <t>0652020300</t>
  </si>
  <si>
    <t>520203</t>
  </si>
  <si>
    <t>Logistics, Materials, and Supply Chain Management.</t>
  </si>
  <si>
    <t>0703010403</t>
  </si>
  <si>
    <t>030104</t>
  </si>
  <si>
    <t>Environmental Science.</t>
  </si>
  <si>
    <t>0703010407</t>
  </si>
  <si>
    <t>0722030266</t>
  </si>
  <si>
    <t>0743010304</t>
  </si>
  <si>
    <t>0743020202</t>
  </si>
  <si>
    <t>0743020303</t>
  </si>
  <si>
    <t>0743030201</t>
  </si>
  <si>
    <t>430302</t>
  </si>
  <si>
    <t>Crisis/Emergency/Disaster Management.</t>
  </si>
  <si>
    <t>0743030202</t>
  </si>
  <si>
    <t>1312030100</t>
  </si>
  <si>
    <t>1341010100</t>
  </si>
  <si>
    <t>1351070700</t>
  </si>
  <si>
    <t>1351080103</t>
  </si>
  <si>
    <t>1351080300</t>
  </si>
  <si>
    <t>1351090100</t>
  </si>
  <si>
    <t>510901</t>
  </si>
  <si>
    <t>Cardiovascular Technology/Technologist.</t>
  </si>
  <si>
    <t>1351090701</t>
  </si>
  <si>
    <t>1351100405</t>
  </si>
  <si>
    <t>511004</t>
  </si>
  <si>
    <t>Clinical/Medical Laboratory Technician.</t>
  </si>
  <si>
    <t>1351100800</t>
  </si>
  <si>
    <t>511008</t>
  </si>
  <si>
    <t>Histologic Technician.</t>
  </si>
  <si>
    <t>1351180301</t>
  </si>
  <si>
    <t>511803</t>
  </si>
  <si>
    <t>Ophthalmic Technician/Technologist.</t>
  </si>
  <si>
    <t>1351221100</t>
  </si>
  <si>
    <t>1419070802</t>
  </si>
  <si>
    <t>190708</t>
  </si>
  <si>
    <t>Child Care and Support Services Management.</t>
  </si>
  <si>
    <t>1450040801</t>
  </si>
  <si>
    <t>1511010100</t>
  </si>
  <si>
    <t>110101</t>
  </si>
  <si>
    <t>1511010305</t>
  </si>
  <si>
    <t>1511100111</t>
  </si>
  <si>
    <t>1511100306</t>
  </si>
  <si>
    <t>1552020401</t>
  </si>
  <si>
    <t>1552030200</t>
  </si>
  <si>
    <t>1604090100</t>
  </si>
  <si>
    <t>040901</t>
  </si>
  <si>
    <t>Architectural Technology/Technician.</t>
  </si>
  <si>
    <t>1611080102</t>
  </si>
  <si>
    <t>1615040101</t>
  </si>
  <si>
    <t>1615100102</t>
  </si>
  <si>
    <t>151001</t>
  </si>
  <si>
    <t>Construction Engineering Technology/Technician.</t>
  </si>
  <si>
    <t>1647060700</t>
  </si>
  <si>
    <t>1649010200</t>
  </si>
  <si>
    <t>1649010400</t>
  </si>
  <si>
    <t>1649010401</t>
  </si>
  <si>
    <t>1649010403</t>
  </si>
  <si>
    <t>1649010404</t>
  </si>
  <si>
    <t>1652020501</t>
  </si>
  <si>
    <t>520205</t>
  </si>
  <si>
    <t>Operations Management and Supervision.</t>
  </si>
  <si>
    <t>1652020900</t>
  </si>
  <si>
    <t>1652020901</t>
  </si>
  <si>
    <t>1703010401</t>
  </si>
  <si>
    <t>1713100301</t>
  </si>
  <si>
    <t>1743010300</t>
  </si>
  <si>
    <t>1743020112</t>
  </si>
  <si>
    <t>430201</t>
  </si>
  <si>
    <t>Fire Prevention and Safety Technology/Technician.</t>
  </si>
  <si>
    <t>1743030200</t>
  </si>
  <si>
    <t>8888888888</t>
  </si>
  <si>
    <t>FLORIDA SOUTHWESTERN STATE COLLEGE</t>
  </si>
  <si>
    <t>0252080301</t>
  </si>
  <si>
    <t>520803</t>
  </si>
  <si>
    <t>Banking and Financial Support Services.</t>
  </si>
  <si>
    <t>0351150403</t>
  </si>
  <si>
    <t>0451159901</t>
  </si>
  <si>
    <t>511599</t>
  </si>
  <si>
    <t>Mental and Social Health Services and Allied Professions, Other.</t>
  </si>
  <si>
    <t>0451159905</t>
  </si>
  <si>
    <t>0511020103</t>
  </si>
  <si>
    <t>0511020200</t>
  </si>
  <si>
    <t>110202</t>
  </si>
  <si>
    <t>Computer Programming, Specific Applications.</t>
  </si>
  <si>
    <t>0552020109</t>
  </si>
  <si>
    <t>0552070306</t>
  </si>
  <si>
    <t>0743010601</t>
  </si>
  <si>
    <t>430106</t>
  </si>
  <si>
    <t>430406</t>
  </si>
  <si>
    <t>Forensic Science and Technology.</t>
  </si>
  <si>
    <t>1351150400</t>
  </si>
  <si>
    <t>1413121004</t>
  </si>
  <si>
    <t>131210</t>
  </si>
  <si>
    <t>Early Childhood Education and Teaching.</t>
  </si>
  <si>
    <t>1451159901</t>
  </si>
  <si>
    <t>1511080102</t>
  </si>
  <si>
    <t>1615130102</t>
  </si>
  <si>
    <t>1641030100</t>
  </si>
  <si>
    <t>1743010600</t>
  </si>
  <si>
    <t>DAYTONA STATE COLLEGE</t>
  </si>
  <si>
    <t>0351080100</t>
  </si>
  <si>
    <t>0351100901</t>
  </si>
  <si>
    <t>511009</t>
  </si>
  <si>
    <t>Phlebotomy Technician/Phlebotomist.</t>
  </si>
  <si>
    <t>0351390101</t>
  </si>
  <si>
    <t>513901</t>
  </si>
  <si>
    <t>Licensed Practical/Vocational Nurse Training.</t>
  </si>
  <si>
    <t>0412050312</t>
  </si>
  <si>
    <t>0450040805</t>
  </si>
  <si>
    <t>0511010307</t>
  </si>
  <si>
    <t>0511010367</t>
  </si>
  <si>
    <t>0511020166</t>
  </si>
  <si>
    <t>0511080103</t>
  </si>
  <si>
    <t>0551071605</t>
  </si>
  <si>
    <t>510716</t>
  </si>
  <si>
    <t>Medical Administrative/Executive Assistant and Medical Secretary.</t>
  </si>
  <si>
    <t>0552020166</t>
  </si>
  <si>
    <t>0610010513</t>
  </si>
  <si>
    <t>0610020216</t>
  </si>
  <si>
    <t>100202</t>
  </si>
  <si>
    <t>Radio and Television Broadcasting Technology/Technician.</t>
  </si>
  <si>
    <t>0612040200</t>
  </si>
  <si>
    <t>120402</t>
  </si>
  <si>
    <t>Barbering/Barber.</t>
  </si>
  <si>
    <t>0612050102</t>
  </si>
  <si>
    <t>120501</t>
  </si>
  <si>
    <t>Baking and Pastry Arts/Baker/Pastry Chef.</t>
  </si>
  <si>
    <t>0615130166</t>
  </si>
  <si>
    <t>0615130304</t>
  </si>
  <si>
    <t>151303</t>
  </si>
  <si>
    <t>Architectural Drafting and Architectural CAD/CADD.</t>
  </si>
  <si>
    <t>0646041506</t>
  </si>
  <si>
    <t>460415</t>
  </si>
  <si>
    <t>Building Construction Technology/Technician.</t>
  </si>
  <si>
    <t>0647010406</t>
  </si>
  <si>
    <t>470104</t>
  </si>
  <si>
    <t>Computer Installation and Repair Technology/Technician.</t>
  </si>
  <si>
    <t>0647060306</t>
  </si>
  <si>
    <t>470603</t>
  </si>
  <si>
    <t>Autobody/Collision and Repair Technology/Technician.</t>
  </si>
  <si>
    <t>0647060405</t>
  </si>
  <si>
    <t>470604</t>
  </si>
  <si>
    <t>Automobile/Automotive Mechanics Technology/Technician.</t>
  </si>
  <si>
    <t>0648050302</t>
  </si>
  <si>
    <t>0648050307</t>
  </si>
  <si>
    <t>480503</t>
  </si>
  <si>
    <t>Machine Shop Technology/Assistant.</t>
  </si>
  <si>
    <t>0648050806</t>
  </si>
  <si>
    <t>0819070910</t>
  </si>
  <si>
    <t>1351080303</t>
  </si>
  <si>
    <t>510803</t>
  </si>
  <si>
    <t>Occupational Therapist Assistant.</t>
  </si>
  <si>
    <t>1351180100</t>
  </si>
  <si>
    <t>511801</t>
  </si>
  <si>
    <t>Opticianry/Ophthalmic Dispensing Optician.</t>
  </si>
  <si>
    <t>1511010308</t>
  </si>
  <si>
    <t>1609070213</t>
  </si>
  <si>
    <t>1610020101</t>
  </si>
  <si>
    <t>100201</t>
  </si>
  <si>
    <t>1615030301</t>
  </si>
  <si>
    <t>1615080101</t>
  </si>
  <si>
    <t>150801</t>
  </si>
  <si>
    <t>Aeronautical/Aerospace Engineering Technology/Technician.</t>
  </si>
  <si>
    <t>1615120100</t>
  </si>
  <si>
    <t>151201</t>
  </si>
  <si>
    <t>Computer Engineering Technology/Technician.</t>
  </si>
  <si>
    <t>1650060500</t>
  </si>
  <si>
    <t>500605</t>
  </si>
  <si>
    <t>Photography.</t>
  </si>
  <si>
    <t>1650091300</t>
  </si>
  <si>
    <t>500913</t>
  </si>
  <si>
    <t>Music Technology.</t>
  </si>
  <si>
    <t>CHIPOLA COLLEGE</t>
  </si>
  <si>
    <t>0351090413</t>
  </si>
  <si>
    <t>0419070906</t>
  </si>
  <si>
    <t>0743010205</t>
  </si>
  <si>
    <t>0743020312</t>
  </si>
  <si>
    <t>1731050701</t>
  </si>
  <si>
    <t>310507</t>
  </si>
  <si>
    <t>Physical Fitness Technician.</t>
  </si>
  <si>
    <t>CCF</t>
  </si>
  <si>
    <t>COLLEGE OF CENTRAL FLORIDA</t>
  </si>
  <si>
    <t>0101010102</t>
  </si>
  <si>
    <t>010101</t>
  </si>
  <si>
    <t>Agricultural Business and Management, General.</t>
  </si>
  <si>
    <t>0101050701</t>
  </si>
  <si>
    <t>010507</t>
  </si>
  <si>
    <t>Equestrian/Equine Studies.</t>
  </si>
  <si>
    <t>0101050703</t>
  </si>
  <si>
    <t>0252140111</t>
  </si>
  <si>
    <t>521401</t>
  </si>
  <si>
    <t>Marketing/Marketing Management, General.</t>
  </si>
  <si>
    <t>0351070166</t>
  </si>
  <si>
    <t>0511010313</t>
  </si>
  <si>
    <t>0511100311</t>
  </si>
  <si>
    <t>111003</t>
  </si>
  <si>
    <t>Computer and Information Systems Security/Auditing/Information Assurance.</t>
  </si>
  <si>
    <t>0511100367</t>
  </si>
  <si>
    <t>0552020105</t>
  </si>
  <si>
    <t>0552120105</t>
  </si>
  <si>
    <t>521201</t>
  </si>
  <si>
    <t>Management Information Systems, General.</t>
  </si>
  <si>
    <t>0609070209</t>
  </si>
  <si>
    <t>0611050101</t>
  </si>
  <si>
    <t>110501</t>
  </si>
  <si>
    <t>Computer Systems Analysis/Analyst.</t>
  </si>
  <si>
    <t>0611080302</t>
  </si>
  <si>
    <t>0615070203</t>
  </si>
  <si>
    <t>150702</t>
  </si>
  <si>
    <t>Quality Control Technology/Technician.</t>
  </si>
  <si>
    <t>0615080503</t>
  </si>
  <si>
    <t>150805</t>
  </si>
  <si>
    <t>Mechanical/Mechanical Engineering Technology/Technician.</t>
  </si>
  <si>
    <t>0652020966</t>
  </si>
  <si>
    <t>1101010100</t>
  </si>
  <si>
    <t>1101050701</t>
  </si>
  <si>
    <t>1351060104</t>
  </si>
  <si>
    <t>510601</t>
  </si>
  <si>
    <t>Dental Assisting/Assistant.</t>
  </si>
  <si>
    <t>1552020404</t>
  </si>
  <si>
    <t>VALENCIA COLLEGE</t>
  </si>
  <si>
    <t>0101060503</t>
  </si>
  <si>
    <t>010605</t>
  </si>
  <si>
    <t>Landscaping and Groundskeeping.</t>
  </si>
  <si>
    <t>0101060504</t>
  </si>
  <si>
    <t>0101060505</t>
  </si>
  <si>
    <t>0252090508</t>
  </si>
  <si>
    <t>0252090905</t>
  </si>
  <si>
    <t>520909</t>
  </si>
  <si>
    <t>Hotel, Motel, and Restaurant Management.</t>
  </si>
  <si>
    <t>0351090166</t>
  </si>
  <si>
    <t>0351090767</t>
  </si>
  <si>
    <t>0511100115</t>
  </si>
  <si>
    <t>0511100116</t>
  </si>
  <si>
    <t>0511100122</t>
  </si>
  <si>
    <t>0609040217</t>
  </si>
  <si>
    <t>090402</t>
  </si>
  <si>
    <t>Broadcast Journalism.</t>
  </si>
  <si>
    <t>0609049902</t>
  </si>
  <si>
    <t>090499</t>
  </si>
  <si>
    <t>Journalism, Other.</t>
  </si>
  <si>
    <t>0610030414</t>
  </si>
  <si>
    <t>100304</t>
  </si>
  <si>
    <t>Animation, Interactive Technology, Video Graphics, and Special Effects.</t>
  </si>
  <si>
    <t>0611080304</t>
  </si>
  <si>
    <t>0612050104</t>
  </si>
  <si>
    <t>0612050105</t>
  </si>
  <si>
    <t>0615030309</t>
  </si>
  <si>
    <t>0615030310</t>
  </si>
  <si>
    <t>0615030411</t>
  </si>
  <si>
    <t>150304</t>
  </si>
  <si>
    <t>Laser and Optical Technology/Technician.</t>
  </si>
  <si>
    <t>0615040514</t>
  </si>
  <si>
    <t>150405</t>
  </si>
  <si>
    <t>Robotics Technology/Technician.</t>
  </si>
  <si>
    <t>0615100103</t>
  </si>
  <si>
    <t>0650010203</t>
  </si>
  <si>
    <t>0650010218</t>
  </si>
  <si>
    <t>0650060203</t>
  </si>
  <si>
    <t>0650091301</t>
  </si>
  <si>
    <t>0650091302</t>
  </si>
  <si>
    <t>0652020502</t>
  </si>
  <si>
    <t>0715020102</t>
  </si>
  <si>
    <t>150201</t>
  </si>
  <si>
    <t>Civil Engineering Technologies/Technicians.</t>
  </si>
  <si>
    <t>0743010306</t>
  </si>
  <si>
    <t>0743011202</t>
  </si>
  <si>
    <t>430112</t>
  </si>
  <si>
    <t>Securities Services Administration/Management.</t>
  </si>
  <si>
    <t>0743020111</t>
  </si>
  <si>
    <t>1101060502</t>
  </si>
  <si>
    <t>1252090500</t>
  </si>
  <si>
    <t>1552150100</t>
  </si>
  <si>
    <t>1609049901</t>
  </si>
  <si>
    <t>1611080300</t>
  </si>
  <si>
    <t>1612050102</t>
  </si>
  <si>
    <t>1615030304</t>
  </si>
  <si>
    <t>1650060213</t>
  </si>
  <si>
    <t>TALLAHASSEE COMMUNITY COLLEGE</t>
  </si>
  <si>
    <t>0419070907</t>
  </si>
  <si>
    <t>0419070908</t>
  </si>
  <si>
    <t>0511100302</t>
  </si>
  <si>
    <t>0609070219</t>
  </si>
  <si>
    <t>0647030303</t>
  </si>
  <si>
    <t>470303</t>
  </si>
  <si>
    <t>Industrial Mechanics and Maintenance Technology/Technician.</t>
  </si>
  <si>
    <t>0743010207</t>
  </si>
  <si>
    <t>0743010703</t>
  </si>
  <si>
    <t>1351080502</t>
  </si>
  <si>
    <t>1552020400</t>
  </si>
  <si>
    <t>SOUTH FLORIDA STATE COLLEGE</t>
  </si>
  <si>
    <t>0551071603</t>
  </si>
  <si>
    <t>0552020101</t>
  </si>
  <si>
    <t>0615040606</t>
  </si>
  <si>
    <t>0646030302</t>
  </si>
  <si>
    <t>460303</t>
  </si>
  <si>
    <t>Lineworker.</t>
  </si>
  <si>
    <t>0743039900</t>
  </si>
  <si>
    <t>430399</t>
  </si>
  <si>
    <t>Homeland Security, Other.</t>
  </si>
  <si>
    <t>1101110303</t>
  </si>
  <si>
    <t>011103</t>
  </si>
  <si>
    <t>Horticultural Science.</t>
  </si>
  <si>
    <t>1351070101</t>
  </si>
  <si>
    <t>510701</t>
  </si>
  <si>
    <t>Health/Health Care Administration/Management.</t>
  </si>
  <si>
    <t>1615040102</t>
  </si>
  <si>
    <t>150401</t>
  </si>
  <si>
    <t>Biomedical Technology/Technician.</t>
  </si>
  <si>
    <t>SEMINOLE STATE COLLEGE OF FLORIDA</t>
  </si>
  <si>
    <t>0351070201</t>
  </si>
  <si>
    <t>510702</t>
  </si>
  <si>
    <t>Hospital and Health Care Facilities Administration/Management.</t>
  </si>
  <si>
    <t>0413121000</t>
  </si>
  <si>
    <t>0419070913</t>
  </si>
  <si>
    <t>0552070309</t>
  </si>
  <si>
    <t>0609070211</t>
  </si>
  <si>
    <t>0615030508</t>
  </si>
  <si>
    <t>150305</t>
  </si>
  <si>
    <t>Telecommunications Technology/Technician.</t>
  </si>
  <si>
    <t>0615050304</t>
  </si>
  <si>
    <t>150503</t>
  </si>
  <si>
    <t>151701</t>
  </si>
  <si>
    <t>Energy Systems Technology/Technician.</t>
  </si>
  <si>
    <t>0615080302</t>
  </si>
  <si>
    <t>0646050312</t>
  </si>
  <si>
    <t>460503</t>
  </si>
  <si>
    <t>Plumbing Technology/Plumber.</t>
  </si>
  <si>
    <t>0647020108</t>
  </si>
  <si>
    <t>0713150100</t>
  </si>
  <si>
    <t>131501</t>
  </si>
  <si>
    <t>Teacher Assistant/Aide.</t>
  </si>
  <si>
    <t>0722030203</t>
  </si>
  <si>
    <t>0846050202</t>
  </si>
  <si>
    <t>1252140101</t>
  </si>
  <si>
    <t>1646041201</t>
  </si>
  <si>
    <t>460412</t>
  </si>
  <si>
    <t>Building/Construction Site Management/Manager.</t>
  </si>
  <si>
    <t>SANTA FE COLLEGE</t>
  </si>
  <si>
    <t>0351090866</t>
  </si>
  <si>
    <t>0351090903</t>
  </si>
  <si>
    <t>1101099901</t>
  </si>
  <si>
    <t>010999</t>
  </si>
  <si>
    <t>Animal Sciences, Other.</t>
  </si>
  <si>
    <t>1351090502</t>
  </si>
  <si>
    <t>510905</t>
  </si>
  <si>
    <t>Nuclear Medical Technology/Technologist.</t>
  </si>
  <si>
    <t>1511100307</t>
  </si>
  <si>
    <t>8888888881</t>
  </si>
  <si>
    <t>8888888882</t>
  </si>
  <si>
    <t>8888888883</t>
  </si>
  <si>
    <t>8888888884</t>
  </si>
  <si>
    <t>8888888889</t>
  </si>
  <si>
    <t>ST. PETERSBURG COLLEGE</t>
  </si>
  <si>
    <t>0252090507</t>
  </si>
  <si>
    <t>0312030166</t>
  </si>
  <si>
    <t>0351070707</t>
  </si>
  <si>
    <t>0351090403</t>
  </si>
  <si>
    <t>0351150102</t>
  </si>
  <si>
    <t>0351150300</t>
  </si>
  <si>
    <t>0451159903</t>
  </si>
  <si>
    <t>0451159906</t>
  </si>
  <si>
    <t>0615040107</t>
  </si>
  <si>
    <t>0615070202</t>
  </si>
  <si>
    <t>0630330106</t>
  </si>
  <si>
    <t>303301</t>
  </si>
  <si>
    <t>Sustainability Studies.</t>
  </si>
  <si>
    <t>0650060501</t>
  </si>
  <si>
    <t>0703010404</t>
  </si>
  <si>
    <t>0743020311</t>
  </si>
  <si>
    <t>1351080800</t>
  </si>
  <si>
    <t>510808</t>
  </si>
  <si>
    <t>018301</t>
  </si>
  <si>
    <t>Veterinary/Animal Health Technology/Technician and Veterinary Assistant.</t>
  </si>
  <si>
    <t>1351230703</t>
  </si>
  <si>
    <t>512307</t>
  </si>
  <si>
    <t>Orthotist/Prosthetist.</t>
  </si>
  <si>
    <t>1511080103</t>
  </si>
  <si>
    <t>1511100507</t>
  </si>
  <si>
    <t>1743011202</t>
  </si>
  <si>
    <t>1743011600</t>
  </si>
  <si>
    <t>1743011601</t>
  </si>
  <si>
    <t>430116</t>
  </si>
  <si>
    <t>430403</t>
  </si>
  <si>
    <t>Cyber/Computer Forensics and Counterterrorism.</t>
  </si>
  <si>
    <t>ST. JOHNS RIVER STATE COLLEGE</t>
  </si>
  <si>
    <t>0511010309</t>
  </si>
  <si>
    <t>0552020107</t>
  </si>
  <si>
    <t>0552020108</t>
  </si>
  <si>
    <t>POLK STATE COLLEGE</t>
  </si>
  <si>
    <t>0511010368</t>
  </si>
  <si>
    <t>0646030104</t>
  </si>
  <si>
    <t>460301</t>
  </si>
  <si>
    <t>0743010709</t>
  </si>
  <si>
    <t>PENSACOLA STATE COLLEGE</t>
  </si>
  <si>
    <t>0351090203</t>
  </si>
  <si>
    <t>510902</t>
  </si>
  <si>
    <t>Electrocardiograph Technology/Technician.</t>
  </si>
  <si>
    <t>0351390205</t>
  </si>
  <si>
    <t>0552120170</t>
  </si>
  <si>
    <t>0611100206</t>
  </si>
  <si>
    <t>111002</t>
  </si>
  <si>
    <t>System, Networking, and LAN/WAN Management/Manager.</t>
  </si>
  <si>
    <t>0612040902</t>
  </si>
  <si>
    <t>120409</t>
  </si>
  <si>
    <t>Aesthetician/Esthetician and Skin Care Specialist.</t>
  </si>
  <si>
    <t>0612041004</t>
  </si>
  <si>
    <t>120410</t>
  </si>
  <si>
    <t>Nail Technician/Specialist and Manicurist.</t>
  </si>
  <si>
    <t>0612050166</t>
  </si>
  <si>
    <t>0615000015</t>
  </si>
  <si>
    <t>0615080501</t>
  </si>
  <si>
    <t>0646020117</t>
  </si>
  <si>
    <t>460201</t>
  </si>
  <si>
    <t>Carpentry/Carpenter.</t>
  </si>
  <si>
    <t>0743010366</t>
  </si>
  <si>
    <t>1511100308</t>
  </si>
  <si>
    <t>BROWARD COLLEGE</t>
  </si>
  <si>
    <t>0351090503</t>
  </si>
  <si>
    <t>0511080166</t>
  </si>
  <si>
    <t>0511100166</t>
  </si>
  <si>
    <t>0511100568</t>
  </si>
  <si>
    <t>0552120166</t>
  </si>
  <si>
    <t>0552130166</t>
  </si>
  <si>
    <t>0615050303</t>
  </si>
  <si>
    <t>0647060418</t>
  </si>
  <si>
    <t>0647060419</t>
  </si>
  <si>
    <t>0647060505</t>
  </si>
  <si>
    <t>0647060506</t>
  </si>
  <si>
    <t>0647060513</t>
  </si>
  <si>
    <t>0647060908</t>
  </si>
  <si>
    <t>470609</t>
  </si>
  <si>
    <t>Avionics Maintenance Technology/Technician.</t>
  </si>
  <si>
    <t>0649010405</t>
  </si>
  <si>
    <t>0649010410</t>
  </si>
  <si>
    <t>0650060204</t>
  </si>
  <si>
    <t>0650060205</t>
  </si>
  <si>
    <t>0650060206</t>
  </si>
  <si>
    <t>0703010466</t>
  </si>
  <si>
    <t>0743019903</t>
  </si>
  <si>
    <t>430199</t>
  </si>
  <si>
    <t>Corrections and Criminal Justice, Other.</t>
  </si>
  <si>
    <t>1511100509</t>
  </si>
  <si>
    <t>111005</t>
  </si>
  <si>
    <t>Information Technology Project Management.</t>
  </si>
  <si>
    <t>1552120106</t>
  </si>
  <si>
    <t>1647060911</t>
  </si>
  <si>
    <t>PASCO-HERNANDO STATE COLLEGE</t>
  </si>
  <si>
    <t>0252080103</t>
  </si>
  <si>
    <t>520801</t>
  </si>
  <si>
    <t>Finance, General.</t>
  </si>
  <si>
    <t>0252080105</t>
  </si>
  <si>
    <t>0351070302</t>
  </si>
  <si>
    <t>510703</t>
  </si>
  <si>
    <t>Health Unit Coordinator/Ward Clerk.</t>
  </si>
  <si>
    <t>0552120101</t>
  </si>
  <si>
    <t>0743010710</t>
  </si>
  <si>
    <t>1252080100</t>
  </si>
  <si>
    <t>1252140100</t>
  </si>
  <si>
    <t>1552120107</t>
  </si>
  <si>
    <t>1615080102</t>
  </si>
  <si>
    <t>PALM BEACH STATE COLLEGE</t>
  </si>
  <si>
    <t>0252080303</t>
  </si>
  <si>
    <t>0252150101</t>
  </si>
  <si>
    <t>0252190809</t>
  </si>
  <si>
    <t>0351070706</t>
  </si>
  <si>
    <t>0351090766</t>
  </si>
  <si>
    <t>0351091005</t>
  </si>
  <si>
    <t>0351390202</t>
  </si>
  <si>
    <t>0419070866</t>
  </si>
  <si>
    <t>0419070905</t>
  </si>
  <si>
    <t>0419070914</t>
  </si>
  <si>
    <t>0615061302</t>
  </si>
  <si>
    <t>0647010106</t>
  </si>
  <si>
    <t>470101</t>
  </si>
  <si>
    <t>Electrical/Electronics Equipment Installation and Repair Technology/Technician, General.</t>
  </si>
  <si>
    <t>0647030201</t>
  </si>
  <si>
    <t>470302</t>
  </si>
  <si>
    <t>Heavy Equipment Maintenance Technology/Technician.</t>
  </si>
  <si>
    <t>0647060411</t>
  </si>
  <si>
    <t>0647060412</t>
  </si>
  <si>
    <t>0647060422</t>
  </si>
  <si>
    <t>0647061611</t>
  </si>
  <si>
    <t>470616</t>
  </si>
  <si>
    <t>Marine Maintenance/Fitter and Ship Repair Technology/Technician.</t>
  </si>
  <si>
    <t>0648050305</t>
  </si>
  <si>
    <t>0743020108</t>
  </si>
  <si>
    <t>1615030318</t>
  </si>
  <si>
    <t>NORTHWEST FLORIDA STATE COLLEGE</t>
  </si>
  <si>
    <t>0351090400</t>
  </si>
  <si>
    <t>0615000009</t>
  </si>
  <si>
    <t>1252020700</t>
  </si>
  <si>
    <t>NORTH FLORIDA COLLEGE</t>
  </si>
  <si>
    <t>0351070716</t>
  </si>
  <si>
    <t>0419070802</t>
  </si>
  <si>
    <t>0552040103</t>
  </si>
  <si>
    <t>520401</t>
  </si>
  <si>
    <t>Administrative Assistant and Secretarial Science, General.</t>
  </si>
  <si>
    <t>MIAMI DADE COLLEGE</t>
  </si>
  <si>
    <t>0252080302</t>
  </si>
  <si>
    <t>0252140112</t>
  </si>
  <si>
    <t>0511020110</t>
  </si>
  <si>
    <t>0511020307</t>
  </si>
  <si>
    <t>110203</t>
  </si>
  <si>
    <t>Computer Programming, Vendor/Product Certification.</t>
  </si>
  <si>
    <t>0511020309</t>
  </si>
  <si>
    <t>0550041118</t>
  </si>
  <si>
    <t>500411</t>
  </si>
  <si>
    <t>Game and Interactive Media Design.</t>
  </si>
  <si>
    <t>0552130101</t>
  </si>
  <si>
    <t>521301</t>
  </si>
  <si>
    <t>Management Science.</t>
  </si>
  <si>
    <t>0626120166</t>
  </si>
  <si>
    <t>0647060413</t>
  </si>
  <si>
    <t>0649010266</t>
  </si>
  <si>
    <t>0649010403</t>
  </si>
  <si>
    <t>0649010404</t>
  </si>
  <si>
    <t>0649010406</t>
  </si>
  <si>
    <t>0652020302</t>
  </si>
  <si>
    <t>0652020303</t>
  </si>
  <si>
    <t>0713100304</t>
  </si>
  <si>
    <t>0713100305</t>
  </si>
  <si>
    <t>0713100306</t>
  </si>
  <si>
    <t>131003</t>
  </si>
  <si>
    <t>Education/Teaching of Individuals with Hearing Impairments Including Deafness.</t>
  </si>
  <si>
    <t>0743010900</t>
  </si>
  <si>
    <t>430109</t>
  </si>
  <si>
    <t>Security and Loss Prevention Services.</t>
  </si>
  <si>
    <t>0743010907</t>
  </si>
  <si>
    <t>1252021210</t>
  </si>
  <si>
    <t>1351091200</t>
  </si>
  <si>
    <t>1511010306</t>
  </si>
  <si>
    <t>1550041100</t>
  </si>
  <si>
    <t>1552130101</t>
  </si>
  <si>
    <t>1610020202</t>
  </si>
  <si>
    <t>1610030400</t>
  </si>
  <si>
    <t>1611080301</t>
  </si>
  <si>
    <t>1615030302</t>
  </si>
  <si>
    <t>1615061307</t>
  </si>
  <si>
    <t>1626120100</t>
  </si>
  <si>
    <t>1652020301</t>
  </si>
  <si>
    <t>1713100304</t>
  </si>
  <si>
    <t>1713129901</t>
  </si>
  <si>
    <t>STATE COLLEGE OF FLORIDA, MANATEE-SARASOTA</t>
  </si>
  <si>
    <t>LAKE-SUMTER STATE COLLEGE</t>
  </si>
  <si>
    <t>0646030103</t>
  </si>
  <si>
    <t>0646030301</t>
  </si>
  <si>
    <t>FLORIDA GATEWAY COLLEGE</t>
  </si>
  <si>
    <t>0351070713</t>
  </si>
  <si>
    <t>INDIAN RIVER STATE COLLEGE</t>
  </si>
  <si>
    <t>0101030302</t>
  </si>
  <si>
    <t>010303</t>
  </si>
  <si>
    <t>Aquaculture.</t>
  </si>
  <si>
    <t>0522030103</t>
  </si>
  <si>
    <t>220301</t>
  </si>
  <si>
    <t>Legal Administrative Assistant/Secretary.</t>
  </si>
  <si>
    <t>0611020301</t>
  </si>
  <si>
    <t>0615050100</t>
  </si>
  <si>
    <t>0615050101</t>
  </si>
  <si>
    <t>0615050102</t>
  </si>
  <si>
    <t>0615050517</t>
  </si>
  <si>
    <t>150505</t>
  </si>
  <si>
    <t>151703</t>
  </si>
  <si>
    <t>Solar Energy Technology/Technician.</t>
  </si>
  <si>
    <t>0812050503</t>
  </si>
  <si>
    <t>0847060908</t>
  </si>
  <si>
    <t>1101000000</t>
  </si>
  <si>
    <t>010000</t>
  </si>
  <si>
    <t>Agriculture, General.</t>
  </si>
  <si>
    <t>1101030301</t>
  </si>
  <si>
    <t>1101060701</t>
  </si>
  <si>
    <t>010607</t>
  </si>
  <si>
    <t>Turf and Turfgrass Management.</t>
  </si>
  <si>
    <t>13990005SN</t>
  </si>
  <si>
    <t>990005</t>
  </si>
  <si>
    <t>13990006SN</t>
  </si>
  <si>
    <t>990006</t>
  </si>
  <si>
    <t>HILLSBOROUGH COMMUNITY COLLEGE</t>
  </si>
  <si>
    <t>0351071901</t>
  </si>
  <si>
    <t>510719</t>
  </si>
  <si>
    <t>Clinical Research Coordinator.</t>
  </si>
  <si>
    <t>0351100466</t>
  </si>
  <si>
    <t>0351100600</t>
  </si>
  <si>
    <t>511006</t>
  </si>
  <si>
    <t>Ophthalmic Laboratory Technology/Technician.</t>
  </si>
  <si>
    <t>0351180166</t>
  </si>
  <si>
    <t>0351180302</t>
  </si>
  <si>
    <t>0647061307</t>
  </si>
  <si>
    <t>0647061308</t>
  </si>
  <si>
    <t>0647061309</t>
  </si>
  <si>
    <t>0743010701</t>
  </si>
  <si>
    <t>0743019902</t>
  </si>
  <si>
    <t>0846041000</t>
  </si>
  <si>
    <t>0846050303</t>
  </si>
  <si>
    <t>0848050600</t>
  </si>
  <si>
    <t>1351071902</t>
  </si>
  <si>
    <t>1351180202</t>
  </si>
  <si>
    <t>511802</t>
  </si>
  <si>
    <t>Optometric Technician/Assistant.</t>
  </si>
  <si>
    <t>1351310301</t>
  </si>
  <si>
    <t>513103</t>
  </si>
  <si>
    <t>Dietetic Technician.</t>
  </si>
  <si>
    <t>0351080801</t>
  </si>
  <si>
    <t>0451159902</t>
  </si>
  <si>
    <t>0451159904</t>
  </si>
  <si>
    <t>0552020404</t>
  </si>
  <si>
    <t>0615061203</t>
  </si>
  <si>
    <t>150612</t>
  </si>
  <si>
    <t>Industrial Technology/Technician.</t>
  </si>
  <si>
    <t>0615080102</t>
  </si>
  <si>
    <t>0615080103</t>
  </si>
  <si>
    <t>0647061608</t>
  </si>
  <si>
    <t>1615080100</t>
  </si>
  <si>
    <t>1713129902</t>
  </si>
  <si>
    <t>131299</t>
  </si>
  <si>
    <t>Teacher Education and Professional Development, Specific Levels and Methods, Other.</t>
  </si>
  <si>
    <t>Career Cluster</t>
  </si>
  <si>
    <t>Program Type</t>
  </si>
  <si>
    <t>Specialized Career Education, Basic</t>
  </si>
  <si>
    <t>CAR</t>
  </si>
  <si>
    <t>Specialized Career Education, Advanced</t>
  </si>
  <si>
    <t>Agriculture, Food, and Natural Resources</t>
  </si>
  <si>
    <t>Skilled Cattle Worker</t>
  </si>
  <si>
    <t>CCC</t>
  </si>
  <si>
    <t>0101000001</t>
  </si>
  <si>
    <t>Horticulture Specialist</t>
  </si>
  <si>
    <t>Aquaculture Technology</t>
  </si>
  <si>
    <t>Equine Assistant Management</t>
  </si>
  <si>
    <t>Equine Technician</t>
  </si>
  <si>
    <t>Landscape &amp; Horticulture Specialist</t>
  </si>
  <si>
    <t>Landscape &amp; Horticulture Professional</t>
  </si>
  <si>
    <t>Landscape &amp; Horticulture Technician</t>
  </si>
  <si>
    <t>Nursery Management</t>
  </si>
  <si>
    <t>0101060602</t>
  </si>
  <si>
    <t>010606</t>
  </si>
  <si>
    <t>Plant Nursery Operations and Management.</t>
  </si>
  <si>
    <t>Landscape &amp; Turf Management</t>
  </si>
  <si>
    <t>0101060703</t>
  </si>
  <si>
    <t>Marine Mammal Behavior and Training</t>
  </si>
  <si>
    <t>Tropical Ornamental Mariculture Technician</t>
  </si>
  <si>
    <t>Veterinary Assisting</t>
  </si>
  <si>
    <t>0151080810</t>
  </si>
  <si>
    <t>Hazardous Materials Specialist</t>
  </si>
  <si>
    <t>Water Quality Technician</t>
  </si>
  <si>
    <t>Environmental Science Technician</t>
  </si>
  <si>
    <t>Water Treatment Technologies</t>
  </si>
  <si>
    <t>0715050603</t>
  </si>
  <si>
    <t>150506</t>
  </si>
  <si>
    <t>Water Quality and Wastewater Treatment Management and Recycling Technology/Technician.</t>
  </si>
  <si>
    <t>Wastewater Treatment Technologies</t>
  </si>
  <si>
    <t>0715050604</t>
  </si>
  <si>
    <t>Advanced Water Treatment Technologies</t>
  </si>
  <si>
    <t>0715050606</t>
  </si>
  <si>
    <t>Agricultural Production Technology</t>
  </si>
  <si>
    <t>AS</t>
  </si>
  <si>
    <t>Agribusiness Management</t>
  </si>
  <si>
    <t>Aquaculture Management</t>
  </si>
  <si>
    <t>Equine Studies</t>
  </si>
  <si>
    <t>Landscape &amp; Horticulture Technology</t>
  </si>
  <si>
    <t>Golf Course Operations</t>
  </si>
  <si>
    <t>Zoo Animal Technology</t>
  </si>
  <si>
    <t>Citrus Production Technology</t>
  </si>
  <si>
    <t>Marine Environmental Technology</t>
  </si>
  <si>
    <t>Veterinary Technology</t>
  </si>
  <si>
    <t>Environmental Science Technology</t>
  </si>
  <si>
    <t>Architecture &amp; Construction</t>
  </si>
  <si>
    <t>Air Conditioning, Refrigeration and Heating Systems Technology</t>
  </si>
  <si>
    <t>AAS</t>
  </si>
  <si>
    <t>Residential Air Conditioning, Refrigeration &amp; Heating Systems Assistant</t>
  </si>
  <si>
    <t>Residential Air Conditioning, Refrigeration &amp; Heating Systems Technician</t>
  </si>
  <si>
    <t>Heating. Ventilation, Air-Conditioning/Refrigeration (HVAC/R)1</t>
  </si>
  <si>
    <t>Heating. Ventilation, Air-Conditioning/Refrigeration (HVAC/R)</t>
  </si>
  <si>
    <t>Heating. Ventilation, Air-Conditioning/Refrigeration (HVAC/R)2</t>
  </si>
  <si>
    <t>0615050112</t>
  </si>
  <si>
    <t>Building Construction Specialist</t>
  </si>
  <si>
    <t>Drafting</t>
  </si>
  <si>
    <t>0615130100</t>
  </si>
  <si>
    <t>Advanced Computer-Aided Design Technical Certificate</t>
  </si>
  <si>
    <t>Computer Aided Drawing and Modeling</t>
  </si>
  <si>
    <t>0615130113</t>
  </si>
  <si>
    <t>Computer-Aided Design Technical Certificate</t>
  </si>
  <si>
    <t>Sustainable Design</t>
  </si>
  <si>
    <t>Brick and Block Masonry</t>
  </si>
  <si>
    <t>0646010103</t>
  </si>
  <si>
    <t>460101</t>
  </si>
  <si>
    <t>Mason/Masonry.</t>
  </si>
  <si>
    <t>Carpentry</t>
  </si>
  <si>
    <t>0646020116</t>
  </si>
  <si>
    <t>Electricity</t>
  </si>
  <si>
    <t>Electrician</t>
  </si>
  <si>
    <t>0646030204</t>
  </si>
  <si>
    <t>Painting and Decorating</t>
  </si>
  <si>
    <t>0646040800</t>
  </si>
  <si>
    <t>460408</t>
  </si>
  <si>
    <t>Painting/Painter and Wall Coverer.</t>
  </si>
  <si>
    <t>Building Construction Technologies</t>
  </si>
  <si>
    <t>0646041502</t>
  </si>
  <si>
    <t>Building Trades and Construction Design Technology</t>
  </si>
  <si>
    <t>Industrial Pipefitter</t>
  </si>
  <si>
    <t>0646050303</t>
  </si>
  <si>
    <t>Plumbing</t>
  </si>
  <si>
    <t>0646050311</t>
  </si>
  <si>
    <t>Electronic Systems Integration and Automation</t>
  </si>
  <si>
    <t>Air Conditioning, Refrigeration and Heating Technology</t>
  </si>
  <si>
    <t>Air Conditioning, Refrigeration and Heating  Technology 1</t>
  </si>
  <si>
    <t>Air Conditioning, Refrigeration and Heating  Technology 2</t>
  </si>
  <si>
    <t>Cabinetmaking</t>
  </si>
  <si>
    <t>0648070303</t>
  </si>
  <si>
    <t>480703</t>
  </si>
  <si>
    <t>Cabinetmaking and Millwork.</t>
  </si>
  <si>
    <t>Field Survey Technician</t>
  </si>
  <si>
    <t>Architectural Design &amp; Construction Technology</t>
  </si>
  <si>
    <t>Building Construction Technology</t>
  </si>
  <si>
    <t>Computer-Aided Drafting and Design</t>
  </si>
  <si>
    <t>Construction Management Technology</t>
  </si>
  <si>
    <t>Civil Engineering Technology</t>
  </si>
  <si>
    <t>Arts, A/V Technology &amp; Communication</t>
  </si>
  <si>
    <t>Interior Decorating Services</t>
  </si>
  <si>
    <t>0450040804</t>
  </si>
  <si>
    <t>Kitchen and Bath Specialization</t>
  </si>
  <si>
    <t>Home Staging Specialist</t>
  </si>
  <si>
    <t>Digital Design</t>
  </si>
  <si>
    <t>0510030306</t>
  </si>
  <si>
    <t>100303</t>
  </si>
  <si>
    <t>Prepress/Desktop Publishing and Digital Imaging Design.</t>
  </si>
  <si>
    <t>Digital Design 1</t>
  </si>
  <si>
    <t>0510030307</t>
  </si>
  <si>
    <t>Digital Design 2</t>
  </si>
  <si>
    <t>0510030308</t>
  </si>
  <si>
    <t>Digital Video Production</t>
  </si>
  <si>
    <t>0610010522</t>
  </si>
  <si>
    <t>Television System Support</t>
  </si>
  <si>
    <t>0609040205</t>
  </si>
  <si>
    <t>Video Editing &amp; Post Production</t>
  </si>
  <si>
    <t>Communication Leadership</t>
  </si>
  <si>
    <t>Digital Media/Multimedia Design</t>
  </si>
  <si>
    <t>0609070208</t>
  </si>
  <si>
    <t>Digital Media/Multimedia Authoring</t>
  </si>
  <si>
    <t>Digital Media/Multimedia Video Production</t>
  </si>
  <si>
    <t>Digital Media/Multimedia Instructional Technology</t>
  </si>
  <si>
    <t>Digital Media/Multimedia Presentation</t>
  </si>
  <si>
    <t>Digital Media/Multimedia Production</t>
  </si>
  <si>
    <t>Television Studio Production</t>
  </si>
  <si>
    <t>Digital Video Technology</t>
  </si>
  <si>
    <t>0610010524</t>
  </si>
  <si>
    <t>Broadcast Production</t>
  </si>
  <si>
    <t>Television Production Technology</t>
  </si>
  <si>
    <t>0610020218</t>
  </si>
  <si>
    <t>3 D Animation Technology</t>
  </si>
  <si>
    <t>0610030400</t>
  </si>
  <si>
    <t>Digital Video Fundamentals</t>
  </si>
  <si>
    <t>Digital Printing Technology</t>
  </si>
  <si>
    <t>0610030501</t>
  </si>
  <si>
    <t>100305</t>
  </si>
  <si>
    <t>Graphic and Printing Equipment Operator, General Production.</t>
  </si>
  <si>
    <t>Graphic Design Support</t>
  </si>
  <si>
    <t>Graphic Design Production</t>
  </si>
  <si>
    <t>Interactive Media Production</t>
  </si>
  <si>
    <t>Network Communications (LAN)</t>
  </si>
  <si>
    <t>Network Communications (WAN)</t>
  </si>
  <si>
    <t>0611100207</t>
  </si>
  <si>
    <t>Wireless Communications</t>
  </si>
  <si>
    <t>Cable Installation</t>
  </si>
  <si>
    <t>0647010304</t>
  </si>
  <si>
    <t>470103</t>
  </si>
  <si>
    <t>Communications Systems Installation and Repair Technology/Technician.</t>
  </si>
  <si>
    <t>Stage Production</t>
  </si>
  <si>
    <t>0647010305</t>
  </si>
  <si>
    <t>Interactive Media Support</t>
  </si>
  <si>
    <t>Digital Media/Multimedia Web Production</t>
  </si>
  <si>
    <t>Webcast Media</t>
  </si>
  <si>
    <t>0650010215</t>
  </si>
  <si>
    <t>Webcast Technology</t>
  </si>
  <si>
    <t>Commercial Art Technology</t>
  </si>
  <si>
    <t>0650040208</t>
  </si>
  <si>
    <t>500402</t>
  </si>
  <si>
    <t>Commercial and Advertising Art.</t>
  </si>
  <si>
    <t>Graphic Communications and Printing Technology</t>
  </si>
  <si>
    <t>0650040217</t>
  </si>
  <si>
    <t>Commercial Photography Technology 1</t>
  </si>
  <si>
    <t>0650040605</t>
  </si>
  <si>
    <t>500406</t>
  </si>
  <si>
    <t>Commercial Photography.</t>
  </si>
  <si>
    <t>Commercial Photography Technology 2</t>
  </si>
  <si>
    <t>0650040606</t>
  </si>
  <si>
    <t>Fashion Technology and Production Services</t>
  </si>
  <si>
    <t>0650040701</t>
  </si>
  <si>
    <t>500407</t>
  </si>
  <si>
    <t>Fashion/Apparel Design.</t>
  </si>
  <si>
    <t>Stage Technology</t>
  </si>
  <si>
    <t>Film Production Fundamentals</t>
  </si>
  <si>
    <t>Motion Picture Production</t>
  </si>
  <si>
    <t>Motion Picture Post Production</t>
  </si>
  <si>
    <t>Motion Picture Production Management</t>
  </si>
  <si>
    <t>Audio Technology</t>
  </si>
  <si>
    <t>Digital Cinema Production</t>
  </si>
  <si>
    <t>0650060211</t>
  </si>
  <si>
    <t>Digital Audio Production</t>
  </si>
  <si>
    <t>0650060223</t>
  </si>
  <si>
    <t>Photography</t>
  </si>
  <si>
    <t>Digital Photography Technology</t>
  </si>
  <si>
    <t>0650060502</t>
  </si>
  <si>
    <t>Audio Electronics Specialist</t>
  </si>
  <si>
    <t>Digital Music Production</t>
  </si>
  <si>
    <t>Fashion Design</t>
  </si>
  <si>
    <t>1450040700</t>
  </si>
  <si>
    <t>Interior Design Technology</t>
  </si>
  <si>
    <t>New Media Communications</t>
  </si>
  <si>
    <t>Digital Television and Media Production</t>
  </si>
  <si>
    <t>Interactive Media Production Technology</t>
  </si>
  <si>
    <t>Radio and Television Broadcast Programming</t>
  </si>
  <si>
    <t>Animation and Game Art</t>
  </si>
  <si>
    <t>Digital Media/Multimedia Technology</t>
  </si>
  <si>
    <t>Graphics Technology</t>
  </si>
  <si>
    <t>Graphic Arts Technology</t>
  </si>
  <si>
    <t>Telecommunications Engineering Technology</t>
  </si>
  <si>
    <t>Theater and Entertainment Technology</t>
  </si>
  <si>
    <t>Film Production Technology</t>
  </si>
  <si>
    <t>Photographic Technology</t>
  </si>
  <si>
    <t>Music Production Technology</t>
  </si>
  <si>
    <t>Business Management and Administration</t>
  </si>
  <si>
    <t>Legal Administrative Specialist</t>
  </si>
  <si>
    <t>Court Reporting 2</t>
  </si>
  <si>
    <t>0522030305</t>
  </si>
  <si>
    <t>220303</t>
  </si>
  <si>
    <t>Court Reporting and Captioning/Court Reporter.</t>
  </si>
  <si>
    <t>Court Reporting 3</t>
  </si>
  <si>
    <t>0522030306</t>
  </si>
  <si>
    <t>Court Reporting Technology</t>
  </si>
  <si>
    <t>0522030311</t>
  </si>
  <si>
    <t>Medical Administrative Specialist</t>
  </si>
  <si>
    <t>Business Administration</t>
  </si>
  <si>
    <t>Business Management and Analysis</t>
  </si>
  <si>
    <t>Office Administration</t>
  </si>
  <si>
    <t>Medical Office Administration</t>
  </si>
  <si>
    <t>Accounting Technology</t>
  </si>
  <si>
    <t>Applied Management</t>
  </si>
  <si>
    <t>Business Entrepreneurship</t>
  </si>
  <si>
    <t>Business Analysis Specialist</t>
  </si>
  <si>
    <t>Residential Property Management</t>
  </si>
  <si>
    <t>Medical Office Management</t>
  </si>
  <si>
    <t>Business Specialist</t>
  </si>
  <si>
    <t>Business Operations</t>
  </si>
  <si>
    <t>Accounting Operations</t>
  </si>
  <si>
    <t>0552030202</t>
  </si>
  <si>
    <t>Human Resources Administrator</t>
  </si>
  <si>
    <t>Risk Management and Insurance Operations</t>
  </si>
  <si>
    <t>Risk Management and Insurance Management</t>
  </si>
  <si>
    <t>Administrative Office Specialist</t>
  </si>
  <si>
    <t>Real Estate Specialist</t>
  </si>
  <si>
    <t>0552020113</t>
  </si>
  <si>
    <t>Customer Assistance Technology</t>
  </si>
  <si>
    <t>0552041102</t>
  </si>
  <si>
    <t>520411</t>
  </si>
  <si>
    <t>Customer Service Support/Call Center/Teleservice Operation.</t>
  </si>
  <si>
    <t>Office Management</t>
  </si>
  <si>
    <t>Office Support</t>
  </si>
  <si>
    <t>Legal Office Management</t>
  </si>
  <si>
    <t>Accounting Technology Operations</t>
  </si>
  <si>
    <t>Accounting Technology Specialist</t>
  </si>
  <si>
    <t>Accounting Technology Management</t>
  </si>
  <si>
    <t>Office Specialist</t>
  </si>
  <si>
    <t>Business Management</t>
  </si>
  <si>
    <t>Business Development and Entrepreneurship</t>
  </si>
  <si>
    <t>Entrepreneurship Operations</t>
  </si>
  <si>
    <t>Business, Management and Administration</t>
  </si>
  <si>
    <t>Business Entrepreneurship Operations</t>
  </si>
  <si>
    <t>0552070303</t>
  </si>
  <si>
    <t>Education &amp; Training</t>
  </si>
  <si>
    <t>Early Childhood Inclusion Specialization</t>
  </si>
  <si>
    <t>Child Care Center Operations</t>
  </si>
  <si>
    <t>Early Childhood Development Specialization</t>
  </si>
  <si>
    <t>Family Child Care Training</t>
  </si>
  <si>
    <t>Child Care Center Management Specialization</t>
  </si>
  <si>
    <t>Infant/Toddler Specialization</t>
  </si>
  <si>
    <t>Preschool Specialization</t>
  </si>
  <si>
    <t>Early Childhood Education</t>
  </si>
  <si>
    <t>School Age Professional Certificate</t>
  </si>
  <si>
    <t>Translation and Interpretation</t>
  </si>
  <si>
    <t>Principles of Teaching</t>
  </si>
  <si>
    <t>0713129902</t>
  </si>
  <si>
    <t>Educational Assisting</t>
  </si>
  <si>
    <t>Early Childhood Management</t>
  </si>
  <si>
    <t>Translation-Interpretation Studies: English-Spanish Track</t>
  </si>
  <si>
    <t>ASL - English Interpreting</t>
  </si>
  <si>
    <t>1713100305</t>
  </si>
  <si>
    <t>Instructional Services Technology</t>
  </si>
  <si>
    <t>Sports, Fitness, and Recreation Management</t>
  </si>
  <si>
    <t>Energy</t>
  </si>
  <si>
    <t>Alternative Energy Engineering Technology</t>
  </si>
  <si>
    <t>Solar Photovoltaic System Design, Installation and Maintenance - Entry Level</t>
  </si>
  <si>
    <t>0615050502</t>
  </si>
  <si>
    <t>Electrical Utility Lineworker Basic</t>
  </si>
  <si>
    <t>Electrical Distribution Technology</t>
  </si>
  <si>
    <t>Electrical Utility Lineworker Fundamentals</t>
  </si>
  <si>
    <t>0646030105</t>
  </si>
  <si>
    <t>Electrical Line Service and Repair</t>
  </si>
  <si>
    <t>0646030300</t>
  </si>
  <si>
    <t>Electrical Utility Lineworker Advanced</t>
  </si>
  <si>
    <t>Electrical Lineworker</t>
  </si>
  <si>
    <t>Natural Gas Operations and Distribution</t>
  </si>
  <si>
    <t>0647000002</t>
  </si>
  <si>
    <t>470000</t>
  </si>
  <si>
    <t>Mechanics and Repairers, General.</t>
  </si>
  <si>
    <t>Turbine Generator Maintenance, Inspection and Repair</t>
  </si>
  <si>
    <t>0715050304</t>
  </si>
  <si>
    <t>Energy Technician</t>
  </si>
  <si>
    <t>0715050320</t>
  </si>
  <si>
    <t>Energy Management and Controls Technology</t>
  </si>
  <si>
    <t>Electrical Power Technology</t>
  </si>
  <si>
    <t>Finance</t>
  </si>
  <si>
    <t>Banking-Financial Services</t>
  </si>
  <si>
    <t>1252080401</t>
  </si>
  <si>
    <t>520804</t>
  </si>
  <si>
    <t>Financial Planning and Services.</t>
  </si>
  <si>
    <t>Financial Para-planner-Financial Services</t>
  </si>
  <si>
    <t>0252080102</t>
  </si>
  <si>
    <t>Mortgage Finance Management-Financial Services</t>
  </si>
  <si>
    <t>Mortgage Finance Specialist-Financial Services</t>
  </si>
  <si>
    <t>Loan Originator - Mortgage</t>
  </si>
  <si>
    <t>0252080112</t>
  </si>
  <si>
    <t>Banking Management-Financial Services</t>
  </si>
  <si>
    <t>Banking Operations-Financial Services</t>
  </si>
  <si>
    <t>Banking Specialist-Financial Services</t>
  </si>
  <si>
    <t>Insurance General Lines Agent</t>
  </si>
  <si>
    <t>Insurance Claims Adjuster</t>
  </si>
  <si>
    <t>Insurance Customer Service Representative</t>
  </si>
  <si>
    <t>Life Insurance Marketing</t>
  </si>
  <si>
    <t>Personal Lines Insurance Agent (20-44)</t>
  </si>
  <si>
    <t>Property Adjuster Estimating</t>
  </si>
  <si>
    <t>0252190811</t>
  </si>
  <si>
    <t>Insurance Sales Agent - Life, Health and Annuities</t>
  </si>
  <si>
    <t>Financial Services</t>
  </si>
  <si>
    <t>Government &amp; Public Administration</t>
  </si>
  <si>
    <t>Public Works</t>
  </si>
  <si>
    <t>0615050600</t>
  </si>
  <si>
    <t>Emergency Administrator and Manager</t>
  </si>
  <si>
    <t>Homeland Security Emergency Manager</t>
  </si>
  <si>
    <t>Emergency Administration and Management</t>
  </si>
  <si>
    <t>Health Science</t>
  </si>
  <si>
    <t>Health Care Services Specialist</t>
  </si>
  <si>
    <t>0351070102</t>
  </si>
  <si>
    <t>Florida Funeral Director</t>
  </si>
  <si>
    <t>Biotechnology Laboratory Specialist</t>
  </si>
  <si>
    <t>Dental Assisting Technology and Management - ATD</t>
  </si>
  <si>
    <t>CAR-ATD</t>
  </si>
  <si>
    <t>0351060113</t>
  </si>
  <si>
    <t>Dental Laboratory Technology</t>
  </si>
  <si>
    <t>0351060306</t>
  </si>
  <si>
    <t>510603</t>
  </si>
  <si>
    <t>Dental Laboratory Technology/Technician.</t>
  </si>
  <si>
    <t>Health Unit Coordinator/Monitor Technician</t>
  </si>
  <si>
    <t>Medical Record Transcribing/Healthcare Documentation - ATD</t>
  </si>
  <si>
    <t>0351070704</t>
  </si>
  <si>
    <t>Healthcare Informatics Specialist</t>
  </si>
  <si>
    <t>0351070711</t>
  </si>
  <si>
    <t>Medical Coder/Biller--ATD</t>
  </si>
  <si>
    <t>ATD</t>
  </si>
  <si>
    <t>Medical Information Coder/Biller</t>
  </si>
  <si>
    <t>0351070715</t>
  </si>
  <si>
    <t>Medical Coder/Biller</t>
  </si>
  <si>
    <t>Clinical Research Coordinator</t>
  </si>
  <si>
    <t>Medical Assisting</t>
  </si>
  <si>
    <t>Medical Assisting Specialist</t>
  </si>
  <si>
    <t>Medical Laboratory Assisting</t>
  </si>
  <si>
    <t>0351080201</t>
  </si>
  <si>
    <t>510802</t>
  </si>
  <si>
    <t>Clinical/Medical Laboratory Assistant.</t>
  </si>
  <si>
    <t>Pharmacy Technician -ATD</t>
  </si>
  <si>
    <t>Pharmacy Technician  ATD</t>
  </si>
  <si>
    <t>0351080507</t>
  </si>
  <si>
    <t>Orthopedic Technology</t>
  </si>
  <si>
    <t>0351080605</t>
  </si>
  <si>
    <t>Emergency Medical Responder</t>
  </si>
  <si>
    <t>0351081000</t>
  </si>
  <si>
    <t>510810</t>
  </si>
  <si>
    <t>Emergency Care Attendant (EMT Ambulance).</t>
  </si>
  <si>
    <t>Central Sterile Processing Technology</t>
  </si>
  <si>
    <t>0351089902</t>
  </si>
  <si>
    <t>510899</t>
  </si>
  <si>
    <t>Electrocardiograph Technology</t>
  </si>
  <si>
    <t>Paramedic</t>
  </si>
  <si>
    <t>Emergency Medical Technician - ATD</t>
  </si>
  <si>
    <t>Emergency Medical Technician</t>
  </si>
  <si>
    <t>0351090414</t>
  </si>
  <si>
    <t>0351090418</t>
  </si>
  <si>
    <t>Nuclear Medicine Technology Specialist</t>
  </si>
  <si>
    <t>Radiation Therapy Specialist</t>
  </si>
  <si>
    <t>Radiologic Technology</t>
  </si>
  <si>
    <t>0351090706</t>
  </si>
  <si>
    <t>Central Sterile Processing Technologist</t>
  </si>
  <si>
    <t>Surgical Technology Specialist</t>
  </si>
  <si>
    <t>Surgical Technology</t>
  </si>
  <si>
    <t>Surgical First Assistant</t>
  </si>
  <si>
    <t>Diagnostic Medical Sonography Specialist</t>
  </si>
  <si>
    <t>Endoscopic Technician</t>
  </si>
  <si>
    <t>0351099902</t>
  </si>
  <si>
    <t>510999</t>
  </si>
  <si>
    <t>Allied Health Diagnostic, Intervention, and Treatment Professions, Other.</t>
  </si>
  <si>
    <t>Medical Clinical Laboratory Technician -ATD</t>
  </si>
  <si>
    <t>0351100401</t>
  </si>
  <si>
    <t>Medical Clinical Laboratory Technician - ATD</t>
  </si>
  <si>
    <t>0351100404</t>
  </si>
  <si>
    <t>Ophthalmic Laboratory Technician</t>
  </si>
  <si>
    <t>Phlebotomy</t>
  </si>
  <si>
    <t>Hemodialysis Technician</t>
  </si>
  <si>
    <t>0351101100</t>
  </si>
  <si>
    <t>511011</t>
  </si>
  <si>
    <t>Renal/Dialysis Technologist/Technician.</t>
  </si>
  <si>
    <t>Mental Health Technician</t>
  </si>
  <si>
    <t>0351150204</t>
  </si>
  <si>
    <t>511502</t>
  </si>
  <si>
    <t>Psychiatric/Mental Health Services Technician.</t>
  </si>
  <si>
    <t>Optometric Assisting</t>
  </si>
  <si>
    <t>0351180203</t>
  </si>
  <si>
    <t>Eye Care Technician</t>
  </si>
  <si>
    <t>Health Navigator Specialist</t>
  </si>
  <si>
    <t>Health Care Services</t>
  </si>
  <si>
    <t>Home Health Aide</t>
  </si>
  <si>
    <t>0351260200</t>
  </si>
  <si>
    <t>512602</t>
  </si>
  <si>
    <t>Home Health Aide/Home Attendant.</t>
  </si>
  <si>
    <t>Massage Therapy</t>
  </si>
  <si>
    <t>Practical Nursing</t>
  </si>
  <si>
    <t>Nursing Assistant (Long-Term Care)</t>
  </si>
  <si>
    <t>Patient Care Assistant</t>
  </si>
  <si>
    <t>Nursing Assistant (Articulated)</t>
  </si>
  <si>
    <t>Patient Care Technician</t>
  </si>
  <si>
    <t>Biotechnology Specialist</t>
  </si>
  <si>
    <t>Funeral Services</t>
  </si>
  <si>
    <t>Biotechnology Laboratory Technology</t>
  </si>
  <si>
    <t>Surgical Services</t>
  </si>
  <si>
    <t>Dental Assisting Technology and Management</t>
  </si>
  <si>
    <t>Dental Hygiene</t>
  </si>
  <si>
    <t>Health Services Management</t>
  </si>
  <si>
    <t>Health Information Technology</t>
  </si>
  <si>
    <t>Clinical Research Professional</t>
  </si>
  <si>
    <t>Medical Assisting Advanced</t>
  </si>
  <si>
    <t>Occupational Therapy Assistant</t>
  </si>
  <si>
    <t>Pharmacy Management</t>
  </si>
  <si>
    <t>Physical Therapist Assistant</t>
  </si>
  <si>
    <t>Cardiovascular Technology</t>
  </si>
  <si>
    <t>Emergency Medical Services</t>
  </si>
  <si>
    <t>Nuclear Medicine Technology</t>
  </si>
  <si>
    <t>Radiography</t>
  </si>
  <si>
    <t>Radiation Therapy</t>
  </si>
  <si>
    <t>Respiratory Care</t>
  </si>
  <si>
    <t>Surgical First Assisting</t>
  </si>
  <si>
    <t>Diagnostic Medical Sonography Technology</t>
  </si>
  <si>
    <t>Medical Laboratory Technology</t>
  </si>
  <si>
    <t>Histologic Technology</t>
  </si>
  <si>
    <t>Opticianry</t>
  </si>
  <si>
    <t>Optical Management</t>
  </si>
  <si>
    <t>Ophthalmic Technician</t>
  </si>
  <si>
    <t>Health Navigator</t>
  </si>
  <si>
    <t>Orthotics &amp; Prosthetics Technology</t>
  </si>
  <si>
    <t>Nursing  R.N.</t>
  </si>
  <si>
    <t>Hospitality &amp; Tourism</t>
  </si>
  <si>
    <t>Diving Business and Technology</t>
  </si>
  <si>
    <t>Professional Research Diving</t>
  </si>
  <si>
    <t>Diving Medical Technician</t>
  </si>
  <si>
    <t>0249030402</t>
  </si>
  <si>
    <t>Professional Dive Instructor</t>
  </si>
  <si>
    <t>Fundamentals of Professional Diving</t>
  </si>
  <si>
    <t>Introduction to Commercial Work/Diving</t>
  </si>
  <si>
    <t>0249030405</t>
  </si>
  <si>
    <t>Cruise Line Operations</t>
  </si>
  <si>
    <t>0252090102</t>
  </si>
  <si>
    <t>Rooms Division Management</t>
  </si>
  <si>
    <t>Guest Services Specialist</t>
  </si>
  <si>
    <t>Rooms Division Specialist</t>
  </si>
  <si>
    <t>Rooms Division Operations</t>
  </si>
  <si>
    <t>Food and Beverage Management</t>
  </si>
  <si>
    <t>Food and Beverage Specialist</t>
  </si>
  <si>
    <t>Food and Beverage Operations</t>
  </si>
  <si>
    <t>Event Planning Management</t>
  </si>
  <si>
    <t>Restaurant Management</t>
  </si>
  <si>
    <t>1252090501</t>
  </si>
  <si>
    <t>Hospitality and Tourism</t>
  </si>
  <si>
    <t>0252190600</t>
  </si>
  <si>
    <t>521906</t>
  </si>
  <si>
    <t>Tourism Promotion Operations.</t>
  </si>
  <si>
    <t>Nutrition and Dietetic Clerk</t>
  </si>
  <si>
    <t>0351310302</t>
  </si>
  <si>
    <t>Dietetic Management and Supervision</t>
  </si>
  <si>
    <t>0351310405</t>
  </si>
  <si>
    <t>513104</t>
  </si>
  <si>
    <t>Dietitian Assistant.</t>
  </si>
  <si>
    <t>Environmental Services</t>
  </si>
  <si>
    <t>0419069911</t>
  </si>
  <si>
    <t>190699</t>
  </si>
  <si>
    <t>Housing and Human Environments, Other.</t>
  </si>
  <si>
    <t>Professional Culinary Arts &amp; Hospitality</t>
  </si>
  <si>
    <t>Lodging Operations</t>
  </si>
  <si>
    <t>0252090400</t>
  </si>
  <si>
    <t>Baking &amp; Pastry Arts</t>
  </si>
  <si>
    <t>Baking and Pastry Arts</t>
  </si>
  <si>
    <t>0612050103</t>
  </si>
  <si>
    <t>Pastry Chef Assistant</t>
  </si>
  <si>
    <t>Baking and Pastry Specialist</t>
  </si>
  <si>
    <t>Culinary Arts</t>
  </si>
  <si>
    <t>Chefs Apprentice</t>
  </si>
  <si>
    <t>Culinary Vegetarian and Plant Based Specialty</t>
  </si>
  <si>
    <t>0612050303</t>
  </si>
  <si>
    <t>Fundamental Foodservice Skills</t>
  </si>
  <si>
    <t>0612050304</t>
  </si>
  <si>
    <t>Culinary Arts Management Operations</t>
  </si>
  <si>
    <t>Hospitality &amp; Tourism Management</t>
  </si>
  <si>
    <t>Dietetic Technician</t>
  </si>
  <si>
    <t>Baking &amp; Pastry Management</t>
  </si>
  <si>
    <t>Culinary Management</t>
  </si>
  <si>
    <t>Human Services</t>
  </si>
  <si>
    <t>Addiction Services</t>
  </si>
  <si>
    <t>Aging Services</t>
  </si>
  <si>
    <t>Community Health Worker</t>
  </si>
  <si>
    <t>Domestic Violence Services</t>
  </si>
  <si>
    <t>Human Services Generalist</t>
  </si>
  <si>
    <t>Youth Development Services</t>
  </si>
  <si>
    <t>Cosmetology</t>
  </si>
  <si>
    <t>Barbering</t>
  </si>
  <si>
    <t>Facials Specialty</t>
  </si>
  <si>
    <t>Advanced Esthetics</t>
  </si>
  <si>
    <t>Nails Specialty</t>
  </si>
  <si>
    <t>Social and Human Services</t>
  </si>
  <si>
    <t>Information Technology</t>
  </si>
  <si>
    <t>Cybersecurity Operations</t>
  </si>
  <si>
    <t>1511010300</t>
  </si>
  <si>
    <t>Digital Media Technology</t>
  </si>
  <si>
    <t>0509070200</t>
  </si>
  <si>
    <t>Applied Information Technology</t>
  </si>
  <si>
    <t>0511010302</t>
  </si>
  <si>
    <t>Information Technology Administration</t>
  </si>
  <si>
    <t>Mobile Device Technology</t>
  </si>
  <si>
    <t>Information Technology Support Specialist</t>
  </si>
  <si>
    <t>Information Technology Analysis</t>
  </si>
  <si>
    <t>Help Desk Support Technician</t>
  </si>
  <si>
    <t>Web Application Development &amp; Programming</t>
  </si>
  <si>
    <t>0511020102</t>
  </si>
  <si>
    <t>Computer Programming Specialist</t>
  </si>
  <si>
    <t>Internet of Things Applications</t>
  </si>
  <si>
    <t>Computer Programmer</t>
  </si>
  <si>
    <t>Business Computer Programming</t>
  </si>
  <si>
    <t>0511020202</t>
  </si>
  <si>
    <t>Oracle Certified Database Administrator</t>
  </si>
  <si>
    <t>Oracle Certified Database Developer</t>
  </si>
  <si>
    <t>0511020308</t>
  </si>
  <si>
    <t>Microsoft Certified Database Administrator Certificate</t>
  </si>
  <si>
    <t>Java Development &amp; Programming</t>
  </si>
  <si>
    <t>0511020313</t>
  </si>
  <si>
    <t>.NET Application Development and Programming</t>
  </si>
  <si>
    <t>0511020314</t>
  </si>
  <si>
    <t>Database Application Development &amp; Programming</t>
  </si>
  <si>
    <t>0511020315</t>
  </si>
  <si>
    <t>Web Development</t>
  </si>
  <si>
    <t>0511080100</t>
  </si>
  <si>
    <t>Web Development Specialist</t>
  </si>
  <si>
    <t>Database and Programming Essentials</t>
  </si>
  <si>
    <t>0511080207</t>
  </si>
  <si>
    <t>110802</t>
  </si>
  <si>
    <t>Data Modeling/Warehousing and Database Administration.</t>
  </si>
  <si>
    <t>Modeling Simulation Production</t>
  </si>
  <si>
    <t>0511080402</t>
  </si>
  <si>
    <t>110804</t>
  </si>
  <si>
    <t>Modeling, Virtual Environments and Simulation.</t>
  </si>
  <si>
    <t>Modeling Simulation Design</t>
  </si>
  <si>
    <t>0511080403</t>
  </si>
  <si>
    <t>Network Support Services</t>
  </si>
  <si>
    <t>0511090102</t>
  </si>
  <si>
    <t>110901</t>
  </si>
  <si>
    <t>Computer Systems Networking and Telecommunications.</t>
  </si>
  <si>
    <t>Network Systems Administration</t>
  </si>
  <si>
    <t>0511090105</t>
  </si>
  <si>
    <t>Computer Systems &amp; Information Technology (CSIT)</t>
  </si>
  <si>
    <t>0511090107</t>
  </si>
  <si>
    <t>Network Server Administration</t>
  </si>
  <si>
    <t>Network Enterprise Administration</t>
  </si>
  <si>
    <t>Network Infrastructure</t>
  </si>
  <si>
    <t>Advanced Network Infrastructure</t>
  </si>
  <si>
    <t>Network Virtualization</t>
  </si>
  <si>
    <t>Advanced Network Virtualization</t>
  </si>
  <si>
    <t>Network Security</t>
  </si>
  <si>
    <t>Digital Forensics</t>
  </si>
  <si>
    <t>IP Communications</t>
  </si>
  <si>
    <t>Network Support Technician</t>
  </si>
  <si>
    <t>Linux System Administrator</t>
  </si>
  <si>
    <t>Enterprise Network and Server Support Technology</t>
  </si>
  <si>
    <t>0511100123</t>
  </si>
  <si>
    <t>Enterprise Desktop and Mobile Support Technology</t>
  </si>
  <si>
    <t>0511100124</t>
  </si>
  <si>
    <t>Applied Cybersecurity</t>
  </si>
  <si>
    <t>Cloud Computing &amp; Virtualization</t>
  </si>
  <si>
    <t>0511100303</t>
  </si>
  <si>
    <t>Database &amp; E-Commerce Security</t>
  </si>
  <si>
    <t>Project Management Associate</t>
  </si>
  <si>
    <t>0511100501</t>
  </si>
  <si>
    <t>Technology Project Manager</t>
  </si>
  <si>
    <t>0511100502</t>
  </si>
  <si>
    <t>Technology Support Services</t>
  </si>
  <si>
    <t>0515120200</t>
  </si>
  <si>
    <t>151202</t>
  </si>
  <si>
    <t>Computer/Computer Systems Technology/Technician.</t>
  </si>
  <si>
    <t>Geographic Information System</t>
  </si>
  <si>
    <t>Geospatial/Geographic Information System (GIS) Technology</t>
  </si>
  <si>
    <t>0545070214</t>
  </si>
  <si>
    <t>Game/Simulation/Animation Visual Design</t>
  </si>
  <si>
    <t>0550041114</t>
  </si>
  <si>
    <t>Game/Simulation/Animation Audio/Video Effects</t>
  </si>
  <si>
    <t>0550041115</t>
  </si>
  <si>
    <t>Game/Simulation/Animation Programming</t>
  </si>
  <si>
    <t>0550041116</t>
  </si>
  <si>
    <t>Game/Simulation/Animation Advanced Applications</t>
  </si>
  <si>
    <t>0550041117</t>
  </si>
  <si>
    <t>Visual &amp; Augmented Reality Technologies</t>
  </si>
  <si>
    <t>E-Business Technical Certificate</t>
  </si>
  <si>
    <t>E-Business Security Technical Certificate</t>
  </si>
  <si>
    <t>0552120102</t>
  </si>
  <si>
    <t>E-Business Software Technical Certificate</t>
  </si>
  <si>
    <t>0552120103</t>
  </si>
  <si>
    <t>E-Business Technology Technical Certificate</t>
  </si>
  <si>
    <t>0552120104</t>
  </si>
  <si>
    <t>E-Business Ventures Technical Certificate</t>
  </si>
  <si>
    <t>Business Intelligence Professional</t>
  </si>
  <si>
    <t>Computer Information Data Specialist</t>
  </si>
  <si>
    <t>Data Science Technology</t>
  </si>
  <si>
    <t>Computer Information Technology</t>
  </si>
  <si>
    <t>Database Technology</t>
  </si>
  <si>
    <t>Computer Programming and Analysis</t>
  </si>
  <si>
    <t>Internet Services Technology</t>
  </si>
  <si>
    <t>Network Systems Technology</t>
  </si>
  <si>
    <t>IT Security</t>
  </si>
  <si>
    <t>Cybersecurity</t>
  </si>
  <si>
    <t>Technology Project Management</t>
  </si>
  <si>
    <t>Game Development Design</t>
  </si>
  <si>
    <t>E-Business Technology</t>
  </si>
  <si>
    <t>Business Intelligence Specialist</t>
  </si>
  <si>
    <t>Law, Public Safety &amp; Security</t>
  </si>
  <si>
    <t>Firefighter</t>
  </si>
  <si>
    <t>0743020304</t>
  </si>
  <si>
    <t>Firefighter/Emergency Medical Technician-Combined</t>
  </si>
  <si>
    <t>0743020313</t>
  </si>
  <si>
    <t>Fire Fighter</t>
  </si>
  <si>
    <t>Real Estate Paralegal Certificate</t>
  </si>
  <si>
    <t>Correctional Officer (Traditional Correctional BRTP)</t>
  </si>
  <si>
    <t>Crossover from Correctional Officer to Correctional Probation Officer</t>
  </si>
  <si>
    <t>0743010203</t>
  </si>
  <si>
    <t>Crossover from Correctional Probation Officer to CMS Correctional BRTP</t>
  </si>
  <si>
    <t>0743010204</t>
  </si>
  <si>
    <t>Crossover from Law Enforcement Officer to Correctional Officer</t>
  </si>
  <si>
    <t>Correctional Probation Officer</t>
  </si>
  <si>
    <t>FBRTP: Correctional Probation Basic Recruit Training for Special Operations</t>
  </si>
  <si>
    <t>0743010209</t>
  </si>
  <si>
    <t>FBRTP: Corrections Basic Recruit Training for Special Operations Recruits</t>
  </si>
  <si>
    <t>0743010210</t>
  </si>
  <si>
    <t>Criminal Justice Technology Specialist</t>
  </si>
  <si>
    <t>Homeland Security Specialist</t>
  </si>
  <si>
    <t>Crime Scene Technician</t>
  </si>
  <si>
    <t>Florida Law Enforcement Academy</t>
  </si>
  <si>
    <t>Crossover from Correctional Officer to Law Enforcement Officer</t>
  </si>
  <si>
    <t>Crossover from Correctional Probation Officer to Law Enforcement Officer</t>
  </si>
  <si>
    <t>Gang-Related Investigations</t>
  </si>
  <si>
    <t>0743010705</t>
  </si>
  <si>
    <t>Auxiliary Law Enforcement Officer</t>
  </si>
  <si>
    <t>FBRTP: Law Enforcement Basic Training for Special Operations Forces Recruits</t>
  </si>
  <si>
    <t>Private Security Officer</t>
  </si>
  <si>
    <t>Private Investigator Intern</t>
  </si>
  <si>
    <t>Homeland Security Professional</t>
  </si>
  <si>
    <t>Bail Bond Agent</t>
  </si>
  <si>
    <t>Police Service Aide</t>
  </si>
  <si>
    <t>Fire Officer Supervisor</t>
  </si>
  <si>
    <t>Fire Fighter I/II</t>
  </si>
  <si>
    <t>Fire Fighter/Emergency Medical Technician-Combined</t>
  </si>
  <si>
    <t>Public Safety Telecommunication</t>
  </si>
  <si>
    <t>Paralegal Studies (Legal Assisting)</t>
  </si>
  <si>
    <t>Criminal Justice Technology</t>
  </si>
  <si>
    <t>Crime Scene Technology</t>
  </si>
  <si>
    <t>Security Management and Administration</t>
  </si>
  <si>
    <t>Computer Related Crime Investigations</t>
  </si>
  <si>
    <t>Fire Science Technology</t>
  </si>
  <si>
    <t>Manufacturing</t>
  </si>
  <si>
    <t>Medical Device Design and Manufacturing</t>
  </si>
  <si>
    <t>0615040108</t>
  </si>
  <si>
    <t>Engineering Technology</t>
  </si>
  <si>
    <t>Manufacturing Technology</t>
  </si>
  <si>
    <t>Electronic Technology</t>
  </si>
  <si>
    <t>0615030300</t>
  </si>
  <si>
    <t>Network Systems Developer</t>
  </si>
  <si>
    <t>0611090104</t>
  </si>
  <si>
    <t>Engineering Technology Support Specialist</t>
  </si>
  <si>
    <t>Digital Manufacturing Specialist</t>
  </si>
  <si>
    <t>Rapid Prototyping Specialist</t>
  </si>
  <si>
    <t>Mechatronics</t>
  </si>
  <si>
    <t>CNC Machinist Operator/Programmer</t>
  </si>
  <si>
    <t>Electronics Technician</t>
  </si>
  <si>
    <t>Basic Electronics Technician</t>
  </si>
  <si>
    <t>Electronics Aide</t>
  </si>
  <si>
    <t>Electronic Technology 1</t>
  </si>
  <si>
    <t>0615030315</t>
  </si>
  <si>
    <t>Electronic Technology 2</t>
  </si>
  <si>
    <t>0615030316</t>
  </si>
  <si>
    <t>Electronic Systems Technician</t>
  </si>
  <si>
    <t>0615030332</t>
  </si>
  <si>
    <t>Laser and Photonics Technician</t>
  </si>
  <si>
    <t>Biomedical Equipment Repair Technology</t>
  </si>
  <si>
    <t>0615040106</t>
  </si>
  <si>
    <t>Medical Equipment Repair</t>
  </si>
  <si>
    <t>Electrical and Instrumentation Technology</t>
  </si>
  <si>
    <t>0615040400</t>
  </si>
  <si>
    <t>150404</t>
  </si>
  <si>
    <t>Instrumentation Technology/Technician.</t>
  </si>
  <si>
    <t>Electrical and Instrumentation Technology 1</t>
  </si>
  <si>
    <t>0615040401</t>
  </si>
  <si>
    <t>Electrical and Instrumentation Technology 2</t>
  </si>
  <si>
    <t>0615040402</t>
  </si>
  <si>
    <t>Robotics and Simulation Technician</t>
  </si>
  <si>
    <t>Automation</t>
  </si>
  <si>
    <t>Advanced Manufacturing and Production Technology</t>
  </si>
  <si>
    <t>Mechatronics Technology</t>
  </si>
  <si>
    <t>0615049901</t>
  </si>
  <si>
    <t>150499</t>
  </si>
  <si>
    <t>Electromechanical Technologies/Technicians, Other.</t>
  </si>
  <si>
    <t>Alternative Energy Systems Specialist</t>
  </si>
  <si>
    <t>Solar Energy Technician</t>
  </si>
  <si>
    <t>Industrial Technology</t>
  </si>
  <si>
    <t>0615061200</t>
  </si>
  <si>
    <t>Applied Technology Specialist</t>
  </si>
  <si>
    <t>Lean Manufacturing</t>
  </si>
  <si>
    <t>Pneumatics, Hydraulics &amp; Motors for Manufacturing</t>
  </si>
  <si>
    <t>Six Sigma Black Belt Certificate</t>
  </si>
  <si>
    <t>Lean Six Sigma Green Belt Certificate</t>
  </si>
  <si>
    <t>Structural Assembly Technician</t>
  </si>
  <si>
    <t>Aerospace Technician</t>
  </si>
  <si>
    <t>CNC Composite Fabricator/Programmer</t>
  </si>
  <si>
    <t>Mechanical Designer and Programmer</t>
  </si>
  <si>
    <t>Computer-Aided Design and Drafting</t>
  </si>
  <si>
    <t>Medical Quality Systems</t>
  </si>
  <si>
    <t>0641010105</t>
  </si>
  <si>
    <t>Chemical Laboratory Specialist</t>
  </si>
  <si>
    <t>Scientific Workplace Preparation</t>
  </si>
  <si>
    <t>Gaming Machine Repair Technician</t>
  </si>
  <si>
    <t>0647000001</t>
  </si>
  <si>
    <t>Microcomputer Repairer/Installer</t>
  </si>
  <si>
    <t>Major Appliance and Refrigeration Technician</t>
  </si>
  <si>
    <t>0647010604</t>
  </si>
  <si>
    <t>470106</t>
  </si>
  <si>
    <t>Appliance Installation and Repair Technology/Technician.</t>
  </si>
  <si>
    <t>Industrial Machinery Maintenance &amp; Repair</t>
  </si>
  <si>
    <t>0647030300</t>
  </si>
  <si>
    <t>Millwright</t>
  </si>
  <si>
    <t>0647030302</t>
  </si>
  <si>
    <t>Industrial Machinery Maintenance 1</t>
  </si>
  <si>
    <t>Industrial Machinery Maintenance 2</t>
  </si>
  <si>
    <t>0647030304</t>
  </si>
  <si>
    <t>Millwright 1</t>
  </si>
  <si>
    <t>0647030305</t>
  </si>
  <si>
    <t>Millwright 2</t>
  </si>
  <si>
    <t>0647030306</t>
  </si>
  <si>
    <t>Jewelry Making and Repair 1</t>
  </si>
  <si>
    <t>0647040804</t>
  </si>
  <si>
    <t>470408</t>
  </si>
  <si>
    <t>Watchmaking and Jewelrymaking.</t>
  </si>
  <si>
    <t>Jewelry Making and Repair 2</t>
  </si>
  <si>
    <t>0647040805</t>
  </si>
  <si>
    <t>Jewelry Design and Repair 1</t>
  </si>
  <si>
    <t>0647040808</t>
  </si>
  <si>
    <t>Jewelry Design and Repair 2</t>
  </si>
  <si>
    <t>0647040809</t>
  </si>
  <si>
    <t>Composite Fabrication and Testing</t>
  </si>
  <si>
    <t>Machining Technologies</t>
  </si>
  <si>
    <t>CNC Production Specialist</t>
  </si>
  <si>
    <t>Welding Technology</t>
  </si>
  <si>
    <t>Welding Technology - Advanced</t>
  </si>
  <si>
    <t>CNC Machinist/Fabricator</t>
  </si>
  <si>
    <t>Industry Operations Specialist</t>
  </si>
  <si>
    <t>Electronics Engineering Technology</t>
  </si>
  <si>
    <t>Biomedical Equipment Technician</t>
  </si>
  <si>
    <t>Aerospace Technology</t>
  </si>
  <si>
    <t>Simulation Technology</t>
  </si>
  <si>
    <t>Computer Engineering Technology</t>
  </si>
  <si>
    <t>Chemical Technology</t>
  </si>
  <si>
    <t>Industrial Management Technology</t>
  </si>
  <si>
    <t>Marketing, Sales &amp; Services</t>
  </si>
  <si>
    <t>Distribution and Logistics Management</t>
  </si>
  <si>
    <t>0252040900</t>
  </si>
  <si>
    <t>520409</t>
  </si>
  <si>
    <t>Parts, Warehousing, and Inventory Management Operations.</t>
  </si>
  <si>
    <t>Entrepreneurship</t>
  </si>
  <si>
    <t>Marketing Operations</t>
  </si>
  <si>
    <t>Digital Marketing Management</t>
  </si>
  <si>
    <t>Real Estate Sales Associate Post Licensing</t>
  </si>
  <si>
    <t>Real Estate Sales Agent</t>
  </si>
  <si>
    <t>Digital Marketing Strategy</t>
  </si>
  <si>
    <t>0252070103</t>
  </si>
  <si>
    <t>Marketing, Management and Entrepreneurial Principles</t>
  </si>
  <si>
    <t>0252140104</t>
  </si>
  <si>
    <t>Marketing Management</t>
  </si>
  <si>
    <t>Fashion Merchandising</t>
  </si>
  <si>
    <t>1252190200</t>
  </si>
  <si>
    <t>521902</t>
  </si>
  <si>
    <t>Fashion Merchandising.</t>
  </si>
  <si>
    <t>Transportation, Distribution &amp; Logistics</t>
  </si>
  <si>
    <t>Avionics Systems Integration Specialist</t>
  </si>
  <si>
    <t>Avionics Specialist</t>
  </si>
  <si>
    <t>Automotive Service Technology</t>
  </si>
  <si>
    <t>Medium and Heavy Duty Truck and Bus Technician (secondary name only)/Diesel Systems Technician (PSAV ONLY )</t>
  </si>
  <si>
    <t>Avionics 2</t>
  </si>
  <si>
    <t>0647060901</t>
  </si>
  <si>
    <t>Automotive Service Management Technology</t>
  </si>
  <si>
    <t>Automotive Service Technician</t>
  </si>
  <si>
    <t>General Automotive Technician</t>
  </si>
  <si>
    <t>Heavy Equipment Service Technician</t>
  </si>
  <si>
    <t>Automotive Collision Technology Technician</t>
  </si>
  <si>
    <t>Advanced Automotive Service Technology</t>
  </si>
  <si>
    <t>0647060406</t>
  </si>
  <si>
    <t>Manufacture-Specific Automotive Technology</t>
  </si>
  <si>
    <t>0647060407</t>
  </si>
  <si>
    <t>Automotive Service Technology 1</t>
  </si>
  <si>
    <t>Automotive Service Technology 2</t>
  </si>
  <si>
    <t>Advanced Automotive Service Technology 1</t>
  </si>
  <si>
    <t>Advanced Automotive Service Technology 2</t>
  </si>
  <si>
    <t>0647060414</t>
  </si>
  <si>
    <t>Dealer Line Technician</t>
  </si>
  <si>
    <t>Dealer Service Technician</t>
  </si>
  <si>
    <t>Automotive CNG/LPG Technology</t>
  </si>
  <si>
    <t>0647060420</t>
  </si>
  <si>
    <t>Alternative Fuels Technology</t>
  </si>
  <si>
    <t>0647060421</t>
  </si>
  <si>
    <t>Automotive Maintenance and Light Repair Technician</t>
  </si>
  <si>
    <t>Automotive Drivetrain Technician</t>
  </si>
  <si>
    <t>0647060423</t>
  </si>
  <si>
    <t>Automotive Electrical Technician</t>
  </si>
  <si>
    <t>0647060424</t>
  </si>
  <si>
    <t>Automotive General Service Technician</t>
  </si>
  <si>
    <t>0647060425</t>
  </si>
  <si>
    <t>Automotive Performance Technician</t>
  </si>
  <si>
    <t>0647060426</t>
  </si>
  <si>
    <t>Automotive Customer Service Advisor</t>
  </si>
  <si>
    <t>0647060427</t>
  </si>
  <si>
    <t>Marine Engineering, Management &amp; Seamanship</t>
  </si>
  <si>
    <t>Marine Propulsion Technician</t>
  </si>
  <si>
    <t>Marine Electrician</t>
  </si>
  <si>
    <t>Marine Technology</t>
  </si>
  <si>
    <t>Marine Systems Technician</t>
  </si>
  <si>
    <t>Diesel Maintenance Technician</t>
  </si>
  <si>
    <t>0647060515</t>
  </si>
  <si>
    <t>Professional Welder</t>
  </si>
  <si>
    <t>Power Equipment Technologies</t>
  </si>
  <si>
    <t>0647060604</t>
  </si>
  <si>
    <t>470606</t>
  </si>
  <si>
    <t>Small Engine Mechanics and Repair Technology/Technician.</t>
  </si>
  <si>
    <t>Aviation Airframe Mechanics</t>
  </si>
  <si>
    <t>Aviation Powerplant Mechanics</t>
  </si>
  <si>
    <t>Avionics 1</t>
  </si>
  <si>
    <t>0647060900</t>
  </si>
  <si>
    <t>Avionics Systems Technician</t>
  </si>
  <si>
    <t>0647060905</t>
  </si>
  <si>
    <t>Diesel Systems Technician 1</t>
  </si>
  <si>
    <t>Diesel Systems Technician 2</t>
  </si>
  <si>
    <t>0647061306</t>
  </si>
  <si>
    <t>Transit Technician 1</t>
  </si>
  <si>
    <t>Transit Technician 2</t>
  </si>
  <si>
    <t>Transit Technician 3</t>
  </si>
  <si>
    <t>Marine Service Technologies</t>
  </si>
  <si>
    <t>Commercial Pilot</t>
  </si>
  <si>
    <t>Airline/Aviation Management</t>
  </si>
  <si>
    <t>Air Cargo Management</t>
  </si>
  <si>
    <t>Airport Management</t>
  </si>
  <si>
    <t>Passenger Service Agent</t>
  </si>
  <si>
    <t>Aviation Mechanic</t>
  </si>
  <si>
    <t>Airline Maintenance Procedures and Records Management</t>
  </si>
  <si>
    <t>0649010411</t>
  </si>
  <si>
    <t>Heavy Equipment Operations Technician</t>
  </si>
  <si>
    <t>0649020201</t>
  </si>
  <si>
    <t>490202</t>
  </si>
  <si>
    <t>Construction/Heavy Equipment/Earthmoving Equipment Operation.</t>
  </si>
  <si>
    <t>Construction Vehicle Technician</t>
  </si>
  <si>
    <t>0649020202</t>
  </si>
  <si>
    <t>Commercial Vehicle Driving</t>
  </si>
  <si>
    <t>Commercial Class B Driving</t>
  </si>
  <si>
    <t>0649020502</t>
  </si>
  <si>
    <t>Global Logistics and Supply Chain Technology</t>
  </si>
  <si>
    <t>International Freight Transportation</t>
  </si>
  <si>
    <t>Intermodal Freight Transportation</t>
  </si>
  <si>
    <t>Logistics and Transportation Specialist</t>
  </si>
  <si>
    <t>Unmanned Vehicle Systems Operations</t>
  </si>
  <si>
    <t>Aviation Maintenance Administration</t>
  </si>
  <si>
    <t>Professional Pilot Technology</t>
  </si>
  <si>
    <t>Aviation Maintenance Management</t>
  </si>
  <si>
    <t>Aviation Administration</t>
  </si>
  <si>
    <t>Aviation Operations</t>
  </si>
  <si>
    <t>Transportation and Logistics</t>
  </si>
  <si>
    <t>Supply Chain Management</t>
  </si>
  <si>
    <t>Hour
Type (clock or credit)</t>
  </si>
  <si>
    <t>CIP Code</t>
  </si>
  <si>
    <t>CIP 6 Code</t>
  </si>
  <si>
    <t>Program Title</t>
  </si>
  <si>
    <t>SSH</t>
  </si>
  <si>
    <t>Dental Assisting Technology and Management--ATD</t>
  </si>
  <si>
    <t>ATC</t>
  </si>
  <si>
    <t>PSAV</t>
  </si>
  <si>
    <t>CLK</t>
  </si>
  <si>
    <t>AA</t>
  </si>
  <si>
    <t>240101</t>
  </si>
  <si>
    <t>ASSOCIATE IN ARTS</t>
  </si>
  <si>
    <t>Dental Assisting</t>
  </si>
  <si>
    <t>Machining</t>
  </si>
  <si>
    <t>APPR</t>
  </si>
  <si>
    <t>Early Childhood Education - APPR</t>
  </si>
  <si>
    <t>Electrician - APPR</t>
  </si>
  <si>
    <t>Plumbing Technology - APPR</t>
  </si>
  <si>
    <t>Fire Science Technology (FESHE Model)</t>
  </si>
  <si>
    <t>511504</t>
  </si>
  <si>
    <t>Human Services Assistant</t>
  </si>
  <si>
    <t>Pharmacy Technician</t>
  </si>
  <si>
    <t>Automotive Collision Repair and Refinishing</t>
  </si>
  <si>
    <t>Medium and Heavy Duty Truck and Bus Technician (secondary name only)/Diesel Systems Technician (PSAV ONLY name change)</t>
  </si>
  <si>
    <t>Aircraft Airframe Mechanics</t>
  </si>
  <si>
    <t>430202</t>
  </si>
  <si>
    <t>Fire Company Management</t>
  </si>
  <si>
    <t>Biomedical Engineering Technology</t>
  </si>
  <si>
    <t>ASL-English Interpretation</t>
  </si>
  <si>
    <t>888888</t>
  </si>
  <si>
    <t>Inactive Program</t>
  </si>
  <si>
    <t>Carpentry - APPR</t>
  </si>
  <si>
    <t>Air Conditioning, Refrigeration and Heating Technology - APPR</t>
  </si>
  <si>
    <t>460410</t>
  </si>
  <si>
    <t>Roofing - APPR</t>
  </si>
  <si>
    <t>460502</t>
  </si>
  <si>
    <t>Fire Sprinkler System Technology - APPR</t>
  </si>
  <si>
    <t>Industrial Pipefitter - APPR</t>
  </si>
  <si>
    <t>480506</t>
  </si>
  <si>
    <t>Sheet Metal Fabrication Technology - APPR</t>
  </si>
  <si>
    <t>Cisco CCNA</t>
  </si>
  <si>
    <t>120505</t>
  </si>
  <si>
    <t>Culinary Operations - APPR</t>
  </si>
  <si>
    <t>Aviation Structures &amp; Assembly Technician - APPR</t>
  </si>
  <si>
    <t>Biotechnology</t>
  </si>
  <si>
    <t>Interpretation Studies: English-Spanish</t>
  </si>
  <si>
    <t>Translation Studies: English - Spanish</t>
  </si>
  <si>
    <t>520212</t>
  </si>
  <si>
    <t>Fashion Marketing Management</t>
  </si>
  <si>
    <t>510912</t>
  </si>
  <si>
    <t>Physician Assistant</t>
  </si>
  <si>
    <t>Emergency Medical Technician (EMT)</t>
  </si>
  <si>
    <t>520207</t>
  </si>
  <si>
    <t>Customer Relationship Management</t>
  </si>
  <si>
    <t>Medical Record Transcribing--ATD</t>
  </si>
  <si>
    <t>Emergency Medical Technician (EMT)--ATD</t>
  </si>
  <si>
    <t>Firesafety Inspector I</t>
  </si>
  <si>
    <t>Computer Related Crime Investigation</t>
  </si>
  <si>
    <t>511501</t>
  </si>
  <si>
    <t>Addictions Studies</t>
  </si>
  <si>
    <t>511503</t>
  </si>
  <si>
    <t>Family Health Support Worker--ATD</t>
  </si>
  <si>
    <t xml:space="preserve">Award Type </t>
  </si>
  <si>
    <t xml:space="preserve">Length/ Hours </t>
  </si>
  <si>
    <t>FDOE Program Title</t>
  </si>
  <si>
    <t>PostSecondary Program Number</t>
  </si>
  <si>
    <t>Teach Out Programs</t>
  </si>
  <si>
    <t>Year Daggered</t>
  </si>
  <si>
    <t xml:space="preserve">Animal/Livestock Husbandry and Production. </t>
  </si>
  <si>
    <t/>
  </si>
  <si>
    <t>No</t>
  </si>
  <si>
    <t>Yes</t>
  </si>
  <si>
    <t>19-20</t>
  </si>
  <si>
    <t>A010616</t>
  </si>
  <si>
    <t>A200100</t>
  </si>
  <si>
    <t xml:space="preserve">Animal Training </t>
  </si>
  <si>
    <t>Aquaculture</t>
  </si>
  <si>
    <t>A010512</t>
  </si>
  <si>
    <t>P150507</t>
  </si>
  <si>
    <t>P150527</t>
  </si>
  <si>
    <t>P150509</t>
  </si>
  <si>
    <t xml:space="preserve">yes </t>
  </si>
  <si>
    <t>C400410</t>
  </si>
  <si>
    <t>C400400</t>
  </si>
  <si>
    <t>C400420</t>
  </si>
  <si>
    <t>C100200</t>
  </si>
  <si>
    <t>CAD/CADD Drafting and/or Design Technology/Technician</t>
  </si>
  <si>
    <t xml:space="preserve">CAD/CADD Drafting and/or Design Technology/Technician. </t>
  </si>
  <si>
    <t>C100300</t>
  </si>
  <si>
    <t>I463112</t>
  </si>
  <si>
    <t>C510300</t>
  </si>
  <si>
    <t>I460312</t>
  </si>
  <si>
    <t>I460314</t>
  </si>
  <si>
    <t>I460401</t>
  </si>
  <si>
    <t>C100100</t>
  </si>
  <si>
    <t>Pipefitting/Pipefitter and Sprinkler Fitter</t>
  </si>
  <si>
    <t>I460514</t>
  </si>
  <si>
    <t>C500500</t>
  </si>
  <si>
    <t>C700100</t>
  </si>
  <si>
    <t>I470203</t>
  </si>
  <si>
    <t>C400100</t>
  </si>
  <si>
    <t>C400200</t>
  </si>
  <si>
    <t>C410400</t>
  </si>
  <si>
    <t>V200600</t>
  </si>
  <si>
    <t>B070600</t>
  </si>
  <si>
    <t>K700100</t>
  </si>
  <si>
    <t>K700200</t>
  </si>
  <si>
    <t>I100240</t>
  </si>
  <si>
    <t>17-18</t>
  </si>
  <si>
    <t>Communications Systems Installation and Repair Technology/Technician</t>
  </si>
  <si>
    <t>K100200</t>
  </si>
  <si>
    <t xml:space="preserve"> Radio and Television Broadcasting Technology/Technician</t>
  </si>
  <si>
    <t>K100400</t>
  </si>
  <si>
    <t>K300300</t>
  </si>
  <si>
    <t>I480200</t>
  </si>
  <si>
    <t>I480205</t>
  </si>
  <si>
    <t>Photographic and Film/Video Technology/Technician</t>
  </si>
  <si>
    <t>K200200</t>
  </si>
  <si>
    <t>Computer Graphics</t>
  </si>
  <si>
    <t>I480203</t>
  </si>
  <si>
    <t>K300100</t>
  </si>
  <si>
    <t>K610100</t>
  </si>
  <si>
    <t>K610200</t>
  </si>
  <si>
    <t>K500100</t>
  </si>
  <si>
    <t>Recording Arts Technology/Technician</t>
  </si>
  <si>
    <t>K100100</t>
  </si>
  <si>
    <t>I100230</t>
  </si>
  <si>
    <t>K100300</t>
  </si>
  <si>
    <t>Digital Arts</t>
  </si>
  <si>
    <t>Graphic Communications, General</t>
  </si>
  <si>
    <t>B072000</t>
  </si>
  <si>
    <t>B700600</t>
  </si>
  <si>
    <t>B700700</t>
  </si>
  <si>
    <t>B600100</t>
  </si>
  <si>
    <t>B070300</t>
  </si>
  <si>
    <t>B060200</t>
  </si>
  <si>
    <t>13-14</t>
  </si>
  <si>
    <t>Medical Office Management/Administration</t>
  </si>
  <si>
    <t xml:space="preserve"> Business Analytics. </t>
  </si>
  <si>
    <t>B070110</t>
  </si>
  <si>
    <t>Risk Management</t>
  </si>
  <si>
    <t>B070330</t>
  </si>
  <si>
    <t>B079100</t>
  </si>
  <si>
    <t>V200206</t>
  </si>
  <si>
    <t>V200410</t>
  </si>
  <si>
    <t>E300100</t>
  </si>
  <si>
    <t>V200310</t>
  </si>
  <si>
    <t>P131299</t>
  </si>
  <si>
    <t>X600400</t>
  </si>
  <si>
    <t>Lineworker</t>
  </si>
  <si>
    <t>I460303</t>
  </si>
  <si>
    <t>X100100</t>
  </si>
  <si>
    <t>X500200</t>
  </si>
  <si>
    <t>X600500</t>
  </si>
  <si>
    <t>X600600</t>
  </si>
  <si>
    <t>F100300</t>
  </si>
  <si>
    <t>M810014</t>
  </si>
  <si>
    <t>M810015</t>
  </si>
  <si>
    <t>M810016</t>
  </si>
  <si>
    <t>M810017</t>
  </si>
  <si>
    <t>M810021</t>
  </si>
  <si>
    <t>F100400</t>
  </si>
  <si>
    <t>M810012</t>
  </si>
  <si>
    <t>I470304</t>
  </si>
  <si>
    <t>H170113</t>
  </si>
  <si>
    <t>H170108</t>
  </si>
  <si>
    <t>H170107</t>
  </si>
  <si>
    <t>H170508</t>
  </si>
  <si>
    <t>15-16</t>
  </si>
  <si>
    <t>Medical Insurance Specialist/Medical Biller</t>
  </si>
  <si>
    <t>H170530</t>
  </si>
  <si>
    <t>H170529</t>
  </si>
  <si>
    <t>H170515</t>
  </si>
  <si>
    <t>H170306</t>
  </si>
  <si>
    <t>H170700</t>
  </si>
  <si>
    <t>Orthopedic Technology/Technician</t>
  </si>
  <si>
    <t>H170800</t>
  </si>
  <si>
    <t>H171500</t>
  </si>
  <si>
    <t>Sterile Processing Technology/Technician</t>
  </si>
  <si>
    <t>H170222</t>
  </si>
  <si>
    <t>H170208</t>
  </si>
  <si>
    <t>W170213</t>
  </si>
  <si>
    <t>H170212</t>
  </si>
  <si>
    <t>Radiologic Technology/Science - Radiographer</t>
  </si>
  <si>
    <t>W170210</t>
  </si>
  <si>
    <t>H170211</t>
  </si>
  <si>
    <t>H170600</t>
  </si>
  <si>
    <t>H170302</t>
  </si>
  <si>
    <t>H170207</t>
  </si>
  <si>
    <t>H180100</t>
  </si>
  <si>
    <t>H170705</t>
  </si>
  <si>
    <t>2021-2022</t>
  </si>
  <si>
    <t>Community Health and Preventive Medicine.</t>
  </si>
  <si>
    <t>2020-21</t>
  </si>
  <si>
    <t>H170604</t>
  </si>
  <si>
    <t>H120406</t>
  </si>
  <si>
    <t>H170607</t>
  </si>
  <si>
    <t>H170602</t>
  </si>
  <si>
    <t>H170692</t>
  </si>
  <si>
    <t>H170690</t>
  </si>
  <si>
    <t>H170694</t>
  </si>
  <si>
    <t>Surgical Technology/Technologist</t>
  </si>
  <si>
    <t xml:space="preserve">Yes </t>
  </si>
  <si>
    <t>2021-22</t>
  </si>
  <si>
    <t>Community Health and Preventive Medicine</t>
  </si>
  <si>
    <t>M811040</t>
  </si>
  <si>
    <t>N300100</t>
  </si>
  <si>
    <t>N900100</t>
  </si>
  <si>
    <t>V200610</t>
  </si>
  <si>
    <t>N100500</t>
  </si>
  <si>
    <t>M607010</t>
  </si>
  <si>
    <t>N100600</t>
  </si>
  <si>
    <t>N100510</t>
  </si>
  <si>
    <t>N100520</t>
  </si>
  <si>
    <t>Substance Abuse/Addiction Counseling</t>
  </si>
  <si>
    <t>Community Health Services/Liaison/Counseling</t>
  </si>
  <si>
    <t>D500100</t>
  </si>
  <si>
    <t>I120402</t>
  </si>
  <si>
    <t>I120424</t>
  </si>
  <si>
    <t>D500200</t>
  </si>
  <si>
    <t>I120414</t>
  </si>
  <si>
    <t xml:space="preserve">Computer and Information Systems Security/Auditing/Information Assurance. </t>
  </si>
  <si>
    <t>Y500100</t>
  </si>
  <si>
    <t>Y300400</t>
  </si>
  <si>
    <t>Y700500</t>
  </si>
  <si>
    <t>B070320</t>
  </si>
  <si>
    <t>Y700200</t>
  </si>
  <si>
    <t>Y700400</t>
  </si>
  <si>
    <t>Y700300</t>
  </si>
  <si>
    <t xml:space="preserve">Web/Multimedia Management and Webmaster </t>
  </si>
  <si>
    <t>Y700100</t>
  </si>
  <si>
    <t>Y300100</t>
  </si>
  <si>
    <t>20-21</t>
  </si>
  <si>
    <t>Y500200</t>
  </si>
  <si>
    <t>Y500300</t>
  </si>
  <si>
    <t>B078000</t>
  </si>
  <si>
    <t>B079300</t>
  </si>
  <si>
    <t>Y100200</t>
  </si>
  <si>
    <t>Y300500</t>
  </si>
  <si>
    <t>Y300600</t>
  </si>
  <si>
    <t>Y100300</t>
  </si>
  <si>
    <t xml:space="preserve">Cloud Computing </t>
  </si>
  <si>
    <t>Y100400</t>
  </si>
  <si>
    <t>Y100100</t>
  </si>
  <si>
    <t>T860020</t>
  </si>
  <si>
    <t>B082100</t>
  </si>
  <si>
    <t>B082200</t>
  </si>
  <si>
    <t>B082300</t>
  </si>
  <si>
    <t>B082400</t>
  </si>
  <si>
    <t>Data Science, General.</t>
  </si>
  <si>
    <t xml:space="preserve">Data Modeling/Warehousing and Database Administration. </t>
  </si>
  <si>
    <t xml:space="preserve">Web/Multimedia Management and Webmaster. </t>
  </si>
  <si>
    <t xml:space="preserve">Data Science, General. </t>
  </si>
  <si>
    <t>P430211</t>
  </si>
  <si>
    <t>P430217</t>
  </si>
  <si>
    <t>P430205</t>
  </si>
  <si>
    <t>P430102</t>
  </si>
  <si>
    <t>P430132</t>
  </si>
  <si>
    <t>P430142</t>
  </si>
  <si>
    <t>P430152</t>
  </si>
  <si>
    <t>P430123</t>
  </si>
  <si>
    <t>P430232</t>
  </si>
  <si>
    <t>P430255</t>
  </si>
  <si>
    <t>P430105</t>
  </si>
  <si>
    <t>P430125</t>
  </si>
  <si>
    <t>P430107</t>
  </si>
  <si>
    <t>Deleted in 19-20</t>
  </si>
  <si>
    <t>P430116</t>
  </si>
  <si>
    <t>P430225</t>
  </si>
  <si>
    <t>P430109</t>
  </si>
  <si>
    <t>P430208</t>
  </si>
  <si>
    <t>P430135</t>
  </si>
  <si>
    <t>P439991</t>
  </si>
  <si>
    <t>P430210</t>
  </si>
  <si>
    <t>P430216</t>
  </si>
  <si>
    <t>P090101</t>
  </si>
  <si>
    <t>I150303</t>
  </si>
  <si>
    <t>J540100</t>
  </si>
  <si>
    <t>J540200</t>
  </si>
  <si>
    <t>J540300</t>
  </si>
  <si>
    <t>J400100</t>
  </si>
  <si>
    <t>I150404</t>
  </si>
  <si>
    <t>J110100</t>
  </si>
  <si>
    <t>J110200</t>
  </si>
  <si>
    <t>J100200</t>
  </si>
  <si>
    <t>J200200</t>
  </si>
  <si>
    <t>I150603</t>
  </si>
  <si>
    <t>J550100</t>
  </si>
  <si>
    <t>J620300</t>
  </si>
  <si>
    <t>I470303</t>
  </si>
  <si>
    <t>I470313</t>
  </si>
  <si>
    <t>J590100</t>
  </si>
  <si>
    <t>J590200</t>
  </si>
  <si>
    <t>J590400</t>
  </si>
  <si>
    <t>J590500</t>
  </si>
  <si>
    <t>J450400</t>
  </si>
  <si>
    <t>J450500</t>
  </si>
  <si>
    <t>J450600</t>
  </si>
  <si>
    <t>J450700</t>
  </si>
  <si>
    <t>J200100</t>
  </si>
  <si>
    <t>J200300</t>
  </si>
  <si>
    <t>J400400</t>
  </si>
  <si>
    <t>J400410</t>
  </si>
  <si>
    <t>M812040</t>
  </si>
  <si>
    <t>M200100</t>
  </si>
  <si>
    <t>M807010</t>
  </si>
  <si>
    <t>Digital Marketing</t>
  </si>
  <si>
    <t>M200500</t>
  </si>
  <si>
    <t>I470608</t>
  </si>
  <si>
    <t>14-15</t>
  </si>
  <si>
    <t>I470605</t>
  </si>
  <si>
    <t>T640200</t>
  </si>
  <si>
    <t>T440100</t>
  </si>
  <si>
    <t>T401300</t>
  </si>
  <si>
    <t>I470604</t>
  </si>
  <si>
    <t>T400700</t>
  </si>
  <si>
    <t>T400800</t>
  </si>
  <si>
    <t>T600100</t>
  </si>
  <si>
    <t>T600200</t>
  </si>
  <si>
    <t>T401100</t>
  </si>
  <si>
    <t>T401200</t>
  </si>
  <si>
    <t>T404100</t>
  </si>
  <si>
    <t>T400710</t>
  </si>
  <si>
    <t>T400720</t>
  </si>
  <si>
    <t>T400730</t>
  </si>
  <si>
    <t>T400740</t>
  </si>
  <si>
    <t>T400910</t>
  </si>
  <si>
    <t>T440400</t>
  </si>
  <si>
    <t>T410300</t>
  </si>
  <si>
    <t>T640300</t>
  </si>
  <si>
    <t>T640400</t>
  </si>
  <si>
    <t>T640100</t>
  </si>
  <si>
    <t>T400310</t>
  </si>
  <si>
    <t>T650100</t>
  </si>
  <si>
    <t>T650200</t>
  </si>
  <si>
    <t>T660100</t>
  </si>
  <si>
    <t>T660200</t>
  </si>
  <si>
    <t>T660300</t>
  </si>
  <si>
    <t>T400210</t>
  </si>
  <si>
    <t>T440200</t>
  </si>
  <si>
    <t>T650500</t>
  </si>
  <si>
    <t>I490205</t>
  </si>
  <si>
    <t>I490251</t>
  </si>
  <si>
    <t>T300100</t>
  </si>
  <si>
    <r>
      <t xml:space="preserve">2020 Federal CIP Title                                                                                                    </t>
    </r>
    <r>
      <rPr>
        <b/>
        <sz val="11"/>
        <color rgb="FFFF0000"/>
        <rFont val="Calibri"/>
        <family val="2"/>
      </rPr>
      <t>(**Note** This is NOT the program title)</t>
    </r>
  </si>
  <si>
    <r>
      <t xml:space="preserve">Please note, N/A indicates that your college has reported at least one enrollment or completion in 2019-20, but this 10-digit CIP does not currently exist in the Approved 2020-21 Program Inventory and is therefore not reportable. </t>
    </r>
    <r>
      <rPr>
        <b/>
        <sz val="11"/>
        <color rgb="FFFF0000"/>
        <rFont val="Calibri"/>
        <family val="2"/>
      </rPr>
      <t>Please review these programs to ensure that the most current CIP codes are being used.</t>
    </r>
  </si>
  <si>
    <t>College Name ABBRV</t>
  </si>
  <si>
    <t>College Name</t>
  </si>
  <si>
    <t>FDOE 2010 CIP Number In Use at College (10-digit)</t>
  </si>
  <si>
    <t>FDOE Recommended 2020 Federal CIP</t>
  </si>
  <si>
    <r>
      <t xml:space="preserve">2020 Federal CIP Title                                                                                                               </t>
    </r>
    <r>
      <rPr>
        <b/>
        <sz val="11"/>
        <color rgb="FFFF0000"/>
        <rFont val="Calibri"/>
        <family val="2"/>
      </rPr>
      <t>(**Note** This is NOT the program title)</t>
    </r>
  </si>
  <si>
    <t>Local Agency Assessment: Agree/Disagree with FDOE Recommended 2020 CIP Assignment (Column G)</t>
  </si>
  <si>
    <t xml:space="preserve">Local Agency Assessment: Suggested 2020 Federal CIP (Must be valid NCES 2020 CIP) </t>
  </si>
  <si>
    <t xml:space="preserve">Local Agency Comments/Notes </t>
  </si>
  <si>
    <t>DSC</t>
  </si>
  <si>
    <t>GCSC</t>
  </si>
  <si>
    <t>HCC</t>
  </si>
  <si>
    <t>IRSC</t>
  </si>
  <si>
    <t>FGC</t>
  </si>
  <si>
    <t>LSSC</t>
  </si>
  <si>
    <t>MDC</t>
  </si>
  <si>
    <t>NFC</t>
  </si>
  <si>
    <t>PBSC</t>
  </si>
  <si>
    <t>PHSC</t>
  </si>
  <si>
    <t>PSC</t>
  </si>
  <si>
    <t>Polk</t>
  </si>
  <si>
    <t>SJRSC</t>
  </si>
  <si>
    <t>SPC</t>
  </si>
  <si>
    <t>SFC</t>
  </si>
  <si>
    <r>
      <t xml:space="preserve">2020 Federal CIP Title                                                                                                                 </t>
    </r>
    <r>
      <rPr>
        <b/>
        <sz val="11"/>
        <color rgb="FFFF0000"/>
        <rFont val="Calibri"/>
        <family val="2"/>
      </rPr>
      <t>(**Note** This is NOT the program title)</t>
    </r>
  </si>
  <si>
    <t>SSCF</t>
  </si>
  <si>
    <t>SFSC</t>
  </si>
  <si>
    <t>TCC</t>
  </si>
  <si>
    <t>VC</t>
  </si>
  <si>
    <t>BC</t>
  </si>
  <si>
    <t>CC</t>
  </si>
  <si>
    <t>FSWSC</t>
  </si>
  <si>
    <t>FK</t>
  </si>
  <si>
    <t>NWFSC</t>
  </si>
  <si>
    <t>Medical Record Transcribing/Healthcare Documentation</t>
  </si>
  <si>
    <t>Medical Record Transcribing/Healthcare Documentation--ATD</t>
  </si>
  <si>
    <t>H170106</t>
  </si>
  <si>
    <t>H170506</t>
  </si>
  <si>
    <t>H170500</t>
  </si>
  <si>
    <t>W170212</t>
  </si>
  <si>
    <t>W170211</t>
  </si>
  <si>
    <t>0351070701</t>
  </si>
  <si>
    <t>01 Count</t>
  </si>
  <si>
    <t>02 Count</t>
  </si>
  <si>
    <t>03 Count</t>
  </si>
  <si>
    <t>04 Count</t>
  </si>
  <si>
    <t>05 Count</t>
  </si>
  <si>
    <t>06 Count</t>
  </si>
  <si>
    <t>07 Count</t>
  </si>
  <si>
    <t>08 Count</t>
  </si>
  <si>
    <t>09 Count</t>
  </si>
  <si>
    <t>10 Count</t>
  </si>
  <si>
    <t>11 Count</t>
  </si>
  <si>
    <t>12 Count</t>
  </si>
  <si>
    <t>13 Count</t>
  </si>
  <si>
    <t>14 Count</t>
  </si>
  <si>
    <t>15 Count</t>
  </si>
  <si>
    <t>16 Count</t>
  </si>
  <si>
    <t>17 Count</t>
  </si>
  <si>
    <t>18 Count</t>
  </si>
  <si>
    <t>19 Count</t>
  </si>
  <si>
    <t>20 Count</t>
  </si>
  <si>
    <t>21 Count</t>
  </si>
  <si>
    <t>22 Count</t>
  </si>
  <si>
    <t>23 Count</t>
  </si>
  <si>
    <t>24 Count</t>
  </si>
  <si>
    <t>25 Count</t>
  </si>
  <si>
    <t>26 Count</t>
  </si>
  <si>
    <t>27 Count</t>
  </si>
  <si>
    <t>28 Count</t>
  </si>
  <si>
    <t>Grand Count</t>
  </si>
  <si>
    <t>SCFMS</t>
  </si>
  <si>
    <r>
      <t xml:space="preserve">2020 Federal CIP Title                                                                                                                    </t>
    </r>
    <r>
      <rPr>
        <b/>
        <sz val="11"/>
        <color rgb="FFFF0000"/>
        <rFont val="Calibri"/>
        <family val="2"/>
      </rPr>
      <t>(**Note** This is NOT the program title)</t>
    </r>
  </si>
  <si>
    <r>
      <t xml:space="preserve">     2020 Federal CIP Title                                                                                                               </t>
    </r>
    <r>
      <rPr>
        <b/>
        <sz val="11"/>
        <color rgb="FFFF0000"/>
        <rFont val="Calibri"/>
        <family val="2"/>
      </rPr>
      <t>(**Note** This is NOT the program title)</t>
    </r>
  </si>
  <si>
    <t>Format_CIPCode2010</t>
  </si>
  <si>
    <t>CIPCode2010</t>
  </si>
  <si>
    <t>CIPTitle2010</t>
  </si>
  <si>
    <t>Action</t>
  </si>
  <si>
    <t>Text change</t>
  </si>
  <si>
    <t>CIPCode2020</t>
  </si>
  <si>
    <t>CIPTitle2020</t>
  </si>
  <si>
    <t>Status</t>
  </si>
  <si>
    <t>Format_CipCode2020</t>
  </si>
  <si>
    <t>AGRICULTURE, AGRICULTURE OPERATIONS, AND RELATED SCIENCES.</t>
  </si>
  <si>
    <t>No substantive changes</t>
  </si>
  <si>
    <t>yes</t>
  </si>
  <si>
    <t>AGRICULTURAL/ANIMAL/PLANT/VETERINARY SCIENCE AND RELATED FIELDS.</t>
  </si>
  <si>
    <t>no</t>
  </si>
  <si>
    <t>Agricultural Business and Management.</t>
  </si>
  <si>
    <t>010102</t>
  </si>
  <si>
    <t>Agribusiness/Agricultural Business Operations.</t>
  </si>
  <si>
    <t>010103</t>
  </si>
  <si>
    <t>Agricultural Economics.</t>
  </si>
  <si>
    <t>010104</t>
  </si>
  <si>
    <t>Farm/Farm and Ranch Management.</t>
  </si>
  <si>
    <t>010105</t>
  </si>
  <si>
    <t>Agricultural/Farm Supplies Retailing and Wholesaling.</t>
  </si>
  <si>
    <t>010106</t>
  </si>
  <si>
    <t>Agricultural Business Technology.</t>
  </si>
  <si>
    <t>Agricultural Business Technology/Technician.</t>
  </si>
  <si>
    <t>010199</t>
  </si>
  <si>
    <t>Agricultural Business and Management, Other.</t>
  </si>
  <si>
    <t>Agricultural Mechanization.</t>
  </si>
  <si>
    <t>010201</t>
  </si>
  <si>
    <t>Agricultural Mechanization, General.</t>
  </si>
  <si>
    <t>010204</t>
  </si>
  <si>
    <t>Agricultural Power Machinery Operation.</t>
  </si>
  <si>
    <t>010205</t>
  </si>
  <si>
    <t>Agricultural Mechanics and Equipment/Machine Technology.</t>
  </si>
  <si>
    <t>Agricultural Mechanics and Equipment/Machine Technology/Technician.</t>
  </si>
  <si>
    <t>New</t>
  </si>
  <si>
    <t>Irrigation Management Technology/Technician.</t>
  </si>
  <si>
    <t>010299</t>
  </si>
  <si>
    <t>Agricultural Mechanization, Other.</t>
  </si>
  <si>
    <t>Agricultural Production Operations.</t>
  </si>
  <si>
    <t>010301</t>
  </si>
  <si>
    <t>Agricultural Production Operations, General.</t>
  </si>
  <si>
    <t>010302</t>
  </si>
  <si>
    <t>Animal/Livestock Husbandry and Production.</t>
  </si>
  <si>
    <t>010304</t>
  </si>
  <si>
    <t>Crop Production.</t>
  </si>
  <si>
    <t>010306</t>
  </si>
  <si>
    <t>Dairy Husbandry and Production.</t>
  </si>
  <si>
    <t>010307</t>
  </si>
  <si>
    <t>Horse Husbandry/Equine Science and Management.</t>
  </si>
  <si>
    <t>010308</t>
  </si>
  <si>
    <t>Agroecology and Sustainable Agriculture.</t>
  </si>
  <si>
    <t>010309</t>
  </si>
  <si>
    <t>Viticulture and Enology.</t>
  </si>
  <si>
    <t>Moved to</t>
  </si>
  <si>
    <t>Apiculture.</t>
  </si>
  <si>
    <t>010399</t>
  </si>
  <si>
    <t>Agricultural Production Operations, Other.</t>
  </si>
  <si>
    <t>Agricultural and Food Products Processing.</t>
  </si>
  <si>
    <t>010401</t>
  </si>
  <si>
    <t>Agricultural and Domestic Animal Services.</t>
  </si>
  <si>
    <t>010504</t>
  </si>
  <si>
    <t>Dog/Pet/Animal Grooming.</t>
  </si>
  <si>
    <t>010505</t>
  </si>
  <si>
    <t>Animal Training.</t>
  </si>
  <si>
    <t>010508</t>
  </si>
  <si>
    <t>Taxidermy/Taxidermist.</t>
  </si>
  <si>
    <t>Farrier Science.</t>
  </si>
  <si>
    <t>010599</t>
  </si>
  <si>
    <t>Agricultural and Domestic Animal Services, Other.</t>
  </si>
  <si>
    <t>Applied Horticulture and Horticultural Business Services.</t>
  </si>
  <si>
    <t>010601</t>
  </si>
  <si>
    <t>Applied Horticulture/Horticulture Operations, General.</t>
  </si>
  <si>
    <t>010603</t>
  </si>
  <si>
    <t>Ornamental Horticulture.</t>
  </si>
  <si>
    <t>010604</t>
  </si>
  <si>
    <t>Greenhouse Operations and Management.</t>
  </si>
  <si>
    <t>010608</t>
  </si>
  <si>
    <t>Floriculture/Floristry Operations and Management.</t>
  </si>
  <si>
    <t>Public Horticulture.</t>
  </si>
  <si>
    <t>Urban and Community Horticulture.</t>
  </si>
  <si>
    <t>010699</t>
  </si>
  <si>
    <t>Applied Horticulture/Horticultural Business Services, Other.</t>
  </si>
  <si>
    <t>International Agriculture.</t>
  </si>
  <si>
    <t>010701</t>
  </si>
  <si>
    <t>Agricultural Public Services.</t>
  </si>
  <si>
    <t>010801</t>
  </si>
  <si>
    <t>Agricultural and Extension Education Services.</t>
  </si>
  <si>
    <t>010802</t>
  </si>
  <si>
    <t>Agricultural Communication/Journalism.</t>
  </si>
  <si>
    <t>010899</t>
  </si>
  <si>
    <t>Agricultural Public Services, Other.</t>
  </si>
  <si>
    <t>Animal Sciences.</t>
  </si>
  <si>
    <t>010901</t>
  </si>
  <si>
    <t>Animal Sciences, General.</t>
  </si>
  <si>
    <t>010902</t>
  </si>
  <si>
    <t>Agricultural Animal Breeding.</t>
  </si>
  <si>
    <t>010903</t>
  </si>
  <si>
    <t>Animal Health.</t>
  </si>
  <si>
    <t>010904</t>
  </si>
  <si>
    <t>Animal Nutrition.</t>
  </si>
  <si>
    <t>010905</t>
  </si>
  <si>
    <t>Dairy Science.</t>
  </si>
  <si>
    <t>010906</t>
  </si>
  <si>
    <t>Livestock Management.</t>
  </si>
  <si>
    <t>010907</t>
  </si>
  <si>
    <t>Poultry Science.</t>
  </si>
  <si>
    <t>Food Science and Technology.</t>
  </si>
  <si>
    <t>011001</t>
  </si>
  <si>
    <t>Food Science.</t>
  </si>
  <si>
    <t>011002</t>
  </si>
  <si>
    <t>Food Technology and Processing.</t>
  </si>
  <si>
    <t>Brewing Science.</t>
  </si>
  <si>
    <t>Zymology/Fermentation Science.</t>
  </si>
  <si>
    <t>011099</t>
  </si>
  <si>
    <t>Food Science and Technology, Other.</t>
  </si>
  <si>
    <t>Plant Sciences.</t>
  </si>
  <si>
    <t>011101</t>
  </si>
  <si>
    <t>Plant Sciences, General.</t>
  </si>
  <si>
    <t>011102</t>
  </si>
  <si>
    <t>Agronomy and Crop Science.</t>
  </si>
  <si>
    <t>011104</t>
  </si>
  <si>
    <t>Agricultural and Horticultural Plant Breeding.</t>
  </si>
  <si>
    <t>011105</t>
  </si>
  <si>
    <t>Plant Protection and Integrated Pest Management.</t>
  </si>
  <si>
    <t>011106</t>
  </si>
  <si>
    <t>Range Science and Management.</t>
  </si>
  <si>
    <t>011199</t>
  </si>
  <si>
    <t>Plant Sciences, Other.</t>
  </si>
  <si>
    <t>Soil Sciences.</t>
  </si>
  <si>
    <t>011201</t>
  </si>
  <si>
    <t>Soil Science and Agronomy, General.</t>
  </si>
  <si>
    <t>011202</t>
  </si>
  <si>
    <t>Soil Chemistry and Physics.</t>
  </si>
  <si>
    <t>011203</t>
  </si>
  <si>
    <t>Soil Microbiology.</t>
  </si>
  <si>
    <t>011299</t>
  </si>
  <si>
    <t>Soil Sciences, Other.</t>
  </si>
  <si>
    <t>Agriculture/Veterinary Preparatory Programs.</t>
  </si>
  <si>
    <t>Agriculture/Veterinary Preparatory Programs, Other.</t>
  </si>
  <si>
    <t>Veterinary Administrative Services.</t>
  </si>
  <si>
    <t>Veterinary Administrative Services, General.</t>
  </si>
  <si>
    <t>Veterinary Office Management/Administration.</t>
  </si>
  <si>
    <t>Veterinary Reception/Receptionist.</t>
  </si>
  <si>
    <t>Veterinary Administrative/Executive Assistant and Veterinary Secretary.</t>
  </si>
  <si>
    <t>Veterinary Administrative Services, Other.</t>
  </si>
  <si>
    <t>Veterinary/Animal Health Technologies/Technicians.</t>
  </si>
  <si>
    <t>Veterinary/Animal Health Technologies/Technicians, Other.</t>
  </si>
  <si>
    <t>Agriculture, Agriculture Operations, and Related Sciences, Other.</t>
  </si>
  <si>
    <t>Agricultural/Animal/Plant/Veterinary Science and Related Fields, Other.</t>
  </si>
  <si>
    <t>019999</t>
  </si>
  <si>
    <t>NATURAL RESOURCES AND CONSERVATION.</t>
  </si>
  <si>
    <t>Natural Resources Conservation and Research.</t>
  </si>
  <si>
    <t>030101</t>
  </si>
  <si>
    <t>Natural Resources/Conservation, General.</t>
  </si>
  <si>
    <t>030103</t>
  </si>
  <si>
    <t>Environmental Studies.</t>
  </si>
  <si>
    <t>030199</t>
  </si>
  <si>
    <t>Natural Resources Conservation and Research, Other.</t>
  </si>
  <si>
    <t>Natural Resources Management and Policy.</t>
  </si>
  <si>
    <t>Environmental/Natural Resources Management and Policy.</t>
  </si>
  <si>
    <t>030201</t>
  </si>
  <si>
    <t>Environmental/Natural Resources Management and Policy, General.</t>
  </si>
  <si>
    <t>030204</t>
  </si>
  <si>
    <t>Natural Resource Economics.</t>
  </si>
  <si>
    <t>Environmental/Natural Resource Economics.</t>
  </si>
  <si>
    <t>030205</t>
  </si>
  <si>
    <t>Water, Wetlands, and Marine Resources Management.</t>
  </si>
  <si>
    <t>030206</t>
  </si>
  <si>
    <t>Land Use Planning and Management/Development.</t>
  </si>
  <si>
    <t>030207</t>
  </si>
  <si>
    <t>Natural Resource Recreation and Tourism.</t>
  </si>
  <si>
    <t>Environmental/Natural Resource Recreation and Tourism.</t>
  </si>
  <si>
    <t>030208</t>
  </si>
  <si>
    <t>Natural Resources Law Enforcement and Protective Services.</t>
  </si>
  <si>
    <t>Environmental/Natural Resources Law Enforcement and Protective Services.</t>
  </si>
  <si>
    <t>Energy and Environmental Policy.</t>
  </si>
  <si>
    <t>Bioenergy.</t>
  </si>
  <si>
    <t>030299</t>
  </si>
  <si>
    <t>Natural Resources Management and Policy, Other.</t>
  </si>
  <si>
    <t>Environmental/Natural Resources Management and Policy, Other.</t>
  </si>
  <si>
    <t>Fishing and Fisheries Sciences and Management.</t>
  </si>
  <si>
    <t>030301</t>
  </si>
  <si>
    <t>Forestry.</t>
  </si>
  <si>
    <t>030501</t>
  </si>
  <si>
    <t>Forestry, General.</t>
  </si>
  <si>
    <t>030502</t>
  </si>
  <si>
    <t>Forest Sciences and Biology.</t>
  </si>
  <si>
    <t>030506</t>
  </si>
  <si>
    <t>Forest Management/Forest Resources Management.</t>
  </si>
  <si>
    <t>030508</t>
  </si>
  <si>
    <t>Urban Forestry.</t>
  </si>
  <si>
    <t>030509</t>
  </si>
  <si>
    <t>Wood Science and Wood Products/Pulp and Paper Technology.</t>
  </si>
  <si>
    <t>Wood Science and Wood Products/Pulp and Paper Technology/Technician.</t>
  </si>
  <si>
    <t>030510</t>
  </si>
  <si>
    <t>Forest Resources Production and Management.</t>
  </si>
  <si>
    <t>030511</t>
  </si>
  <si>
    <t>Forest Technology/Technician.</t>
  </si>
  <si>
    <t>030599</t>
  </si>
  <si>
    <t>Forestry, Other.</t>
  </si>
  <si>
    <t>Wildlife and Wildlands Science and Management.</t>
  </si>
  <si>
    <t>Natural Resources and Conservation, Other.</t>
  </si>
  <si>
    <t>039999</t>
  </si>
  <si>
    <t>ARCHITECTURE AND RELATED SERVICES.</t>
  </si>
  <si>
    <t>Architecture.</t>
  </si>
  <si>
    <t>Pre-Architecture Studies.</t>
  </si>
  <si>
    <t>040201</t>
  </si>
  <si>
    <t>Architectural Design.</t>
  </si>
  <si>
    <t>Architecture, Other.</t>
  </si>
  <si>
    <t>City/Urban, Community and Regional Planning.</t>
  </si>
  <si>
    <t>City/Urban, Community, and Regional Planning.</t>
  </si>
  <si>
    <t>040301</t>
  </si>
  <si>
    <t>Environmental Design.</t>
  </si>
  <si>
    <t>040401</t>
  </si>
  <si>
    <t>Environmental Design/Architecture.</t>
  </si>
  <si>
    <t>Healthcare Environment Design/Architecture.</t>
  </si>
  <si>
    <t>Sustainable Design/Architecture.</t>
  </si>
  <si>
    <t>Environmental Design, Other.</t>
  </si>
  <si>
    <t>Interior Architecture.</t>
  </si>
  <si>
    <t>040501</t>
  </si>
  <si>
    <t>Landscape Architecture.</t>
  </si>
  <si>
    <t>040601</t>
  </si>
  <si>
    <t>Architectural History and Criticism.</t>
  </si>
  <si>
    <t>Architectural History, Criticism, and Conservation.</t>
  </si>
  <si>
    <t>040801</t>
  </si>
  <si>
    <t>Architectural History and Criticism, General.</t>
  </si>
  <si>
    <t>Architectural Conservation.</t>
  </si>
  <si>
    <t>Architectural Studies.</t>
  </si>
  <si>
    <t>Architectural History, Criticism, and Conservation, Other.</t>
  </si>
  <si>
    <t>Architectural Sciences and Technology.</t>
  </si>
  <si>
    <t>040902</t>
  </si>
  <si>
    <t>Architectural and Building Sciences/Technology.</t>
  </si>
  <si>
    <t>040999</t>
  </si>
  <si>
    <t>Architectural Sciences and Technology, Other.</t>
  </si>
  <si>
    <t>Real Estate Development.</t>
  </si>
  <si>
    <t>041001</t>
  </si>
  <si>
    <t>Architecture and Related Services, Other.</t>
  </si>
  <si>
    <t>049999</t>
  </si>
  <si>
    <t>AREA, ETHNIC, CULTURAL, GENDER, AND GROUP STUDIES.</t>
  </si>
  <si>
    <t>Area Studies.</t>
  </si>
  <si>
    <t>050101</t>
  </si>
  <si>
    <t>African Studies.</t>
  </si>
  <si>
    <t>050102</t>
  </si>
  <si>
    <t>American/United States Studies/Civilization.</t>
  </si>
  <si>
    <t>050103</t>
  </si>
  <si>
    <t>Asian Studies/Civilization.</t>
  </si>
  <si>
    <t>050104</t>
  </si>
  <si>
    <t>East Asian Studies.</t>
  </si>
  <si>
    <t>050105</t>
  </si>
  <si>
    <t>Russian, Central European, East European and Eurasian Studies.</t>
  </si>
  <si>
    <t>050106</t>
  </si>
  <si>
    <t>European Studies/Civilization.</t>
  </si>
  <si>
    <t>050107</t>
  </si>
  <si>
    <t>Latin American Studies.</t>
  </si>
  <si>
    <t>050108</t>
  </si>
  <si>
    <t>Near and Middle Eastern Studies.</t>
  </si>
  <si>
    <t>050109</t>
  </si>
  <si>
    <t>Pacific Area/Pacific Rim Studies.</t>
  </si>
  <si>
    <t>050110</t>
  </si>
  <si>
    <t>Russian Studies.</t>
  </si>
  <si>
    <t>050111</t>
  </si>
  <si>
    <t>Scandinavian Studies.</t>
  </si>
  <si>
    <t>050112</t>
  </si>
  <si>
    <t>South Asian Studies.</t>
  </si>
  <si>
    <t>050113</t>
  </si>
  <si>
    <t>Southeast Asian Studies.</t>
  </si>
  <si>
    <t>050114</t>
  </si>
  <si>
    <t>Western European Studies.</t>
  </si>
  <si>
    <t>050115</t>
  </si>
  <si>
    <t>Canadian Studies.</t>
  </si>
  <si>
    <t>050116</t>
  </si>
  <si>
    <t>Balkans Studies.</t>
  </si>
  <si>
    <t>050117</t>
  </si>
  <si>
    <t>Baltic Studies.</t>
  </si>
  <si>
    <t>050118</t>
  </si>
  <si>
    <t>Slavic Studies.</t>
  </si>
  <si>
    <t>050119</t>
  </si>
  <si>
    <t>Caribbean Studies.</t>
  </si>
  <si>
    <t>050120</t>
  </si>
  <si>
    <t>Ural-Altaic and Central Asian Studies.</t>
  </si>
  <si>
    <t>050121</t>
  </si>
  <si>
    <t>Commonwealth Studies.</t>
  </si>
  <si>
    <t>050122</t>
  </si>
  <si>
    <t>Regional Studies (U.S., Canadian, Foreign)</t>
  </si>
  <si>
    <t>Regional Studies (U.S., Canadian, Foreign).</t>
  </si>
  <si>
    <t>050123</t>
  </si>
  <si>
    <t>Chinese Studies.</t>
  </si>
  <si>
    <t>050124</t>
  </si>
  <si>
    <t>French Studies.</t>
  </si>
  <si>
    <t>050125</t>
  </si>
  <si>
    <t>German Studies.</t>
  </si>
  <si>
    <t>050126</t>
  </si>
  <si>
    <t>Italian Studies.</t>
  </si>
  <si>
    <t>050127</t>
  </si>
  <si>
    <t>Japanese Studies.</t>
  </si>
  <si>
    <t>050128</t>
  </si>
  <si>
    <t>Korean Studies.</t>
  </si>
  <si>
    <t>050129</t>
  </si>
  <si>
    <t>Polish Studies.</t>
  </si>
  <si>
    <t>050130</t>
  </si>
  <si>
    <t>Spanish and Iberian Studies.</t>
  </si>
  <si>
    <t>050131</t>
  </si>
  <si>
    <t>Tibetan Studies.</t>
  </si>
  <si>
    <t>050132</t>
  </si>
  <si>
    <t>Ukraine Studies.</t>
  </si>
  <si>
    <t>050133</t>
  </si>
  <si>
    <t>Irish Studies.</t>
  </si>
  <si>
    <t>050134</t>
  </si>
  <si>
    <t>Latin American and Caribbean Studies.</t>
  </si>
  <si>
    <t>Appalachian Studies.</t>
  </si>
  <si>
    <t>Arctic Studies.</t>
  </si>
  <si>
    <t>050199</t>
  </si>
  <si>
    <t>Area Studies, Other.</t>
  </si>
  <si>
    <t>Ethnic, Cultural Minority, Gender, and Group Studies.</t>
  </si>
  <si>
    <t>050200</t>
  </si>
  <si>
    <t>Ethnic Studies.</t>
  </si>
  <si>
    <t>050201</t>
  </si>
  <si>
    <t>African-American/Black Studies.</t>
  </si>
  <si>
    <t>050202</t>
  </si>
  <si>
    <t>American Indian/Native American Studies.</t>
  </si>
  <si>
    <t>050203</t>
  </si>
  <si>
    <t>Hispanic-American, Puerto Rican, and Mexican-American/Chicano Studies.</t>
  </si>
  <si>
    <t>050206</t>
  </si>
  <si>
    <t>Asian-American Studies.</t>
  </si>
  <si>
    <t>050207</t>
  </si>
  <si>
    <t>Women's Studies.</t>
  </si>
  <si>
    <t>050208</t>
  </si>
  <si>
    <t>Gay/Lesbian Studies.</t>
  </si>
  <si>
    <t>050209</t>
  </si>
  <si>
    <t>Folklore Studies.</t>
  </si>
  <si>
    <t>050210</t>
  </si>
  <si>
    <t>Disability Studies.</t>
  </si>
  <si>
    <t>050211</t>
  </si>
  <si>
    <t>Deaf Studies.</t>
  </si>
  <si>
    <t>Comparative Group Studies.</t>
  </si>
  <si>
    <t>050299</t>
  </si>
  <si>
    <t>Ethnic, Cultural Minority, Gender, and Group Studies, Other.</t>
  </si>
  <si>
    <t>Area, Ethnic, Cultural, Gender, and Group Studies, Other.</t>
  </si>
  <si>
    <t>COMMUNICATION, JOURNALISM, AND RELATED PROGRAMS.</t>
  </si>
  <si>
    <t>Communication and Media Studies.</t>
  </si>
  <si>
    <t>090100</t>
  </si>
  <si>
    <t>Communication, General.</t>
  </si>
  <si>
    <t>090101</t>
  </si>
  <si>
    <t>Speech Communication and Rhetoric.</t>
  </si>
  <si>
    <t>090102</t>
  </si>
  <si>
    <t>Mass Communication/Media Studies.</t>
  </si>
  <si>
    <t>090199</t>
  </si>
  <si>
    <t>Communication and Media Studies, Other.</t>
  </si>
  <si>
    <t>Journalism.</t>
  </si>
  <si>
    <t>090401</t>
  </si>
  <si>
    <t>090404</t>
  </si>
  <si>
    <t>Photojournalism.</t>
  </si>
  <si>
    <t>Business and Economic Journalism.</t>
  </si>
  <si>
    <t>Cultural Journalism.</t>
  </si>
  <si>
    <t>Science/Health/Environmental Journalism.</t>
  </si>
  <si>
    <t>Radio, Television, and Digital Communication.</t>
  </si>
  <si>
    <t>090701</t>
  </si>
  <si>
    <t>Radio and Television.</t>
  </si>
  <si>
    <t>090799</t>
  </si>
  <si>
    <t>Radio, Television, and Digital Communication, Other.</t>
  </si>
  <si>
    <t>Public Relations, Advertising, and Applied Communication.</t>
  </si>
  <si>
    <t>090900</t>
  </si>
  <si>
    <t>090901</t>
  </si>
  <si>
    <t>Organizational Communication, General.</t>
  </si>
  <si>
    <t>090902</t>
  </si>
  <si>
    <t>Public Relations/Image Management.</t>
  </si>
  <si>
    <t>090903</t>
  </si>
  <si>
    <t>Advertising.</t>
  </si>
  <si>
    <t>090904</t>
  </si>
  <si>
    <t>Political Communication.</t>
  </si>
  <si>
    <t>090905</t>
  </si>
  <si>
    <t>Health Communication.</t>
  </si>
  <si>
    <t>090906</t>
  </si>
  <si>
    <t>Sports Communication.</t>
  </si>
  <si>
    <t>090907</t>
  </si>
  <si>
    <t>International and Intercultural Communication.</t>
  </si>
  <si>
    <t>090908</t>
  </si>
  <si>
    <t>Technical and Scientific Communication.</t>
  </si>
  <si>
    <t>Communication Management and Strategic Communications.</t>
  </si>
  <si>
    <t>090999</t>
  </si>
  <si>
    <t>Public Relations, Advertising, and Applied Communication, Other</t>
  </si>
  <si>
    <t>Public Relations, Advertising, and Applied Communication, Other.</t>
  </si>
  <si>
    <t>Publishing.</t>
  </si>
  <si>
    <t>091001</t>
  </si>
  <si>
    <t>Communication, Journalism, and Related Programs, Other.</t>
  </si>
  <si>
    <t>099999</t>
  </si>
  <si>
    <t>COMMUNICATIONS TECHNOLOGIES/TECHNICIANS AND SUPPORT SERVICES.</t>
  </si>
  <si>
    <t>Communications Technologies/Technicians.</t>
  </si>
  <si>
    <t>Audiovisual Communications Technologies/Technicians.</t>
  </si>
  <si>
    <t>Photographic and Film/Video Technology/Technician and Assistant.</t>
  </si>
  <si>
    <t>Photographic and Film/Video Technology/Technician.</t>
  </si>
  <si>
    <t>100203</t>
  </si>
  <si>
    <t>Recording Arts Technology/Technician.</t>
  </si>
  <si>
    <t>Voice Writing Technology/Technician.</t>
  </si>
  <si>
    <t>100299</t>
  </si>
  <si>
    <t>Audiovisual Communications Technologies/Technicians, Other.</t>
  </si>
  <si>
    <t>Graphic Communications.</t>
  </si>
  <si>
    <t>100301</t>
  </si>
  <si>
    <t>Graphic Communications, General.</t>
  </si>
  <si>
    <t>100302</t>
  </si>
  <si>
    <t>Printing Management.</t>
  </si>
  <si>
    <t>Animation, Interactive Technology, Video Graphics and Special Effects.</t>
  </si>
  <si>
    <t>100306</t>
  </si>
  <si>
    <t>Platemaker/Imager.</t>
  </si>
  <si>
    <t>100307</t>
  </si>
  <si>
    <t>Printing Press Operator.</t>
  </si>
  <si>
    <t>100308</t>
  </si>
  <si>
    <t>Computer Typography and Composition Equipment Operator.</t>
  </si>
  <si>
    <t>100399</t>
  </si>
  <si>
    <t>Graphic Communications, Other.</t>
  </si>
  <si>
    <t>Communications Technologies/Technicians and Support Services, Other.</t>
  </si>
  <si>
    <t>109999</t>
  </si>
  <si>
    <t>COMPUTER AND INFORMATION SCIENCES AND SUPPORT SERVICES.</t>
  </si>
  <si>
    <t>Computer and Information Sciences, General.</t>
  </si>
  <si>
    <t>110102</t>
  </si>
  <si>
    <t>Artificial Intelligence.</t>
  </si>
  <si>
    <t>110104</t>
  </si>
  <si>
    <t>Informatics.</t>
  </si>
  <si>
    <t>Human-Centered Technology Design.</t>
  </si>
  <si>
    <t>110199</t>
  </si>
  <si>
    <t>Computer and Information Sciences,  Other.</t>
  </si>
  <si>
    <t>Computer Programming.</t>
  </si>
  <si>
    <t>Computer Game Programming.</t>
  </si>
  <si>
    <t>Computer Programming, Specific Platforms.</t>
  </si>
  <si>
    <t>110299</t>
  </si>
  <si>
    <t>Computer Programming, Other.</t>
  </si>
  <si>
    <t>Data Processing.</t>
  </si>
  <si>
    <t>110301</t>
  </si>
  <si>
    <t>Data Processing and Data Processing Technology/Technician.</t>
  </si>
  <si>
    <t>Information Science/Studies.</t>
  </si>
  <si>
    <t>110401</t>
  </si>
  <si>
    <t>Computer Systems Analysis.</t>
  </si>
  <si>
    <t>Data Entry/Microcomputer Applications.</t>
  </si>
  <si>
    <t>110601</t>
  </si>
  <si>
    <t>Data Entry/Microcomputer Applications, General.</t>
  </si>
  <si>
    <t>110602</t>
  </si>
  <si>
    <t>Word Processing.</t>
  </si>
  <si>
    <t>110699</t>
  </si>
  <si>
    <t>Data Entry/Microcomputer Applications, Other.</t>
  </si>
  <si>
    <t>Computer Science.</t>
  </si>
  <si>
    <t>110701</t>
  </si>
  <si>
    <t>Computer Software and Media Applications.</t>
  </si>
  <si>
    <t>110899</t>
  </si>
  <si>
    <t>Computer Software and Media Applications, Other.</t>
  </si>
  <si>
    <t>Cloud Computing.</t>
  </si>
  <si>
    <t>Computer Systems Networking and Telecommunications, Other.</t>
  </si>
  <si>
    <t>Computer/Information Technology Administration and Management.</t>
  </si>
  <si>
    <t>Computer and Information Systems Security/Information Assurance.</t>
  </si>
  <si>
    <t>111004</t>
  </si>
  <si>
    <t>Web/Multimedia Management and Webmaster.</t>
  </si>
  <si>
    <t>111006</t>
  </si>
  <si>
    <t>Computer Support Specialist.</t>
  </si>
  <si>
    <t>111099</t>
  </si>
  <si>
    <t>Computer/Information Technology Services Administration and Management, Other.</t>
  </si>
  <si>
    <t>Computer and Information Sciences and Support Services, Other.</t>
  </si>
  <si>
    <t>119999</t>
  </si>
  <si>
    <t>PERSONAL AND CULINARY SERVICES.</t>
  </si>
  <si>
    <t>CULINARY, ENTERTAINMENT, AND PERSONAL SERVICES.</t>
  </si>
  <si>
    <t>Funeral Service and Mortuary Science.</t>
  </si>
  <si>
    <t>120302</t>
  </si>
  <si>
    <t>Funeral Direction/Service.</t>
  </si>
  <si>
    <t>120303</t>
  </si>
  <si>
    <t>Mortuary Science and Embalming/Embalmer.</t>
  </si>
  <si>
    <t>120399</t>
  </si>
  <si>
    <t>Funeral Service and Mortuary Science, Other.</t>
  </si>
  <si>
    <t>Cosmetology and Related Personal Grooming Services.</t>
  </si>
  <si>
    <t>120404</t>
  </si>
  <si>
    <t>Electrolysis/Electrology and Electrolysis Technician.</t>
  </si>
  <si>
    <t>120406</t>
  </si>
  <si>
    <t>Make-Up Artist/Specialist.</t>
  </si>
  <si>
    <t>120407</t>
  </si>
  <si>
    <t>Hair Styling/Stylist and Hair Design.</t>
  </si>
  <si>
    <t>120411</t>
  </si>
  <si>
    <t>Permanent Cosmetics/Makeup and Tattooing.</t>
  </si>
  <si>
    <t>120412</t>
  </si>
  <si>
    <t>Salon/Beauty Salon Management/Manager.</t>
  </si>
  <si>
    <t>120413</t>
  </si>
  <si>
    <t>Cosmetology, Barber/Styling, and Nail Instructor.</t>
  </si>
  <si>
    <t>120414</t>
  </si>
  <si>
    <t>Master Aesthetician/Esthetician.</t>
  </si>
  <si>
    <t>120499</t>
  </si>
  <si>
    <t>Cosmetology and Related Personal Grooming Arts, Other.</t>
  </si>
  <si>
    <t>Culinary Arts and Related Services.</t>
  </si>
  <si>
    <t>120500</t>
  </si>
  <si>
    <t>Cooking and Related Culinary Arts, General.</t>
  </si>
  <si>
    <t>120502</t>
  </si>
  <si>
    <t>Bartending/Bartender.</t>
  </si>
  <si>
    <t>Food Preparation/Professional Cooking/Kitchen Assistant.</t>
  </si>
  <si>
    <t>120506</t>
  </si>
  <si>
    <t>Meat Cutting/Meat Cutter.</t>
  </si>
  <si>
    <t>120507</t>
  </si>
  <si>
    <t>Food Service, Waiter/Waitress, and Dining Room Management/Manager.</t>
  </si>
  <si>
    <t>120508</t>
  </si>
  <si>
    <t>Institutional Food Workers.</t>
  </si>
  <si>
    <t>120509</t>
  </si>
  <si>
    <t>Culinary Science/Culinology.</t>
  </si>
  <si>
    <t>120510</t>
  </si>
  <si>
    <t>Wine Steward/Sommelier.</t>
  </si>
  <si>
    <t>120599</t>
  </si>
  <si>
    <t>Culinary Arts and Related Services, Other.</t>
  </si>
  <si>
    <t>Casino Operations and Services.</t>
  </si>
  <si>
    <t>Casino Operations and Services, General.</t>
  </si>
  <si>
    <t>Casino Dealing.</t>
  </si>
  <si>
    <t>Casino Operations and Services, Other.</t>
  </si>
  <si>
    <t>Personal and Culinary Services, Other.</t>
  </si>
  <si>
    <t>Culinary, Entertainment, and Personal Services, Other.</t>
  </si>
  <si>
    <t>129999</t>
  </si>
  <si>
    <t>EDUCATION.</t>
  </si>
  <si>
    <t>Education, General.</t>
  </si>
  <si>
    <t>130101</t>
  </si>
  <si>
    <t>Bilingual, Multilingual, and Multicultural Education.</t>
  </si>
  <si>
    <t>130201</t>
  </si>
  <si>
    <t>Bilingual and Multilingual Education.</t>
  </si>
  <si>
    <t>130202</t>
  </si>
  <si>
    <t>Multicultural Education.</t>
  </si>
  <si>
    <t>130203</t>
  </si>
  <si>
    <t>Indian/Native American Education.</t>
  </si>
  <si>
    <t>130299</t>
  </si>
  <si>
    <t>Bilingual, Multilingual, and Multicultural Education, Other.</t>
  </si>
  <si>
    <t>Curriculum and Instruction.</t>
  </si>
  <si>
    <t>130301</t>
  </si>
  <si>
    <t>Educational Administration and Supervision.</t>
  </si>
  <si>
    <t>130401</t>
  </si>
  <si>
    <t>Educational Leadership and Administration, General.</t>
  </si>
  <si>
    <t>130402</t>
  </si>
  <si>
    <t>Administration of Special Education.</t>
  </si>
  <si>
    <t>130403</t>
  </si>
  <si>
    <t>Adult and Continuing Education Administration.</t>
  </si>
  <si>
    <t>130404</t>
  </si>
  <si>
    <t>Educational, Instructional, and Curriculum Supervision.</t>
  </si>
  <si>
    <t>130406</t>
  </si>
  <si>
    <t>Higher Education/Higher Education Administration.</t>
  </si>
  <si>
    <t>130407</t>
  </si>
  <si>
    <t>Community College Education.</t>
  </si>
  <si>
    <t>Community College Administration.</t>
  </si>
  <si>
    <t>130408</t>
  </si>
  <si>
    <t>Elementary and Middle School Administration/Principalship.</t>
  </si>
  <si>
    <t>130409</t>
  </si>
  <si>
    <t>Secondary School Administration/Principalship.</t>
  </si>
  <si>
    <t>130410</t>
  </si>
  <si>
    <t>Urban Education and Leadership.</t>
  </si>
  <si>
    <t>130411</t>
  </si>
  <si>
    <t>Superintendency and Educational System Administration.</t>
  </si>
  <si>
    <t>International School Administration/Leadership.</t>
  </si>
  <si>
    <t>Education Entrepreneurship.</t>
  </si>
  <si>
    <t>Early Childhood Program Administration.</t>
  </si>
  <si>
    <t>130499</t>
  </si>
  <si>
    <t>Educational Administration and Supervision, Other.</t>
  </si>
  <si>
    <t>Educational/Instructional Media Design.</t>
  </si>
  <si>
    <t>130501</t>
  </si>
  <si>
    <t>Educational/Instructional Technology.</t>
  </si>
  <si>
    <t>Educational Assessment, Evaluation, and Research.</t>
  </si>
  <si>
    <t>130601</t>
  </si>
  <si>
    <t>Educational Evaluation and Research.</t>
  </si>
  <si>
    <t>130603</t>
  </si>
  <si>
    <t>Educational Statistics and Research Methods.</t>
  </si>
  <si>
    <t>130604</t>
  </si>
  <si>
    <t>Educational Assessment, Testing, and Measurement.</t>
  </si>
  <si>
    <t>130607</t>
  </si>
  <si>
    <t>Learning Sciences.</t>
  </si>
  <si>
    <t>Institutional Research.</t>
  </si>
  <si>
    <t>130699</t>
  </si>
  <si>
    <t>Educational Assessment, Evaluation, and Research, Other.</t>
  </si>
  <si>
    <t>International and Comparative Education.</t>
  </si>
  <si>
    <t>130701</t>
  </si>
  <si>
    <t>Social and Philosophical Foundations of Education.</t>
  </si>
  <si>
    <t>130901</t>
  </si>
  <si>
    <t>Special Education and Teaching.</t>
  </si>
  <si>
    <t>131001</t>
  </si>
  <si>
    <t>Special Education and Teaching, General.</t>
  </si>
  <si>
    <t>131004</t>
  </si>
  <si>
    <t>Education/Teaching of the Gifted and Talented.</t>
  </si>
  <si>
    <t>131005</t>
  </si>
  <si>
    <t>Education/Teaching of Individuals with Emotional Disturbances.</t>
  </si>
  <si>
    <t>131006</t>
  </si>
  <si>
    <t>Education/Teaching of Individuals with Mental Retardation.</t>
  </si>
  <si>
    <t>Education/Teaching of Individuals with Intellectual Disabilities.</t>
  </si>
  <si>
    <t>131007</t>
  </si>
  <si>
    <t>Education/Teaching of Individuals with Multiple Disabilities.</t>
  </si>
  <si>
    <t>131008</t>
  </si>
  <si>
    <t>Education/Teaching of Individuals with Orthopedic and Other Physical Health Impairments.</t>
  </si>
  <si>
    <t>131009</t>
  </si>
  <si>
    <t>Education/Teaching of Individuals with Vision Impairments Including Blindness.</t>
  </si>
  <si>
    <t>131011</t>
  </si>
  <si>
    <t>Education/Teaching of Individuals with Specific Learning Disabilities.</t>
  </si>
  <si>
    <t>131012</t>
  </si>
  <si>
    <t>Education/Teaching of Individuals with Speech or Language Impairments.</t>
  </si>
  <si>
    <t>131013</t>
  </si>
  <si>
    <t>Education/Teaching of Individuals with Autism.</t>
  </si>
  <si>
    <t>131014</t>
  </si>
  <si>
    <t>Education/Teaching of Individuals Who are Developmentally Delayed.</t>
  </si>
  <si>
    <t>131015</t>
  </si>
  <si>
    <t>Education/Teaching of Individuals in Early Childhood Special Education Programs.</t>
  </si>
  <si>
    <t>131016</t>
  </si>
  <si>
    <t>Education/Teaching of Individuals with Traumatic Brain Injuries.</t>
  </si>
  <si>
    <t>131017</t>
  </si>
  <si>
    <t>Education/Teaching of Individuals in Elementary Special Education Programs.</t>
  </si>
  <si>
    <t>131018</t>
  </si>
  <si>
    <t>Education/Teaching of Individuals in Junior High/Middle School Special Education Programs.</t>
  </si>
  <si>
    <t>131019</t>
  </si>
  <si>
    <t>Education/Teaching of Individuals in Secondary Special Education Programs.</t>
  </si>
  <si>
    <t>131099</t>
  </si>
  <si>
    <t>Special Education and Teaching, Other.</t>
  </si>
  <si>
    <t>Student Counseling and Personnel Services.</t>
  </si>
  <si>
    <t>131101</t>
  </si>
  <si>
    <t>Counselor Education/School Counseling and Guidance Services.</t>
  </si>
  <si>
    <t>131102</t>
  </si>
  <si>
    <t>College Student Counseling and Personnel Services.</t>
  </si>
  <si>
    <t>131199</t>
  </si>
  <si>
    <t>Student Counseling and Personnel Services, Other.</t>
  </si>
  <si>
    <t>Teacher Education and Professional Development, Specific Levels and Methods.</t>
  </si>
  <si>
    <t>131201</t>
  </si>
  <si>
    <t>Adult and Continuing Education and Teaching.</t>
  </si>
  <si>
    <t>131202</t>
  </si>
  <si>
    <t>Elementary Education and Teaching.</t>
  </si>
  <si>
    <t>131203</t>
  </si>
  <si>
    <t>Junior High/Intermediate/Middle School Education and Teaching.</t>
  </si>
  <si>
    <t>131205</t>
  </si>
  <si>
    <t>Secondary Education and Teaching.</t>
  </si>
  <si>
    <t>131206</t>
  </si>
  <si>
    <t>Teacher Education, Multiple Levels.</t>
  </si>
  <si>
    <t>131207</t>
  </si>
  <si>
    <t>Montessori Teacher Education.</t>
  </si>
  <si>
    <t>131208</t>
  </si>
  <si>
    <t>Waldorf/Steiner Teacher Education.</t>
  </si>
  <si>
    <t>131209</t>
  </si>
  <si>
    <t>Kindergarten/Preschool Education and Teaching.</t>
  </si>
  <si>
    <t>Online Educator/Online Teaching.</t>
  </si>
  <si>
    <t>International Teaching and Learning.</t>
  </si>
  <si>
    <t>Science, Technology, Engineering, and Mathematics (STEM) Educational Methods.</t>
  </si>
  <si>
    <t>College/Postsecondary/University Teaching.</t>
  </si>
  <si>
    <t>Teacher Education and Professional Development, Specific Subject Areas.</t>
  </si>
  <si>
    <t>131301</t>
  </si>
  <si>
    <t>Agricultural Teacher Education.</t>
  </si>
  <si>
    <t>131302</t>
  </si>
  <si>
    <t>Art Teacher Education.</t>
  </si>
  <si>
    <t>131303</t>
  </si>
  <si>
    <t>Business Teacher Education.</t>
  </si>
  <si>
    <t>Business and Innovation/Entrepreneurship Teacher Education.</t>
  </si>
  <si>
    <t>131304</t>
  </si>
  <si>
    <t>Driver and Safety Teacher Education.</t>
  </si>
  <si>
    <t>131305</t>
  </si>
  <si>
    <t>English/Language Arts Teacher Education.</t>
  </si>
  <si>
    <t>131306</t>
  </si>
  <si>
    <t>Foreign Language Teacher  Education.</t>
  </si>
  <si>
    <t>131307</t>
  </si>
  <si>
    <t>Health Teacher Education.</t>
  </si>
  <si>
    <t>131308</t>
  </si>
  <si>
    <t>Family and Consumer Sciences/Home Economics Teacher Education.</t>
  </si>
  <si>
    <t>131309</t>
  </si>
  <si>
    <t>Technology Teacher Education/Industrial Arts Teacher Education.</t>
  </si>
  <si>
    <t>131310</t>
  </si>
  <si>
    <t>Sales and Marketing Operations/Marketing and Distribution   Teacher Education.</t>
  </si>
  <si>
    <t>131311</t>
  </si>
  <si>
    <t>Mathematics Teacher Education.</t>
  </si>
  <si>
    <t>131312</t>
  </si>
  <si>
    <t>Music Teacher Education.</t>
  </si>
  <si>
    <t>131314</t>
  </si>
  <si>
    <t>Physical Education Teaching and Coaching.</t>
  </si>
  <si>
    <t>131315</t>
  </si>
  <si>
    <t>Reading Teacher Education.</t>
  </si>
  <si>
    <t>131316</t>
  </si>
  <si>
    <t>Science Teacher Education/General Science Teacher Education.</t>
  </si>
  <si>
    <t>131317</t>
  </si>
  <si>
    <t>Social Science Teacher Education.</t>
  </si>
  <si>
    <t>131318</t>
  </si>
  <si>
    <t>Social Studies Teacher Education.</t>
  </si>
  <si>
    <t>131319</t>
  </si>
  <si>
    <t>Technical Teacher Education.</t>
  </si>
  <si>
    <t>131320</t>
  </si>
  <si>
    <t>Trade and Industrial Teacher Education.</t>
  </si>
  <si>
    <t>131321</t>
  </si>
  <si>
    <t>Computer Teacher Education.</t>
  </si>
  <si>
    <t>131322</t>
  </si>
  <si>
    <t>Biology Teacher Education.</t>
  </si>
  <si>
    <t>131323</t>
  </si>
  <si>
    <t>Chemistry Teacher Education.</t>
  </si>
  <si>
    <t>131324</t>
  </si>
  <si>
    <t>Drama and Dance Teacher Education.</t>
  </si>
  <si>
    <t>131325</t>
  </si>
  <si>
    <t>French Language Teacher Education.</t>
  </si>
  <si>
    <t>131326</t>
  </si>
  <si>
    <t>German Language Teacher Education.</t>
  </si>
  <si>
    <t>131327</t>
  </si>
  <si>
    <t>Health Occupations Teacher Education.</t>
  </si>
  <si>
    <t>131328</t>
  </si>
  <si>
    <t>History Teacher Education.</t>
  </si>
  <si>
    <t>131329</t>
  </si>
  <si>
    <t>Physics Teacher Education.</t>
  </si>
  <si>
    <t>131330</t>
  </si>
  <si>
    <t>Spanish Language Teacher Education.</t>
  </si>
  <si>
    <t>131331</t>
  </si>
  <si>
    <t>Speech Teacher Education.</t>
  </si>
  <si>
    <t>131332</t>
  </si>
  <si>
    <t>Geography Teacher Education.</t>
  </si>
  <si>
    <t>131333</t>
  </si>
  <si>
    <t>Latin Teacher Education.</t>
  </si>
  <si>
    <t>131334</t>
  </si>
  <si>
    <t>School Librarian/School Library Media Specialist.</t>
  </si>
  <si>
    <t>131335</t>
  </si>
  <si>
    <t>Psychology Teacher Education.</t>
  </si>
  <si>
    <t>131337</t>
  </si>
  <si>
    <t>Earth Science Teacher Education.</t>
  </si>
  <si>
    <t>131338</t>
  </si>
  <si>
    <t>Environmental Education.</t>
  </si>
  <si>
    <t>Communication Arts and Literature Teacher Education.</t>
  </si>
  <si>
    <t>131399</t>
  </si>
  <si>
    <t>Teacher Education and Professional Development, Specific Subject Areas, Other.</t>
  </si>
  <si>
    <t>Teaching English or French as a Second or Foreign Language.</t>
  </si>
  <si>
    <t>131401</t>
  </si>
  <si>
    <t>Teaching English as a Second or Foreign Language/ESL Language Instructor.</t>
  </si>
  <si>
    <t>131402</t>
  </si>
  <si>
    <t>Teaching French as a Second or Foreign Language.</t>
  </si>
  <si>
    <t>131499</t>
  </si>
  <si>
    <t>Teaching English or French as a Second or Foreign Language, Other.</t>
  </si>
  <si>
    <t>Teaching Assistants/Aides.</t>
  </si>
  <si>
    <t>131502</t>
  </si>
  <si>
    <t>Adult Literacy Tutor/Instructor.</t>
  </si>
  <si>
    <t>131599</t>
  </si>
  <si>
    <t>Teaching Assistants/Aides, Other.</t>
  </si>
  <si>
    <t>Education, Other.</t>
  </si>
  <si>
    <t>139999</t>
  </si>
  <si>
    <t>ENGINEERING.</t>
  </si>
  <si>
    <t>Engineering, General.</t>
  </si>
  <si>
    <t>140101</t>
  </si>
  <si>
    <t>140102</t>
  </si>
  <si>
    <t>Pre-Engineering.</t>
  </si>
  <si>
    <t>Applied Engineering.</t>
  </si>
  <si>
    <t>Aerospace, Aeronautical and Astronautical Engineering.</t>
  </si>
  <si>
    <t>Aerospace, Aeronautical, and Astronautical/Space Engineering.</t>
  </si>
  <si>
    <t>140201</t>
  </si>
  <si>
    <t>Aerospace, Aeronautical and Astronautical/Space Engineering.</t>
  </si>
  <si>
    <t>Aerospace, Aeronautical, and Astronautical/Space Engineering, General.</t>
  </si>
  <si>
    <t>Astronautical Engineering.</t>
  </si>
  <si>
    <t>Aerospace, Aeronautical, and Astronautical/Space Engineering, Other.</t>
  </si>
  <si>
    <t>Agricultural Engineering.</t>
  </si>
  <si>
    <t>140301</t>
  </si>
  <si>
    <t>Architectural Engineering.</t>
  </si>
  <si>
    <t>140401</t>
  </si>
  <si>
    <t>Biomedical/Medical Engineering.</t>
  </si>
  <si>
    <t>140501</t>
  </si>
  <si>
    <t>Bioengineering and Biomedical Engineering.</t>
  </si>
  <si>
    <t>Ceramic Sciences and Engineering.</t>
  </si>
  <si>
    <t>140601</t>
  </si>
  <si>
    <t>Chemical Engineering.</t>
  </si>
  <si>
    <t>140701</t>
  </si>
  <si>
    <t>140702</t>
  </si>
  <si>
    <t>Chemical and Biomolecular Engineering.</t>
  </si>
  <si>
    <t>140799</t>
  </si>
  <si>
    <t>Chemical Engineering, Other.</t>
  </si>
  <si>
    <t>Civil Engineering.</t>
  </si>
  <si>
    <t>140801</t>
  </si>
  <si>
    <t>Civil Engineering, General.</t>
  </si>
  <si>
    <t>140802</t>
  </si>
  <si>
    <t>Geotechnical and Geoenvironmental Engineering.</t>
  </si>
  <si>
    <t>140803</t>
  </si>
  <si>
    <t>Structural Engineering.</t>
  </si>
  <si>
    <t>140804</t>
  </si>
  <si>
    <t>Transportation and Highway Engineering.</t>
  </si>
  <si>
    <t>140805</t>
  </si>
  <si>
    <t>Water Resources Engineering.</t>
  </si>
  <si>
    <t>140899</t>
  </si>
  <si>
    <t>Civil Engineering, Other.</t>
  </si>
  <si>
    <t>Computer Engineering.</t>
  </si>
  <si>
    <t>140901</t>
  </si>
  <si>
    <t>Computer Engineering, General.</t>
  </si>
  <si>
    <t>140902</t>
  </si>
  <si>
    <t>Computer Hardware Engineering.</t>
  </si>
  <si>
    <t>140903</t>
  </si>
  <si>
    <t>Computer Software Engineering.</t>
  </si>
  <si>
    <t>140999</t>
  </si>
  <si>
    <t>Computer Engineering, Other.</t>
  </si>
  <si>
    <t>Electrical, Electronics and Communications Engineering.</t>
  </si>
  <si>
    <t>Electrical, Electronics, and Communications Engineering.</t>
  </si>
  <si>
    <t>141001</t>
  </si>
  <si>
    <t>Electrical and Electronics Engineering</t>
  </si>
  <si>
    <t>Electrical and Electronics Engineering.</t>
  </si>
  <si>
    <t>141003</t>
  </si>
  <si>
    <t>Laser and Optical Engineering.</t>
  </si>
  <si>
    <t>141004</t>
  </si>
  <si>
    <t>Telecommunications Engineering.</t>
  </si>
  <si>
    <t>141099</t>
  </si>
  <si>
    <t>Electrical, Electronics and Communications Engineering, Other.</t>
  </si>
  <si>
    <t>Electrical, Electronics, and Communications Engineering, Other.</t>
  </si>
  <si>
    <t>Engineering Mechanics.</t>
  </si>
  <si>
    <t>141101</t>
  </si>
  <si>
    <t>Engineering Physics.</t>
  </si>
  <si>
    <t>141201</t>
  </si>
  <si>
    <t>Engineering Physics/Applied Physics.</t>
  </si>
  <si>
    <t>Engineering Science.</t>
  </si>
  <si>
    <t>141301</t>
  </si>
  <si>
    <t>Environmental/Environmental Health Engineering.</t>
  </si>
  <si>
    <t>141401</t>
  </si>
  <si>
    <t>Materials Engineering</t>
  </si>
  <si>
    <t>Materials Engineering.</t>
  </si>
  <si>
    <t>141801</t>
  </si>
  <si>
    <t>Mechanical Engineering.</t>
  </si>
  <si>
    <t>141901</t>
  </si>
  <si>
    <t>Metallurgical Engineering.</t>
  </si>
  <si>
    <t>142001</t>
  </si>
  <si>
    <t>Mining and Mineral Engineering.</t>
  </si>
  <si>
    <t>142101</t>
  </si>
  <si>
    <t>Naval Architecture and Marine Engineering.</t>
  </si>
  <si>
    <t>142201</t>
  </si>
  <si>
    <t>Nuclear Engineering.</t>
  </si>
  <si>
    <t>142301</t>
  </si>
  <si>
    <t>Ocean Engineering.</t>
  </si>
  <si>
    <t>142401</t>
  </si>
  <si>
    <t>Petroleum Engineering.</t>
  </si>
  <si>
    <t>142501</t>
  </si>
  <si>
    <t>Systems Engineering.</t>
  </si>
  <si>
    <t>142701</t>
  </si>
  <si>
    <t>Textile Sciences and Engineering.</t>
  </si>
  <si>
    <t>142801</t>
  </si>
  <si>
    <t>Polymer/Plastics Engineering.</t>
  </si>
  <si>
    <t>143201</t>
  </si>
  <si>
    <t>Construction Engineering.</t>
  </si>
  <si>
    <t>143301</t>
  </si>
  <si>
    <t>Forest Engineering.</t>
  </si>
  <si>
    <t>143401</t>
  </si>
  <si>
    <t>Industrial Engineering.</t>
  </si>
  <si>
    <t>143501</t>
  </si>
  <si>
    <t>Manufacturing Engineering.</t>
  </si>
  <si>
    <t>143601</t>
  </si>
  <si>
    <t>Operations Research.</t>
  </si>
  <si>
    <t>143701</t>
  </si>
  <si>
    <t>Surveying Engineering.</t>
  </si>
  <si>
    <t>143801</t>
  </si>
  <si>
    <t>Geological/Geophysical Engineering.</t>
  </si>
  <si>
    <t>143901</t>
  </si>
  <si>
    <t>Paper Science and Engineering.</t>
  </si>
  <si>
    <t>144001</t>
  </si>
  <si>
    <t>Electromechanical Engineering.</t>
  </si>
  <si>
    <t>144101</t>
  </si>
  <si>
    <t>Mechatronics, Robotics, and Automation Engineering.</t>
  </si>
  <si>
    <t>144201</t>
  </si>
  <si>
    <t>Biochemical Engineering.</t>
  </si>
  <si>
    <t>144301</t>
  </si>
  <si>
    <t>Engineering Chemistry.</t>
  </si>
  <si>
    <t>144401</t>
  </si>
  <si>
    <t>Biological/Biosystems Engineering.</t>
  </si>
  <si>
    <t>144501</t>
  </si>
  <si>
    <t>Electrical and Computer Engineering.</t>
  </si>
  <si>
    <t>Energy Systems Engineering.</t>
  </si>
  <si>
    <t>Energy Systems Engineering, General.</t>
  </si>
  <si>
    <t>Power Plant Engineering.</t>
  </si>
  <si>
    <t>Energy Systems Engineering, Other.</t>
  </si>
  <si>
    <t>Engineering, Other.</t>
  </si>
  <si>
    <t>149999</t>
  </si>
  <si>
    <t>ENGINEERING TECHNOLOGIES AND ENGINEERING-RELATED FIELDS.</t>
  </si>
  <si>
    <t>ENGINEERING/ENGINEERING-RELATED TECHNOLOGIES/TECHNICIANS.</t>
  </si>
  <si>
    <t>Engineering Technology, General.</t>
  </si>
  <si>
    <t>Applied Engineering Technologies/Technicians.</t>
  </si>
  <si>
    <t>Architectural Engineering Technologies/Technicians.</t>
  </si>
  <si>
    <t>150101</t>
  </si>
  <si>
    <t>Architectural Engineering Technology/Technician.</t>
  </si>
  <si>
    <t>Civil Engineering Technology/Technician.</t>
  </si>
  <si>
    <t>Electrical Engineering Technologies/Technicians.</t>
  </si>
  <si>
    <t>Electrical/Electronic Engineering Technologies/Technicians.</t>
  </si>
  <si>
    <t>Electrical, Electronic and Communications Engineering Technology/Technician.</t>
  </si>
  <si>
    <t>150306</t>
  </si>
  <si>
    <t>Integrated Circuit Design.</t>
  </si>
  <si>
    <t>Integrated Circuit Design Technology/Technician.</t>
  </si>
  <si>
    <t>Audio Engineering Technology/Technician.</t>
  </si>
  <si>
    <t>150399</t>
  </si>
  <si>
    <t>Electrical and Electronic Engineering Technologies/Technicians, Other.</t>
  </si>
  <si>
    <t>Electrical/Electronic Engineering Technologies/Technicians, Other.</t>
  </si>
  <si>
    <t>Electromechanical Instrumentation and Maintenance Technologies/Technicians.</t>
  </si>
  <si>
    <t>Electromechanical Technologies/Technicians.</t>
  </si>
  <si>
    <t>150403</t>
  </si>
  <si>
    <t>Electromechanical Technology/Electromechanical Engineering Technology.</t>
  </si>
  <si>
    <t>Electromechanical/Electromechanical Engineering Technology/Technician.</t>
  </si>
  <si>
    <t>Mechatronics, Robotics, and Automation Engineering Technology/Technician.</t>
  </si>
  <si>
    <t>Electromechanical and Instrumentation and Maintenance Technologies/Technicians, Other.</t>
  </si>
  <si>
    <t>Environmental Control Technologies/Technicians.</t>
  </si>
  <si>
    <t>Energy Management and Systems Technology/Technician.</t>
  </si>
  <si>
    <t>150507</t>
  </si>
  <si>
    <t>Environmental Engineering Technology/Environmental Technology.</t>
  </si>
  <si>
    <t>Environmental/Environmental Engineering Technology/Technician.</t>
  </si>
  <si>
    <t>150508</t>
  </si>
  <si>
    <t>Hazardous Materials Management and Waste Technology/Technician.</t>
  </si>
  <si>
    <t>150599</t>
  </si>
  <si>
    <t>Environmental Control Technologies/Technicians, Other.</t>
  </si>
  <si>
    <t>Industrial Production Technologies/Technicians.</t>
  </si>
  <si>
    <t>150607</t>
  </si>
  <si>
    <t>Plastics and Polymer Engineering Technology/Technician.</t>
  </si>
  <si>
    <t>150611</t>
  </si>
  <si>
    <t>Metallurgical Technology/Technician.</t>
  </si>
  <si>
    <t>150614</t>
  </si>
  <si>
    <t>Welding Engineering Technology/Technician.</t>
  </si>
  <si>
    <t>150615</t>
  </si>
  <si>
    <t>Chemical Engineering Technology/Technician.</t>
  </si>
  <si>
    <t>150616</t>
  </si>
  <si>
    <t>Semiconductor Manufacturing Technology.</t>
  </si>
  <si>
    <t>Semiconductor Manufacturing Technology/Technician.</t>
  </si>
  <si>
    <t>Composite Materials Technology/Technician.</t>
  </si>
  <si>
    <t>150699</t>
  </si>
  <si>
    <t>Industrial Production Technologies/Technicians, Other.</t>
  </si>
  <si>
    <t>Quality Control and Safety Technologies/Technicians.</t>
  </si>
  <si>
    <t>150701</t>
  </si>
  <si>
    <t>Occupational Safety and Health Technology/Technician.</t>
  </si>
  <si>
    <t>150703</t>
  </si>
  <si>
    <t>Industrial Safety Technology/Technician.</t>
  </si>
  <si>
    <t>150704</t>
  </si>
  <si>
    <t>Hazardous Materials Information Systems Technology/Technician.</t>
  </si>
  <si>
    <t>Process Safety Technology/Technician.</t>
  </si>
  <si>
    <t>150799</t>
  </si>
  <si>
    <t>Quality Control and Safety Technologies/Technicians, Other.</t>
  </si>
  <si>
    <t>Mechanical Engineering Related Technologies/Technicians.</t>
  </si>
  <si>
    <t>Mechanical Engineering/Mechanical Technology/Technician.</t>
  </si>
  <si>
    <t>Marine Engineering Technology/Technician.</t>
  </si>
  <si>
    <t>Motorsports Engineering Technology/Technician.</t>
  </si>
  <si>
    <t>150899</t>
  </si>
  <si>
    <t>Mechanical Engineering Related Technologies/Technicians, Other.</t>
  </si>
  <si>
    <t>Mining and Petroleum Technologies/Technicians.</t>
  </si>
  <si>
    <t>150901</t>
  </si>
  <si>
    <t>Mining Technology/Technician.</t>
  </si>
  <si>
    <t>150903</t>
  </si>
  <si>
    <t>Petroleum Technology/Technician.</t>
  </si>
  <si>
    <t>150999</t>
  </si>
  <si>
    <t>Mining and Petroleum Technologies/Technicians, Other.</t>
  </si>
  <si>
    <t>Construction Engineering Technologies.</t>
  </si>
  <si>
    <t>Engineering-Related Technologies.</t>
  </si>
  <si>
    <t>Engineering-Related Technologies/Technicians.</t>
  </si>
  <si>
    <t>151102</t>
  </si>
  <si>
    <t>Surveying Technology/Surveying.</t>
  </si>
  <si>
    <t>151103</t>
  </si>
  <si>
    <t>Hydraulics and Fluid Power Technology/Technician.</t>
  </si>
  <si>
    <t>151199</t>
  </si>
  <si>
    <t>Engineering-Related Technologies, Other.</t>
  </si>
  <si>
    <t>Engineering-Related Technologies/Technicians, Other.</t>
  </si>
  <si>
    <t>Computer Engineering Technologies/Technicians.</t>
  </si>
  <si>
    <t>Computer Technology/Computer Systems Technology.</t>
  </si>
  <si>
    <t>151203</t>
  </si>
  <si>
    <t>Computer Hardware Technology/Technician.</t>
  </si>
  <si>
    <t>151204</t>
  </si>
  <si>
    <t>Computer Software Technology/Technician.</t>
  </si>
  <si>
    <t>151299</t>
  </si>
  <si>
    <t>Computer Engineering Technologies/Technicians, Other.</t>
  </si>
  <si>
    <t>Drafting/Design Engineering Technologies/Technicians.</t>
  </si>
  <si>
    <t>151304</t>
  </si>
  <si>
    <t>Civil Drafting and Civil Engineering CAD/CADD.</t>
  </si>
  <si>
    <t>151305</t>
  </si>
  <si>
    <t>Electrical/Electronics Drafting and Electrical/Electronics CAD/CADD.</t>
  </si>
  <si>
    <t>151306</t>
  </si>
  <si>
    <t>Mechanical Drafting and Mechanical Drafting CAD/CADD.</t>
  </si>
  <si>
    <t>3-D Modeling and Design Technology/Technician.</t>
  </si>
  <si>
    <t>151399</t>
  </si>
  <si>
    <t>Drafting/Design Engineering Technologies/Technicians, Other.</t>
  </si>
  <si>
    <t>Nuclear Engineering Technologies/Technicians.</t>
  </si>
  <si>
    <t>Nuclear Engineering Technology/Technician.</t>
  </si>
  <si>
    <t>151401</t>
  </si>
  <si>
    <t>Engineering-Related Fields.</t>
  </si>
  <si>
    <t>151501</t>
  </si>
  <si>
    <t>Engineering/Industrial Management.</t>
  </si>
  <si>
    <t>151502</t>
  </si>
  <si>
    <t>Engineering Design.</t>
  </si>
  <si>
    <t>151503</t>
  </si>
  <si>
    <t>Packaging Science.</t>
  </si>
  <si>
    <t>151599</t>
  </si>
  <si>
    <t>Engineering-Related Fields, Other.</t>
  </si>
  <si>
    <t>Nanotechnology.</t>
  </si>
  <si>
    <t>151601</t>
  </si>
  <si>
    <t>Energy Systems Technologies/Technicians.</t>
  </si>
  <si>
    <t>Power Plant Technology/Technician.</t>
  </si>
  <si>
    <t>Wind Energy Technology/Technician.</t>
  </si>
  <si>
    <t>Hydroelectric Energy Technology/Technician.</t>
  </si>
  <si>
    <t>Geothermal Energy Technology/Technician.</t>
  </si>
  <si>
    <t>Energy Systems Technologies/Technicians, Other.</t>
  </si>
  <si>
    <t>Engineering Technologies/Technicians, Other.</t>
  </si>
  <si>
    <t>Engineering/Engineering-Related Technologies/Technicians, Other.</t>
  </si>
  <si>
    <t>159999</t>
  </si>
  <si>
    <t>Engineering Technologies and Engineering-Related Fields, Other.</t>
  </si>
  <si>
    <t>FOREIGN LANGUAGES, LITERATURES, AND LINGUISTICS.</t>
  </si>
  <si>
    <t>Linguistic, Comparative, and Related Language Studies and Services.</t>
  </si>
  <si>
    <t>160101</t>
  </si>
  <si>
    <t>Foreign Languages and Literatures, General.</t>
  </si>
  <si>
    <t>160102</t>
  </si>
  <si>
    <t>Linguistics.</t>
  </si>
  <si>
    <t>160103</t>
  </si>
  <si>
    <t>Language Interpretation and Translation.</t>
  </si>
  <si>
    <t>160104</t>
  </si>
  <si>
    <t>Comparative Literature.</t>
  </si>
  <si>
    <t>160105</t>
  </si>
  <si>
    <t>Applied Linguistics.</t>
  </si>
  <si>
    <t>160199</t>
  </si>
  <si>
    <t>Linguistic, Comparative, and Related Language Studies and Services, Other.</t>
  </si>
  <si>
    <t>African Languages, Literatures, and Linguistics.</t>
  </si>
  <si>
    <t>160201</t>
  </si>
  <si>
    <t>East Asian Languages, Literatures, and Linguistics.</t>
  </si>
  <si>
    <t>160300</t>
  </si>
  <si>
    <t>East Asian Languages, Literatures, and Linguistics, General.</t>
  </si>
  <si>
    <t>160301</t>
  </si>
  <si>
    <t>Chinese Language and Literature.</t>
  </si>
  <si>
    <t>160302</t>
  </si>
  <si>
    <t>Japanese Language and Literature.</t>
  </si>
  <si>
    <t>160303</t>
  </si>
  <si>
    <t>Korean Language and Literature.</t>
  </si>
  <si>
    <t>160304</t>
  </si>
  <si>
    <t>Tibetan Language and Literature.</t>
  </si>
  <si>
    <t>160399</t>
  </si>
  <si>
    <t>East Asian Languages, Literatures, and Linguistics, Other.</t>
  </si>
  <si>
    <t>Slavic, Baltic and Albanian Languages, Literatures, and Linguistics.</t>
  </si>
  <si>
    <t>160400</t>
  </si>
  <si>
    <t>Slavic Languages, Literatures, and Linguistics, General.</t>
  </si>
  <si>
    <t>160401</t>
  </si>
  <si>
    <t>Baltic Languages, Literatures, and Linguistics.</t>
  </si>
  <si>
    <t>160402</t>
  </si>
  <si>
    <t>Russian Language and Literature.</t>
  </si>
  <si>
    <t>160404</t>
  </si>
  <si>
    <t>Albanian Language and Literature.</t>
  </si>
  <si>
    <t>160405</t>
  </si>
  <si>
    <t>Bulgarian Language and Literature.</t>
  </si>
  <si>
    <t>160406</t>
  </si>
  <si>
    <t>Czech Language and Literature.</t>
  </si>
  <si>
    <t>160407</t>
  </si>
  <si>
    <t>Polish Language and Literature.</t>
  </si>
  <si>
    <t>160408</t>
  </si>
  <si>
    <t>Bosnian, Serbian, and Croatian Languages and Literatures.</t>
  </si>
  <si>
    <t>160409</t>
  </si>
  <si>
    <t>Slovak Language and Literature.</t>
  </si>
  <si>
    <t>160410</t>
  </si>
  <si>
    <t>Ukrainian Language and Literature.</t>
  </si>
  <si>
    <t>160499</t>
  </si>
  <si>
    <t>Slavic, Baltic, and Albanian Languages, Literatures, and Linguistics, Other.</t>
  </si>
  <si>
    <t>Germanic Languages, Literatures, and Linguistics.</t>
  </si>
  <si>
    <t>160500</t>
  </si>
  <si>
    <t>Germanic Languages, Literatures, and Linguistics, General.</t>
  </si>
  <si>
    <t>160501</t>
  </si>
  <si>
    <t>German Language and Literature.</t>
  </si>
  <si>
    <t>160502</t>
  </si>
  <si>
    <t>Scandinavian Languages, Literatures, and Linguistics.</t>
  </si>
  <si>
    <t>160503</t>
  </si>
  <si>
    <t>Danish Language and Literature.</t>
  </si>
  <si>
    <t>160504</t>
  </si>
  <si>
    <t>Dutch/Flemish Language and Literature.</t>
  </si>
  <si>
    <t>160505</t>
  </si>
  <si>
    <t>Norwegian Language and Literature.</t>
  </si>
  <si>
    <t>160506</t>
  </si>
  <si>
    <t>Swedish Language and Literature.</t>
  </si>
  <si>
    <t>160599</t>
  </si>
  <si>
    <t>Germanic Languages, Literatures, and Linguistics, Other.</t>
  </si>
  <si>
    <t>Modern Greek Language and Literature.</t>
  </si>
  <si>
    <t>160601</t>
  </si>
  <si>
    <t>South Asian Languages, Literatures, and Linguistics.</t>
  </si>
  <si>
    <t>160700</t>
  </si>
  <si>
    <t>South Asian Languages, Literatures, and Linguistics, General.</t>
  </si>
  <si>
    <t>160701</t>
  </si>
  <si>
    <t>Hindi Language and Literature.</t>
  </si>
  <si>
    <t>160702</t>
  </si>
  <si>
    <t>Sanskrit and Classical Indian Languages, Literatures, and Linguistics.</t>
  </si>
  <si>
    <t>160704</t>
  </si>
  <si>
    <t>Bengali Language and Literature.</t>
  </si>
  <si>
    <t>160705</t>
  </si>
  <si>
    <t>Punjabi Language and Literature.</t>
  </si>
  <si>
    <t>160706</t>
  </si>
  <si>
    <t>Tamil Language and Literature.</t>
  </si>
  <si>
    <t>160707</t>
  </si>
  <si>
    <t>Urdu Language and Literature.</t>
  </si>
  <si>
    <t>160799</t>
  </si>
  <si>
    <t>South Asian Languages, Literatures, and Linguistics, Other.</t>
  </si>
  <si>
    <t>Iranian/Persian Languages, Literatures, and Linguistics.</t>
  </si>
  <si>
    <t>160801</t>
  </si>
  <si>
    <t>Iranian Languages, Literatures, and Linguistics.</t>
  </si>
  <si>
    <t>Romance Languages, Literatures, and Linguistics.</t>
  </si>
  <si>
    <t>160900</t>
  </si>
  <si>
    <t>Romance Languages, Literatures, and Linguistics, General.</t>
  </si>
  <si>
    <t>160901</t>
  </si>
  <si>
    <t>French Language and Literature.</t>
  </si>
  <si>
    <t>160902</t>
  </si>
  <si>
    <t>Italian Language and Literature.</t>
  </si>
  <si>
    <t>160904</t>
  </si>
  <si>
    <t>Portuguese Language and Literature.</t>
  </si>
  <si>
    <t>160905</t>
  </si>
  <si>
    <t>Spanish Language and Literature.</t>
  </si>
  <si>
    <t>160906</t>
  </si>
  <si>
    <t>Romanian Language and Literature.</t>
  </si>
  <si>
    <t>160907</t>
  </si>
  <si>
    <t>Catalan Language and Literature.</t>
  </si>
  <si>
    <t>160908</t>
  </si>
  <si>
    <t>Hispanic and Latin American Languages, Literatures, and Linguistics, General.</t>
  </si>
  <si>
    <t>160999</t>
  </si>
  <si>
    <t>Romance Languages, Literatures, and Linguistics, Other.</t>
  </si>
  <si>
    <t>American Indian/Native American Languages, Literatures, and Linguistics.</t>
  </si>
  <si>
    <t>161001</t>
  </si>
  <si>
    <t>Middle/Near Eastern and Semitic Languages, Literatures, and Linguistics.</t>
  </si>
  <si>
    <t>161100</t>
  </si>
  <si>
    <t>Middle/Near Eastern and Semitic Languages, Literatures, and Linguistics, General.</t>
  </si>
  <si>
    <t>161101</t>
  </si>
  <si>
    <t>Arabic Language and Literature.</t>
  </si>
  <si>
    <t>161102</t>
  </si>
  <si>
    <t>Hebrew Language and Literature.</t>
  </si>
  <si>
    <t>161103</t>
  </si>
  <si>
    <t>Ancient Near Eastern and Biblical Languages, Literatures, and Linguistics.</t>
  </si>
  <si>
    <t>161199</t>
  </si>
  <si>
    <t>Middle/Near Eastern and Semitic Languages, Literatures, and Linguistics, Other.</t>
  </si>
  <si>
    <t>Classics and Classical Languages, Literatures, and Linguistics.</t>
  </si>
  <si>
    <t>161200</t>
  </si>
  <si>
    <t>Classics and Classical Languages, Literatures, and Linguistics, General.</t>
  </si>
  <si>
    <t>161202</t>
  </si>
  <si>
    <t>Ancient/Classical Greek Language and Literature.</t>
  </si>
  <si>
    <t>161203</t>
  </si>
  <si>
    <t>Latin Language and Literature.</t>
  </si>
  <si>
    <t>161299</t>
  </si>
  <si>
    <t>Classics and Classical Languages, Literatures, and Linguistics, Other.</t>
  </si>
  <si>
    <t>Celtic Languages, Literatures, and Linguistics.</t>
  </si>
  <si>
    <t>161301</t>
  </si>
  <si>
    <t>Southeast Asian and Australasian/Pacific Languages, Literatures, and Linguistics.</t>
  </si>
  <si>
    <t>161400</t>
  </si>
  <si>
    <t>Southeast Asian Languages, Literatures, and Linguistics, General.</t>
  </si>
  <si>
    <t>161401</t>
  </si>
  <si>
    <t>Australian/Oceanic/Pacific Languages, Literatures, and Linguistics.</t>
  </si>
  <si>
    <t>161402</t>
  </si>
  <si>
    <t>Indonesian/Malay Languages and Literatures.</t>
  </si>
  <si>
    <t>161403</t>
  </si>
  <si>
    <t>Burmese Language and Literature.</t>
  </si>
  <si>
    <t>161404</t>
  </si>
  <si>
    <t>Filipino/Tagalog Language and Literature.</t>
  </si>
  <si>
    <t>161405</t>
  </si>
  <si>
    <t>Khmer/Cambodian Language and Literature.</t>
  </si>
  <si>
    <t>161406</t>
  </si>
  <si>
    <t>Lao Language and Literature.</t>
  </si>
  <si>
    <t>161407</t>
  </si>
  <si>
    <t>Thai Language and Literature.</t>
  </si>
  <si>
    <t>161408</t>
  </si>
  <si>
    <t>Vietnamese Language and Literature.</t>
  </si>
  <si>
    <t>Hawaiian Language and Literature.</t>
  </si>
  <si>
    <t>161499</t>
  </si>
  <si>
    <t>Southeast Asian and Australasian/Pacific Languages, Literatures, and Linguistics, Other.</t>
  </si>
  <si>
    <t>Turkic, Uralic-Altaic, Caucasian, and Central Asian Languages, Literatures, and Linguistics.</t>
  </si>
  <si>
    <t>161501</t>
  </si>
  <si>
    <t>Turkish Language and Literature.</t>
  </si>
  <si>
    <t>161502</t>
  </si>
  <si>
    <t>Uralic Languages, Literatures, and Linguistics.</t>
  </si>
  <si>
    <t>161503</t>
  </si>
  <si>
    <t>Hungarian/Magyar Language and Literature.</t>
  </si>
  <si>
    <t>161504</t>
  </si>
  <si>
    <t>Mongolian Language and Literature.</t>
  </si>
  <si>
    <t>161599</t>
  </si>
  <si>
    <t>Turkic, Uralic-Altaic, Caucasian, and Central Asian Languages, Literatures, and Linguistics, Other.</t>
  </si>
  <si>
    <t>American Sign Language.</t>
  </si>
  <si>
    <t>161601</t>
  </si>
  <si>
    <t>American Sign Language (ASL).</t>
  </si>
  <si>
    <t>161602</t>
  </si>
  <si>
    <t>Linguistics of ASL and Other Sign Languages.</t>
  </si>
  <si>
    <t>161603</t>
  </si>
  <si>
    <t>Sign Language Interpretation and Translation.</t>
  </si>
  <si>
    <t>161699</t>
  </si>
  <si>
    <t>American Sign Language, Other.</t>
  </si>
  <si>
    <t>Second Language Learning.</t>
  </si>
  <si>
    <t>English as a Second Language.</t>
  </si>
  <si>
    <t>Armenian Languages, Literatures, and Linguistics.</t>
  </si>
  <si>
    <t>Armenian Language and Literature.</t>
  </si>
  <si>
    <t>Foreign Languages, Literatures, and Linguistics, Other.</t>
  </si>
  <si>
    <t>169999</t>
  </si>
  <si>
    <t>FAMILY AND CONSUMER SCIENCES/HUMAN SCIENCES.</t>
  </si>
  <si>
    <t>Work and Family Studies.</t>
  </si>
  <si>
    <t>190000</t>
  </si>
  <si>
    <t>Family and Consumer Sciences/Human Sciences, General.</t>
  </si>
  <si>
    <t>190101</t>
  </si>
  <si>
    <t>Family and Consumer Sciences/Human Sciences Business Services.</t>
  </si>
  <si>
    <t>190201</t>
  </si>
  <si>
    <t>Business Family and Consumer Sciences/Human Sciences.</t>
  </si>
  <si>
    <t>190202</t>
  </si>
  <si>
    <t>Family and Consumer Sciences/Human Sciences Communication.</t>
  </si>
  <si>
    <t>190203</t>
  </si>
  <si>
    <t>Consumer Merchandising/Retailing Management.</t>
  </si>
  <si>
    <t>190299</t>
  </si>
  <si>
    <t>Family and Consumer Sciences/Human Sciences Business Services, Other.</t>
  </si>
  <si>
    <t>Family and Consumer Economics and Related Studies.</t>
  </si>
  <si>
    <t>190401</t>
  </si>
  <si>
    <t>Family Resource Management Studies, General.</t>
  </si>
  <si>
    <t>190402</t>
  </si>
  <si>
    <t>Consumer Economics.</t>
  </si>
  <si>
    <t>190403</t>
  </si>
  <si>
    <t>Consumer Services and Advocacy.</t>
  </si>
  <si>
    <t>190499</t>
  </si>
  <si>
    <t>Family and Consumer Economics and Related Services, Other.</t>
  </si>
  <si>
    <t>Foods, Nutrition, and Related Services.</t>
  </si>
  <si>
    <t>190501</t>
  </si>
  <si>
    <t>Foods, Nutrition, and Wellness Studies, General.</t>
  </si>
  <si>
    <t>190504</t>
  </si>
  <si>
    <t>Human Nutrition.</t>
  </si>
  <si>
    <t>190505</t>
  </si>
  <si>
    <t>Foodservice Systems Administration/Management.</t>
  </si>
  <si>
    <t>190599</t>
  </si>
  <si>
    <t>Foods, Nutrition, and Related Services, Other.</t>
  </si>
  <si>
    <t>Housing and Human Environments.</t>
  </si>
  <si>
    <t>190601</t>
  </si>
  <si>
    <t>Housing and Human Environments, General.</t>
  </si>
  <si>
    <t>190604</t>
  </si>
  <si>
    <t>Facilities Planning and Management.</t>
  </si>
  <si>
    <t>190605</t>
  </si>
  <si>
    <t>Home Furnishings and Equipment Installers.</t>
  </si>
  <si>
    <t>Human Development, Family Studies, and Related Services.</t>
  </si>
  <si>
    <t>190701</t>
  </si>
  <si>
    <t>Human Development and Family Studies, General.</t>
  </si>
  <si>
    <t>190702</t>
  </si>
  <si>
    <t>Adult Development and Aging.</t>
  </si>
  <si>
    <t>190704</t>
  </si>
  <si>
    <t>Family Systems.</t>
  </si>
  <si>
    <t>190706</t>
  </si>
  <si>
    <t>Child Development.</t>
  </si>
  <si>
    <t>190707</t>
  </si>
  <si>
    <t>Family and Community Services.</t>
  </si>
  <si>
    <t>190710</t>
  </si>
  <si>
    <t>Developmental Services Worker.</t>
  </si>
  <si>
    <t>Early Childhood and Family Studies.</t>
  </si>
  <si>
    <t>Parent Education Services.</t>
  </si>
  <si>
    <t>190799</t>
  </si>
  <si>
    <t>Human Development, Family Studies, and Related Services, Other.</t>
  </si>
  <si>
    <t>Apparel and Textiles.</t>
  </si>
  <si>
    <t>190901</t>
  </si>
  <si>
    <t>Apparel and Textiles, General.</t>
  </si>
  <si>
    <t>190902</t>
  </si>
  <si>
    <t>Apparel and Textile Manufacture.</t>
  </si>
  <si>
    <t>190904</t>
  </si>
  <si>
    <t>Textile Science.</t>
  </si>
  <si>
    <t>190905</t>
  </si>
  <si>
    <t>Apparel and Textile Marketing Management.</t>
  </si>
  <si>
    <t>190906</t>
  </si>
  <si>
    <t>Fashion and Fabric Consultant.</t>
  </si>
  <si>
    <t>190999</t>
  </si>
  <si>
    <t>Apparel and Textiles, Other.</t>
  </si>
  <si>
    <t>Family and Consumer Sciences/Human Sciences, Other.</t>
  </si>
  <si>
    <t>199999</t>
  </si>
  <si>
    <t>LEGAL PROFESSIONS AND STUDIES.</t>
  </si>
  <si>
    <t>Non-Professional General Legal Studies (Undergraduate).</t>
  </si>
  <si>
    <t>Non-Professional Legal Studies.</t>
  </si>
  <si>
    <t>220000</t>
  </si>
  <si>
    <t>Legal Studies, General.</t>
  </si>
  <si>
    <t>Legal Studies.</t>
  </si>
  <si>
    <t>220001</t>
  </si>
  <si>
    <t>Pre-Law Studies.</t>
  </si>
  <si>
    <t>Non-Professional Legal Studies, Other.</t>
  </si>
  <si>
    <t>Law.</t>
  </si>
  <si>
    <t>220101</t>
  </si>
  <si>
    <t>Legal Research and Advanced Professional Studies.</t>
  </si>
  <si>
    <t>220201</t>
  </si>
  <si>
    <t>Advanced Legal Research/Studies, General.</t>
  </si>
  <si>
    <t>220202</t>
  </si>
  <si>
    <t>Programs for Foreign Lawyers.</t>
  </si>
  <si>
    <t>220203</t>
  </si>
  <si>
    <t>American/U.S. Law/Legal Studies/Jurisprudence.</t>
  </si>
  <si>
    <t>220204</t>
  </si>
  <si>
    <t>Canadian Law/Legal Studies/Jurisprudence.</t>
  </si>
  <si>
    <t>220205</t>
  </si>
  <si>
    <t>Banking, Corporate, Finance, and Securities Law.</t>
  </si>
  <si>
    <t>220206</t>
  </si>
  <si>
    <t>Comparative Law.</t>
  </si>
  <si>
    <t>220207</t>
  </si>
  <si>
    <t>Energy, Environment, and Natural Resources Law.</t>
  </si>
  <si>
    <t>220208</t>
  </si>
  <si>
    <t>Health Law.</t>
  </si>
  <si>
    <t>220209</t>
  </si>
  <si>
    <t>International Law and Legal Studies.</t>
  </si>
  <si>
    <t>220210</t>
  </si>
  <si>
    <t>International Business, Trade, and Tax Law.</t>
  </si>
  <si>
    <t>220211</t>
  </si>
  <si>
    <t>Tax Law/Taxation.</t>
  </si>
  <si>
    <t>220212</t>
  </si>
  <si>
    <t>Intellectual Property Law.</t>
  </si>
  <si>
    <t>Patent Law.</t>
  </si>
  <si>
    <t>Agriculture Law.</t>
  </si>
  <si>
    <t>Arts and Entertainment Law.</t>
  </si>
  <si>
    <t>Compliance Law.</t>
  </si>
  <si>
    <t>Criminal Law and Procedure.</t>
  </si>
  <si>
    <t>Entrepreneurship Law.</t>
  </si>
  <si>
    <t>Family/Child/Elder Law.</t>
  </si>
  <si>
    <t>Human Resources Law.</t>
  </si>
  <si>
    <t>Insurance Law.</t>
  </si>
  <si>
    <t>Real Estate and Land Development Law.</t>
  </si>
  <si>
    <t>Transportation Law.</t>
  </si>
  <si>
    <t>Tribal/Indigenous Law.</t>
  </si>
  <si>
    <t>220299</t>
  </si>
  <si>
    <t>Legal Research and Advanced Professional Studies, Other.</t>
  </si>
  <si>
    <t>Legal Support Services.</t>
  </si>
  <si>
    <t>Court Reporting/Court Reporter.</t>
  </si>
  <si>
    <t>Court Interpreter.</t>
  </si>
  <si>
    <t>Scopist.</t>
  </si>
  <si>
    <t>220399</t>
  </si>
  <si>
    <t>Legal Support Services, Other.</t>
  </si>
  <si>
    <t>Legal Professions and Studies, Other.</t>
  </si>
  <si>
    <t>229999</t>
  </si>
  <si>
    <t>ENGLISH LANGUAGE AND LITERATURE/LETTERS.</t>
  </si>
  <si>
    <t>English Language and Literature, General.</t>
  </si>
  <si>
    <t>230101</t>
  </si>
  <si>
    <t>Rhetoric and Composition/Writing Studies.</t>
  </si>
  <si>
    <t>231301</t>
  </si>
  <si>
    <t>Writing, General.</t>
  </si>
  <si>
    <t>231302</t>
  </si>
  <si>
    <t>Creative Writing.</t>
  </si>
  <si>
    <t>231303</t>
  </si>
  <si>
    <t>Professional, Technical, Business, and Scientific Writing.</t>
  </si>
  <si>
    <t>231304</t>
  </si>
  <si>
    <t>Rhetoric and Composition.</t>
  </si>
  <si>
    <t>231399</t>
  </si>
  <si>
    <t>Rhetoric and Composition/Writing Studies, Other.</t>
  </si>
  <si>
    <t>Literature.</t>
  </si>
  <si>
    <t>231401</t>
  </si>
  <si>
    <t>General Literature.</t>
  </si>
  <si>
    <t>231402</t>
  </si>
  <si>
    <t>American Literature (United States).</t>
  </si>
  <si>
    <t>231403</t>
  </si>
  <si>
    <t>American Literature (Canadian).</t>
  </si>
  <si>
    <t>231404</t>
  </si>
  <si>
    <t>English Literature (British and Commonwealth).</t>
  </si>
  <si>
    <t>231405</t>
  </si>
  <si>
    <t>Children's and Adolescent Literature.</t>
  </si>
  <si>
    <t>231499</t>
  </si>
  <si>
    <t>Literature, Other.</t>
  </si>
  <si>
    <t>English Language and Literature/Letters, Other.</t>
  </si>
  <si>
    <t>239999</t>
  </si>
  <si>
    <t>LIBERAL ARTS AND SCIENCES, GENERAL STUDIES AND HUMANITIES.</t>
  </si>
  <si>
    <t>Liberal Arts and Sciences, General Studies and Humanities.</t>
  </si>
  <si>
    <t>Liberal Arts and Sciences/Liberal Studies.</t>
  </si>
  <si>
    <t>240102</t>
  </si>
  <si>
    <t>General Studies.</t>
  </si>
  <si>
    <t>240103</t>
  </si>
  <si>
    <t>Humanities/Humanistic Studies.</t>
  </si>
  <si>
    <t>240199</t>
  </si>
  <si>
    <t>Liberal Arts and Sciences, General Studies and Humanities, Other.</t>
  </si>
  <si>
    <t>LIBRARY SCIENCE.</t>
  </si>
  <si>
    <t>Library Science and Administration.</t>
  </si>
  <si>
    <t>250101</t>
  </si>
  <si>
    <t>Library and Information Science.</t>
  </si>
  <si>
    <t>250102</t>
  </si>
  <si>
    <t>Children and Youth Library Services.</t>
  </si>
  <si>
    <t>250103</t>
  </si>
  <si>
    <t>Archives/Archival Administration.</t>
  </si>
  <si>
    <t>250199</t>
  </si>
  <si>
    <t>Library Science and Administration, Other.</t>
  </si>
  <si>
    <t>Library and Archives Assisting.</t>
  </si>
  <si>
    <t>250301</t>
  </si>
  <si>
    <t>Library Science, Other.</t>
  </si>
  <si>
    <t>259999</t>
  </si>
  <si>
    <t>BIOLOGICAL AND BIOMEDICAL SCIENCES.</t>
  </si>
  <si>
    <t>Biology, General.</t>
  </si>
  <si>
    <t>260101</t>
  </si>
  <si>
    <t>Biology/Biological Sciences, General.</t>
  </si>
  <si>
    <t>260102</t>
  </si>
  <si>
    <t>Biomedical Sciences, General.</t>
  </si>
  <si>
    <t>Biochemistry, Biophysics and Molecular Biology.</t>
  </si>
  <si>
    <t>260202</t>
  </si>
  <si>
    <t>Biochemistry.</t>
  </si>
  <si>
    <t>260203</t>
  </si>
  <si>
    <t>Biophysics.</t>
  </si>
  <si>
    <t>260204</t>
  </si>
  <si>
    <t>Molecular Biology.</t>
  </si>
  <si>
    <t>260205</t>
  </si>
  <si>
    <t>Molecular Biochemistry.</t>
  </si>
  <si>
    <t>260206</t>
  </si>
  <si>
    <t>Molecular Biophysics.</t>
  </si>
  <si>
    <t>260207</t>
  </si>
  <si>
    <t>Structural Biology.</t>
  </si>
  <si>
    <t>260208</t>
  </si>
  <si>
    <t>Photobiology.</t>
  </si>
  <si>
    <t>260209</t>
  </si>
  <si>
    <t>Radiation Biology/Radiobiology.</t>
  </si>
  <si>
    <t>260210</t>
  </si>
  <si>
    <t>Biochemistry and Molecular Biology.</t>
  </si>
  <si>
    <t>260299</t>
  </si>
  <si>
    <t>Biochemistry, Biophysics and Molecular Biology, Other.</t>
  </si>
  <si>
    <t>Botany/Plant Biology.</t>
  </si>
  <si>
    <t>260301</t>
  </si>
  <si>
    <t>260305</t>
  </si>
  <si>
    <t>Plant Pathology/Phytopathology.</t>
  </si>
  <si>
    <t>260307</t>
  </si>
  <si>
    <t>Plant Physiology.</t>
  </si>
  <si>
    <t>260308</t>
  </si>
  <si>
    <t>Plant Molecular Biology.</t>
  </si>
  <si>
    <t>260399</t>
  </si>
  <si>
    <t>Botany/Plant Biology, Other.</t>
  </si>
  <si>
    <t>Cell/Cellular Biology and Anatomical Sciences.</t>
  </si>
  <si>
    <t>260401</t>
  </si>
  <si>
    <t>Cell/Cellular Biology and Histology.</t>
  </si>
  <si>
    <t>260403</t>
  </si>
  <si>
    <t>Anatomy.</t>
  </si>
  <si>
    <t>260404</t>
  </si>
  <si>
    <t>Developmental Biology and Embryology.</t>
  </si>
  <si>
    <t>260406</t>
  </si>
  <si>
    <t>Cell/Cellular and Molecular Biology.</t>
  </si>
  <si>
    <t>260407</t>
  </si>
  <si>
    <t>Cell Biology and Anatomy.</t>
  </si>
  <si>
    <t>260499</t>
  </si>
  <si>
    <t>Cell/Cellular Biology and Anatomical Sciences, Other.</t>
  </si>
  <si>
    <t>Microbiological Sciences and Immunology.</t>
  </si>
  <si>
    <t>260502</t>
  </si>
  <si>
    <t>Microbiology, General.</t>
  </si>
  <si>
    <t>260503</t>
  </si>
  <si>
    <t>Medical Microbiology and Bacteriology.</t>
  </si>
  <si>
    <t>260504</t>
  </si>
  <si>
    <t>Virology.</t>
  </si>
  <si>
    <t>260505</t>
  </si>
  <si>
    <t>Parasitology.</t>
  </si>
  <si>
    <t>260506</t>
  </si>
  <si>
    <t>Mycology.</t>
  </si>
  <si>
    <t>260507</t>
  </si>
  <si>
    <t>Immunology.</t>
  </si>
  <si>
    <t>260508</t>
  </si>
  <si>
    <t>Microbiology and Immunology.</t>
  </si>
  <si>
    <t>Infectious Disease and Global Health.</t>
  </si>
  <si>
    <t>260599</t>
  </si>
  <si>
    <t>Microbiological Sciences and Immunology, Other.</t>
  </si>
  <si>
    <t>Zoology/Animal Biology.</t>
  </si>
  <si>
    <t>260701</t>
  </si>
  <si>
    <t>260702</t>
  </si>
  <si>
    <t>Entomology.</t>
  </si>
  <si>
    <t>260707</t>
  </si>
  <si>
    <t>Animal Physiology.</t>
  </si>
  <si>
    <t>260708</t>
  </si>
  <si>
    <t>Animal Behavior and Ethology.</t>
  </si>
  <si>
    <t>260709</t>
  </si>
  <si>
    <t>Wildlife Biology.</t>
  </si>
  <si>
    <t>260799</t>
  </si>
  <si>
    <t>Zoology/Animal Biology, Other.</t>
  </si>
  <si>
    <t>Genetics.</t>
  </si>
  <si>
    <t>260801</t>
  </si>
  <si>
    <t>Genetics, General.</t>
  </si>
  <si>
    <t>260802</t>
  </si>
  <si>
    <t>Molecular Genetics.</t>
  </si>
  <si>
    <t>260803</t>
  </si>
  <si>
    <t>Microbial and Eukaryotic Genetics.</t>
  </si>
  <si>
    <t>260804</t>
  </si>
  <si>
    <t>Animal Genetics.</t>
  </si>
  <si>
    <t>260805</t>
  </si>
  <si>
    <t>Plant Genetics.</t>
  </si>
  <si>
    <t>260806</t>
  </si>
  <si>
    <t>Human/Medical Genetics.</t>
  </si>
  <si>
    <t>260807</t>
  </si>
  <si>
    <t>Genome Sciences/Genomics.</t>
  </si>
  <si>
    <t>260899</t>
  </si>
  <si>
    <t>Genetics, Other.</t>
  </si>
  <si>
    <t>Physiology, Pathology and Related Sciences.</t>
  </si>
  <si>
    <t>260901</t>
  </si>
  <si>
    <t>Physiology, General.</t>
  </si>
  <si>
    <t>260902</t>
  </si>
  <si>
    <t>Molecular Physiology.</t>
  </si>
  <si>
    <t>260903</t>
  </si>
  <si>
    <t>Cell Physiology.</t>
  </si>
  <si>
    <t>260904</t>
  </si>
  <si>
    <t>Endocrinology.</t>
  </si>
  <si>
    <t>260905</t>
  </si>
  <si>
    <t>Reproductive Biology.</t>
  </si>
  <si>
    <t>260907</t>
  </si>
  <si>
    <t>Cardiovascular Science.</t>
  </si>
  <si>
    <t>260908</t>
  </si>
  <si>
    <t>Exercise Physiology.</t>
  </si>
  <si>
    <t>Exercise Physiology and Kinesiology.</t>
  </si>
  <si>
    <t>260909</t>
  </si>
  <si>
    <t>Vision Science/Physiological Optics.</t>
  </si>
  <si>
    <t>260910</t>
  </si>
  <si>
    <t>Pathology/Experimental Pathology.</t>
  </si>
  <si>
    <t>260911</t>
  </si>
  <si>
    <t>Oncology and Cancer Biology.</t>
  </si>
  <si>
    <t>260912</t>
  </si>
  <si>
    <t>Aerospace Physiology and Medicine.</t>
  </si>
  <si>
    <t>Biomechanics.</t>
  </si>
  <si>
    <t>260999</t>
  </si>
  <si>
    <t>Physiology, Pathology, and Related Sciences, Other.</t>
  </si>
  <si>
    <t>Pharmacology and Toxicology.</t>
  </si>
  <si>
    <t>261001</t>
  </si>
  <si>
    <t>Pharmacology.</t>
  </si>
  <si>
    <t>261002</t>
  </si>
  <si>
    <t>Molecular Pharmacology.</t>
  </si>
  <si>
    <t>261003</t>
  </si>
  <si>
    <t>Neuropharmacology.</t>
  </si>
  <si>
    <t>261004</t>
  </si>
  <si>
    <t>Toxicology.</t>
  </si>
  <si>
    <t>261005</t>
  </si>
  <si>
    <t>Molecular Toxicology.</t>
  </si>
  <si>
    <t>261006</t>
  </si>
  <si>
    <t>Environmental Toxicology.</t>
  </si>
  <si>
    <t>261007</t>
  </si>
  <si>
    <t>261099</t>
  </si>
  <si>
    <t>Pharmacology and Toxicology, Other.</t>
  </si>
  <si>
    <t>Biomathematics, Bioinformatics, and Computational Biology.</t>
  </si>
  <si>
    <t>261101</t>
  </si>
  <si>
    <t>Biometry/Biometrics.</t>
  </si>
  <si>
    <t>261102</t>
  </si>
  <si>
    <t>Biostatistics.</t>
  </si>
  <si>
    <t>261103</t>
  </si>
  <si>
    <t>Bioinformatics.</t>
  </si>
  <si>
    <t>261104</t>
  </si>
  <si>
    <t>Computational Biology.</t>
  </si>
  <si>
    <t>261199</t>
  </si>
  <si>
    <t>Biomathematics, Bioinformatics, and Computational Biology, Other.</t>
  </si>
  <si>
    <t>Ecology, Evolution, Systematics, and Population Biology.</t>
  </si>
  <si>
    <t>261301</t>
  </si>
  <si>
    <t>Ecology.</t>
  </si>
  <si>
    <t>261302</t>
  </si>
  <si>
    <t>Marine Biology and Biological Oceanography.</t>
  </si>
  <si>
    <t>261303</t>
  </si>
  <si>
    <t>Evolutionary Biology.</t>
  </si>
  <si>
    <t>261304</t>
  </si>
  <si>
    <t>Aquatic Biology/Limnology.</t>
  </si>
  <si>
    <t>261305</t>
  </si>
  <si>
    <t>Environmental Biology.</t>
  </si>
  <si>
    <t>261306</t>
  </si>
  <si>
    <t>Population Biology.</t>
  </si>
  <si>
    <t>261307</t>
  </si>
  <si>
    <t>Conservation Biology.</t>
  </si>
  <si>
    <t>261308</t>
  </si>
  <si>
    <t>Systematic Biology/Biological Systematics.</t>
  </si>
  <si>
    <t>261309</t>
  </si>
  <si>
    <t>Epidemiology.</t>
  </si>
  <si>
    <t>261310</t>
  </si>
  <si>
    <t>Ecology and Evolutionary Biology.</t>
  </si>
  <si>
    <t>Epidemiology and Biostatistics.</t>
  </si>
  <si>
    <t>261399</t>
  </si>
  <si>
    <t>Ecology, Evolution, Systematics and Population Biology, Other.</t>
  </si>
  <si>
    <t>Molecular Medicine.</t>
  </si>
  <si>
    <t>261401</t>
  </si>
  <si>
    <t>Neurobiology and Neurosciences.</t>
  </si>
  <si>
    <t>261501</t>
  </si>
  <si>
    <t>Neuroscience.</t>
  </si>
  <si>
    <t>261502</t>
  </si>
  <si>
    <t>Neuroanatomy.</t>
  </si>
  <si>
    <t>261503</t>
  </si>
  <si>
    <t>Neurobiology and Anatomy.</t>
  </si>
  <si>
    <t>261504</t>
  </si>
  <si>
    <t>Neurobiology and Behavior.</t>
  </si>
  <si>
    <t>261599</t>
  </si>
  <si>
    <t>Neurobiology and Neurosciences, Other.</t>
  </si>
  <si>
    <t>Biological and Biomedical Sciences, Other.</t>
  </si>
  <si>
    <t>269999</t>
  </si>
  <si>
    <t>MATHEMATICS AND STATISTICS.</t>
  </si>
  <si>
    <t>Mathematics.</t>
  </si>
  <si>
    <t>270101</t>
  </si>
  <si>
    <t>Mathematics, General.</t>
  </si>
  <si>
    <t>270102</t>
  </si>
  <si>
    <t>Algebra and Number Theory.</t>
  </si>
  <si>
    <t>270103</t>
  </si>
  <si>
    <t>Analysis and Functional Analysis.</t>
  </si>
  <si>
    <t>270104</t>
  </si>
  <si>
    <t>Geometry/Geometric Analysis.</t>
  </si>
  <si>
    <t>270105</t>
  </si>
  <si>
    <t>Topology and Foundations.</t>
  </si>
  <si>
    <t>270199</t>
  </si>
  <si>
    <t>Mathematics, Other.</t>
  </si>
  <si>
    <t>Applied Mathematics.</t>
  </si>
  <si>
    <t>270301</t>
  </si>
  <si>
    <t>Applied Mathematics, General.</t>
  </si>
  <si>
    <t>270303</t>
  </si>
  <si>
    <t>Computational Mathematics.</t>
  </si>
  <si>
    <t>270304</t>
  </si>
  <si>
    <t>Computational and Applied Mathematics.</t>
  </si>
  <si>
    <t>270305</t>
  </si>
  <si>
    <t>Financial Mathematics.</t>
  </si>
  <si>
    <t>270306</t>
  </si>
  <si>
    <t>Mathematical Biology.</t>
  </si>
  <si>
    <t>270399</t>
  </si>
  <si>
    <t>Applied Mathematics, Other.</t>
  </si>
  <si>
    <t>Statistics.</t>
  </si>
  <si>
    <t>270501</t>
  </si>
  <si>
    <t>Statistics, General.</t>
  </si>
  <si>
    <t>270502</t>
  </si>
  <si>
    <t>Mathematical Statistics and Probability.</t>
  </si>
  <si>
    <t>270503</t>
  </si>
  <si>
    <t>Mathematics and Statistics.</t>
  </si>
  <si>
    <t>270599</t>
  </si>
  <si>
    <t>Statistics, Other.</t>
  </si>
  <si>
    <t>Applied Statistics.</t>
  </si>
  <si>
    <t>Applied Statistics, General.</t>
  </si>
  <si>
    <t>Mathematics and Statistics, Other.</t>
  </si>
  <si>
    <t>279999</t>
  </si>
  <si>
    <t>MILITARY SCIENCE, LEADERSHIP AND OPERATIONAL ART.</t>
  </si>
  <si>
    <t>Air Force ROTC, Air Science and Operations.</t>
  </si>
  <si>
    <t>280101</t>
  </si>
  <si>
    <t>Air Force JROTC/ROTC.</t>
  </si>
  <si>
    <t>280199</t>
  </si>
  <si>
    <t>Air Force ROTC, Air Science and Operations, Other.</t>
  </si>
  <si>
    <t>Army ROTC, Military Science and Operations.</t>
  </si>
  <si>
    <t>280301</t>
  </si>
  <si>
    <t>Army JROTC/ROTC.</t>
  </si>
  <si>
    <t>280399</t>
  </si>
  <si>
    <t>Army ROTC, Military Science and Operations, Other.</t>
  </si>
  <si>
    <t>Navy/Marine ROTC, Naval Science and Operations.</t>
  </si>
  <si>
    <t>280401</t>
  </si>
  <si>
    <t>Navy/Marine Corps JROTC/ROTC.</t>
  </si>
  <si>
    <t>280499</t>
  </si>
  <si>
    <t>Navy/Marine Corps ROTC, Naval Science and Operations, Other.</t>
  </si>
  <si>
    <t>Military Science and Operational Studies.</t>
  </si>
  <si>
    <t>280501</t>
  </si>
  <si>
    <t>Air Science/Airpower Studies.</t>
  </si>
  <si>
    <t>280502</t>
  </si>
  <si>
    <t>Air and Space Operational Art and Science.</t>
  </si>
  <si>
    <t>280503</t>
  </si>
  <si>
    <t>Military Operational Art and Science/Studies.</t>
  </si>
  <si>
    <t>280504</t>
  </si>
  <si>
    <t>Advanced Military and Operational Studies.</t>
  </si>
  <si>
    <t>280505</t>
  </si>
  <si>
    <t>Naval Science and Operational Studies.</t>
  </si>
  <si>
    <t>280506</t>
  </si>
  <si>
    <t>Special, Irregular and Counterterrorist Operations.</t>
  </si>
  <si>
    <t>280599</t>
  </si>
  <si>
    <t>Military Science and Operational Studies, Other.</t>
  </si>
  <si>
    <t>Security Policy and Strategy.</t>
  </si>
  <si>
    <t>280601</t>
  </si>
  <si>
    <t>Strategic Studies, General.</t>
  </si>
  <si>
    <t>280602</t>
  </si>
  <si>
    <t>Military and Strategic Leadership.</t>
  </si>
  <si>
    <t>280603</t>
  </si>
  <si>
    <t>Military and International Operational Law.</t>
  </si>
  <si>
    <t>280604</t>
  </si>
  <si>
    <t>Joint Operations Planning and Strategy.</t>
  </si>
  <si>
    <t>280605</t>
  </si>
  <si>
    <t>Weapons of Mass Destruction.</t>
  </si>
  <si>
    <t>280699</t>
  </si>
  <si>
    <t>National Security Policy and Strategy, Other.</t>
  </si>
  <si>
    <t>Military Economics and Management.</t>
  </si>
  <si>
    <t>280701</t>
  </si>
  <si>
    <t>National Resource Strategy and Policy.</t>
  </si>
  <si>
    <t>280702</t>
  </si>
  <si>
    <t>Industry Studies.</t>
  </si>
  <si>
    <t>280703</t>
  </si>
  <si>
    <t>Military Installation Management.</t>
  </si>
  <si>
    <t>280799</t>
  </si>
  <si>
    <t>Military Economics and Management, Other.</t>
  </si>
  <si>
    <t>Military Science, Leadership and Operational Art, Other.</t>
  </si>
  <si>
    <t>289999</t>
  </si>
  <si>
    <t>MILITARY TECHNOLOGIES AND APPLIED SCIENCES.</t>
  </si>
  <si>
    <t>Intelligence, Command Control and Information Operations.</t>
  </si>
  <si>
    <t>290201</t>
  </si>
  <si>
    <t>Intelligence, General.</t>
  </si>
  <si>
    <t>290202</t>
  </si>
  <si>
    <t>Strategic Intelligence.</t>
  </si>
  <si>
    <t>290203</t>
  </si>
  <si>
    <t>Signal/Geospatial Intelligence.</t>
  </si>
  <si>
    <t>290204</t>
  </si>
  <si>
    <t>Command &amp; Control (C3, C4I) Systems and Operations.</t>
  </si>
  <si>
    <t>290205</t>
  </si>
  <si>
    <t>Information Operations/Joint Information Operations.</t>
  </si>
  <si>
    <t>290206</t>
  </si>
  <si>
    <t>Information/Psychological Warfare and Military Media Relations.</t>
  </si>
  <si>
    <t>290207</t>
  </si>
  <si>
    <t>Cyber/Electronic Operations and Warfare.</t>
  </si>
  <si>
    <t>290299</t>
  </si>
  <si>
    <t>Intelligence, Command Control and Information Operations, Other.</t>
  </si>
  <si>
    <t>Military Applied Sciences.</t>
  </si>
  <si>
    <t>290301</t>
  </si>
  <si>
    <t>Combat Systems Engineering.</t>
  </si>
  <si>
    <t>290302</t>
  </si>
  <si>
    <t>Directed Energy Systems.</t>
  </si>
  <si>
    <t>290303</t>
  </si>
  <si>
    <t>Engineering Acoustics.</t>
  </si>
  <si>
    <t>290304</t>
  </si>
  <si>
    <t>Low-Observables and Stealth Technology.</t>
  </si>
  <si>
    <t>290305</t>
  </si>
  <si>
    <t>Space Systems Operations.</t>
  </si>
  <si>
    <t>290306</t>
  </si>
  <si>
    <t>Operational Oceanography.</t>
  </si>
  <si>
    <t>290307</t>
  </si>
  <si>
    <t>Undersea Warfare.</t>
  </si>
  <si>
    <t>290399</t>
  </si>
  <si>
    <t>Military Applied Sciences, Other.</t>
  </si>
  <si>
    <t>Military Systems and Maintenance Technology.</t>
  </si>
  <si>
    <t>290401</t>
  </si>
  <si>
    <t>Aerospace Ground Equipment Technology.</t>
  </si>
  <si>
    <t>290402</t>
  </si>
  <si>
    <t>Air and Space Operations Technology.</t>
  </si>
  <si>
    <t>290403</t>
  </si>
  <si>
    <t>Aircraft Armament Systems Technology.</t>
  </si>
  <si>
    <t>290404</t>
  </si>
  <si>
    <t>Explosive Ordinance/Bomb Disposal.</t>
  </si>
  <si>
    <t>290405</t>
  </si>
  <si>
    <t>Joint Command/Task Force (C3, C4I) Systems.</t>
  </si>
  <si>
    <t>290406</t>
  </si>
  <si>
    <t>Military Information Systems Technology.</t>
  </si>
  <si>
    <t>290407</t>
  </si>
  <si>
    <t>Missile and Space Systems Technology.</t>
  </si>
  <si>
    <t>290408</t>
  </si>
  <si>
    <t>Munitions Systems/Ordinance Technology.</t>
  </si>
  <si>
    <t>290409</t>
  </si>
  <si>
    <t>Radar Communications and Systems Technology.</t>
  </si>
  <si>
    <t>290499</t>
  </si>
  <si>
    <t>Military Systems and Maintenance Technology, Other.</t>
  </si>
  <si>
    <t>Military Technology and Applied Sciences Management.</t>
  </si>
  <si>
    <t>Military Technologies and Applied Sciences, Other.</t>
  </si>
  <si>
    <t>299999</t>
  </si>
  <si>
    <t>MULTI/INTERDISCIPLINARY STUDIES.</t>
  </si>
  <si>
    <t>Multi-/Interdisciplinary Studies, General.</t>
  </si>
  <si>
    <t>300000</t>
  </si>
  <si>
    <t>Comprehensive Transition and Postsecondary (CTP) Program.</t>
  </si>
  <si>
    <t>Biological and Physical Sciences.</t>
  </si>
  <si>
    <t>300101</t>
  </si>
  <si>
    <t>Peace Studies and Conflict Resolution.</t>
  </si>
  <si>
    <t>300501</t>
  </si>
  <si>
    <t>Systems Science and Theory.</t>
  </si>
  <si>
    <t>300601</t>
  </si>
  <si>
    <t>Mathematics and Computer Science.</t>
  </si>
  <si>
    <t>300801</t>
  </si>
  <si>
    <t>Biopsychology.</t>
  </si>
  <si>
    <t>301001</t>
  </si>
  <si>
    <t>Gerontology.</t>
  </si>
  <si>
    <t>301101</t>
  </si>
  <si>
    <t>Historic Preservation and Conservation.</t>
  </si>
  <si>
    <t>301201</t>
  </si>
  <si>
    <t>Historic Preservation and Conservation, General.</t>
  </si>
  <si>
    <t>301202</t>
  </si>
  <si>
    <t>Cultural Resource Management and Policy Analysis.</t>
  </si>
  <si>
    <t>301299</t>
  </si>
  <si>
    <t>Historic Preservation and Conservation, Other.</t>
  </si>
  <si>
    <t>Medieval and Renaissance Studies.</t>
  </si>
  <si>
    <t>301301</t>
  </si>
  <si>
    <t>Museology/Museum Studies.</t>
  </si>
  <si>
    <t>301401</t>
  </si>
  <si>
    <t>Science, Technology and Society.</t>
  </si>
  <si>
    <t>301501</t>
  </si>
  <si>
    <t>Accounting and Computer Science.</t>
  </si>
  <si>
    <t>301601</t>
  </si>
  <si>
    <t>Behavioral Sciences.</t>
  </si>
  <si>
    <t>301701</t>
  </si>
  <si>
    <t>Natural Sciences.</t>
  </si>
  <si>
    <t>301801</t>
  </si>
  <si>
    <t>Nutrition Sciences.</t>
  </si>
  <si>
    <t>301901</t>
  </si>
  <si>
    <t>International/Global Studies.</t>
  </si>
  <si>
    <t>International/Globalization Studies.</t>
  </si>
  <si>
    <t>302001</t>
  </si>
  <si>
    <t>Holocaust and Related Studies.</t>
  </si>
  <si>
    <t>302101</t>
  </si>
  <si>
    <t>Classical and Ancient Studies.</t>
  </si>
  <si>
    <t>302201</t>
  </si>
  <si>
    <t>Ancient Studies/Civilization.</t>
  </si>
  <si>
    <t>302202</t>
  </si>
  <si>
    <t>Classical, Ancient Mediterranean and Near Eastern Studies and Archaeology.</t>
  </si>
  <si>
    <t>Classical, Ancient Mediterranean, and Near Eastern Studies and Archaeology.</t>
  </si>
  <si>
    <t>Intercultural/Multicultural and Diversity Studies.</t>
  </si>
  <si>
    <t>302301</t>
  </si>
  <si>
    <t>Cognitive Science.</t>
  </si>
  <si>
    <t>302501</t>
  </si>
  <si>
    <t>Cognitive Science, General.</t>
  </si>
  <si>
    <t>Contemplative Studies/Inquiry.</t>
  </si>
  <si>
    <t>Cognitive Science, Other.</t>
  </si>
  <si>
    <t>Cultural Studies/Critical Theory and Analysis.</t>
  </si>
  <si>
    <t>302601</t>
  </si>
  <si>
    <t>Human Biology.</t>
  </si>
  <si>
    <t>302701</t>
  </si>
  <si>
    <t>Dispute Resolution.</t>
  </si>
  <si>
    <t>302801</t>
  </si>
  <si>
    <t>Maritime Studies.</t>
  </si>
  <si>
    <t>302901</t>
  </si>
  <si>
    <t>Computational Science.</t>
  </si>
  <si>
    <t>303001</t>
  </si>
  <si>
    <t>Human Computer Interaction.</t>
  </si>
  <si>
    <t>303101</t>
  </si>
  <si>
    <t>Marine Sciences.</t>
  </si>
  <si>
    <t>303201</t>
  </si>
  <si>
    <t>Anthrozoology.</t>
  </si>
  <si>
    <t>Climate Science.</t>
  </si>
  <si>
    <t>Cultural Studies and Comparative Literature.</t>
  </si>
  <si>
    <t>Design for Human Health.</t>
  </si>
  <si>
    <t>Earth Systems Science.</t>
  </si>
  <si>
    <t>Economics and Computer Science.</t>
  </si>
  <si>
    <t>Economics and Foreign Language/Literature.</t>
  </si>
  <si>
    <t>Environmental Geosciences.</t>
  </si>
  <si>
    <t>Geoarcheaology.</t>
  </si>
  <si>
    <t>Geobiology.</t>
  </si>
  <si>
    <t>Geography and Environmental Studies.</t>
  </si>
  <si>
    <t>History and Language/Literature.</t>
  </si>
  <si>
    <t>History and Political Science.</t>
  </si>
  <si>
    <t>Linguistics and Anthropology.</t>
  </si>
  <si>
    <t>Linguistics and Computer Science.</t>
  </si>
  <si>
    <t>Mathematical Economics.</t>
  </si>
  <si>
    <t>Mathematics and Atmospheric/Oceanic Science.</t>
  </si>
  <si>
    <t>Philosophy, Politics, and Economics.</t>
  </si>
  <si>
    <t>Digital Humanities and Textual Studies.</t>
  </si>
  <si>
    <t>Digital Humanities and Textual Studies, General.</t>
  </si>
  <si>
    <t>Digital Humanities.</t>
  </si>
  <si>
    <t>Textual Studies.</t>
  </si>
  <si>
    <t>Digital Humanities and Textual Studies, Other.</t>
  </si>
  <si>
    <t>Thanatology.</t>
  </si>
  <si>
    <t>Data Science.</t>
  </si>
  <si>
    <t>Data Science, Other.</t>
  </si>
  <si>
    <t>Data Analytics.</t>
  </si>
  <si>
    <t>Data Analytics, General.</t>
  </si>
  <si>
    <t>Business Analytics.</t>
  </si>
  <si>
    <t>Data Visualization.</t>
  </si>
  <si>
    <t>Financial Analytics.</t>
  </si>
  <si>
    <t>Data Analytics, Other.</t>
  </si>
  <si>
    <t>Multi/Interdisciplinary Studies, Other.</t>
  </si>
  <si>
    <t>309999</t>
  </si>
  <si>
    <t>Multi-/Interdisciplinary Studies, Other.</t>
  </si>
  <si>
    <t>PARKS, RECREATION, LEISURE, AND FITNESS STUDIES.</t>
  </si>
  <si>
    <t>PARKS, RECREATION, LEISURE, FITNESS, AND KINESIOLOGY.</t>
  </si>
  <si>
    <t>Parks, Recreation and Leisure Studies.</t>
  </si>
  <si>
    <t>Parks, Recreation, and Leisure Studies.</t>
  </si>
  <si>
    <t>310101</t>
  </si>
  <si>
    <t>Parks, Recreation and Leisure Facilities Management.</t>
  </si>
  <si>
    <t>Parks, Recreation, and Leisure Facilities Management.</t>
  </si>
  <si>
    <t>310301</t>
  </si>
  <si>
    <t>Parks, Recreation and Leisure Facilities Management, General.</t>
  </si>
  <si>
    <t>Parks, Recreation, and Leisure Facilities Management, General.</t>
  </si>
  <si>
    <t>310302</t>
  </si>
  <si>
    <t>Golf Course Operation and Grounds Management.</t>
  </si>
  <si>
    <t>310399</t>
  </si>
  <si>
    <t>Parks, Recreation and Leisure Facilities Management, Other.</t>
  </si>
  <si>
    <t>Parks, Recreation, and Leisure Facilities Management, Other.</t>
  </si>
  <si>
    <t>Health and Physical Education/Fitness.</t>
  </si>
  <si>
    <t>Sports, Kinesiology, and Physical Education/Fitness.</t>
  </si>
  <si>
    <t>310501</t>
  </si>
  <si>
    <t>Health and Physical Education/Fitness, General.</t>
  </si>
  <si>
    <t>Sports, Kinesiology, and Physical Education/Fitness, General.</t>
  </si>
  <si>
    <t>310504</t>
  </si>
  <si>
    <t>Sport and Fitness Administration/Management.</t>
  </si>
  <si>
    <t>310505</t>
  </si>
  <si>
    <t>Kinesiology and Exercise Science.</t>
  </si>
  <si>
    <t>Exercise Science and Kinesiology.</t>
  </si>
  <si>
    <t>310508</t>
  </si>
  <si>
    <t>Sports Studies.</t>
  </si>
  <si>
    <t>310599</t>
  </si>
  <si>
    <t>Health and Physical Education/Fitness, Other.</t>
  </si>
  <si>
    <t>Sports, Kinesiology, and Physical Education/Fitness, Other.</t>
  </si>
  <si>
    <t>Outdoor Education.</t>
  </si>
  <si>
    <t>310601</t>
  </si>
  <si>
    <t>Parks, Recreation, Leisure, and Fitness Studies, Other.</t>
  </si>
  <si>
    <t>Parks, Recreation, Leisure, Fitness, and Kinesiology, Other.</t>
  </si>
  <si>
    <t>319999</t>
  </si>
  <si>
    <t>BASIC SKILLS AND DEVELOPMENTAL/REMEDIAL EDUCATION.</t>
  </si>
  <si>
    <t>Basic Skills and Developmental/Remedial Education.</t>
  </si>
  <si>
    <t>320101</t>
  </si>
  <si>
    <t>Basic Skills and Developmental/Remedial Education, General.</t>
  </si>
  <si>
    <t>320104</t>
  </si>
  <si>
    <t>Developmental/Remedial Mathematics.</t>
  </si>
  <si>
    <t>320105</t>
  </si>
  <si>
    <t>Job-Seeking/Changing Skills.</t>
  </si>
  <si>
    <t>320107</t>
  </si>
  <si>
    <t>Career Exploration/Awareness Skills.</t>
  </si>
  <si>
    <t>320108</t>
  </si>
  <si>
    <t>Developmental/Remedial English.</t>
  </si>
  <si>
    <t>320109</t>
  </si>
  <si>
    <t>320110</t>
  </si>
  <si>
    <t>Basic Computer Skills.</t>
  </si>
  <si>
    <t>320111</t>
  </si>
  <si>
    <t>Workforce Development and Training.</t>
  </si>
  <si>
    <t>Accent Reduction/Modification.</t>
  </si>
  <si>
    <t>320199</t>
  </si>
  <si>
    <t>Basic Skills and Developmental/Remedial Education, Other.</t>
  </si>
  <si>
    <t>General Exam Preparation and Test-Taking Skills.</t>
  </si>
  <si>
    <t>Exam Preparation and Test-Taking Skills, General.</t>
  </si>
  <si>
    <t>High School Equivalent Exam Preparation.</t>
  </si>
  <si>
    <t>Undergraduate Entrance/Placement Examination Preparation.</t>
  </si>
  <si>
    <t>Graduate/Professional School Entrance Examination Preparation.</t>
  </si>
  <si>
    <t>Professional Certification/Licensure Examination Preparation.</t>
  </si>
  <si>
    <t>General Exam Preparation and Test-Taking Skills, Other.</t>
  </si>
  <si>
    <t>CITIZENSHIP ACTIVITIES.</t>
  </si>
  <si>
    <t>Citizenship Activities.</t>
  </si>
  <si>
    <t>330101</t>
  </si>
  <si>
    <t>Citizenship Activities, General.</t>
  </si>
  <si>
    <t>330102</t>
  </si>
  <si>
    <t>American Citizenship Education.</t>
  </si>
  <si>
    <t>330103</t>
  </si>
  <si>
    <t>Community Awareness.</t>
  </si>
  <si>
    <t>330104</t>
  </si>
  <si>
    <t>Community Involvement.</t>
  </si>
  <si>
    <t>330105</t>
  </si>
  <si>
    <t>Canadian Citizenship Education.</t>
  </si>
  <si>
    <t>Personal Emergency Preparedness.</t>
  </si>
  <si>
    <t>330199</t>
  </si>
  <si>
    <t>Citizenship Activities, Other.</t>
  </si>
  <si>
    <t>HEALTH-RELATED KNOWLEDGE AND SKILLS.</t>
  </si>
  <si>
    <t>Health-Related Knowledge and Skills.</t>
  </si>
  <si>
    <t>340102</t>
  </si>
  <si>
    <t>Birthing and Parenting Knowledge and Skills.</t>
  </si>
  <si>
    <t>340103</t>
  </si>
  <si>
    <t>Personal Health Improvement and Maintenance.</t>
  </si>
  <si>
    <t>340104</t>
  </si>
  <si>
    <t>Addiction Prevention and Treatment.</t>
  </si>
  <si>
    <t>Meditation/Mind-Body Wellness.</t>
  </si>
  <si>
    <t>340199</t>
  </si>
  <si>
    <t>Health-Related Knowledge and Skills, Other.</t>
  </si>
  <si>
    <t>INTERPERSONAL AND SOCIAL SKILLS.</t>
  </si>
  <si>
    <t>Interpersonal and Social Skills.</t>
  </si>
  <si>
    <t>350101</t>
  </si>
  <si>
    <t>Interpersonal and Social Skills, General.</t>
  </si>
  <si>
    <t>350102</t>
  </si>
  <si>
    <t>Interpersonal Relationships Skills.</t>
  </si>
  <si>
    <t>350103</t>
  </si>
  <si>
    <t>Business and Social Skills.</t>
  </si>
  <si>
    <t>Life Coaching.</t>
  </si>
  <si>
    <t>350199</t>
  </si>
  <si>
    <t>Interpersonal Social Skills, Other.</t>
  </si>
  <si>
    <t>LEISURE AND RECREATIONAL ACTIVITIES.</t>
  </si>
  <si>
    <t>Leisure and Recreational Activities.</t>
  </si>
  <si>
    <t>360101</t>
  </si>
  <si>
    <t>Leisure and Recreational Activities, General.</t>
  </si>
  <si>
    <t>360102</t>
  </si>
  <si>
    <t>Handicrafts and Model-Making.</t>
  </si>
  <si>
    <t>360103</t>
  </si>
  <si>
    <t>Board, Card and Role-Playing Games.</t>
  </si>
  <si>
    <t>360105</t>
  </si>
  <si>
    <t>Home Maintenance and Improvement.</t>
  </si>
  <si>
    <t>360106</t>
  </si>
  <si>
    <t>Nature Appreciation.</t>
  </si>
  <si>
    <t>360107</t>
  </si>
  <si>
    <t>Pet Ownership and Care.</t>
  </si>
  <si>
    <t>360108</t>
  </si>
  <si>
    <t>Sports and Exercise.</t>
  </si>
  <si>
    <t>360109</t>
  </si>
  <si>
    <t>Travel and Exploration.</t>
  </si>
  <si>
    <t>360110</t>
  </si>
  <si>
    <t>Art.</t>
  </si>
  <si>
    <t>360111</t>
  </si>
  <si>
    <t>Collecting.</t>
  </si>
  <si>
    <t>360112</t>
  </si>
  <si>
    <t>Cooking and Other Domestic Skills.</t>
  </si>
  <si>
    <t>360113</t>
  </si>
  <si>
    <t>Computer Games and Programming Skills.</t>
  </si>
  <si>
    <t>360114</t>
  </si>
  <si>
    <t>Dancing.</t>
  </si>
  <si>
    <t>360115</t>
  </si>
  <si>
    <t>Music.</t>
  </si>
  <si>
    <t>360116</t>
  </si>
  <si>
    <t>Reading.</t>
  </si>
  <si>
    <t>360117</t>
  </si>
  <si>
    <t>Theatre/Theater.</t>
  </si>
  <si>
    <t>360118</t>
  </si>
  <si>
    <t>Writing.</t>
  </si>
  <si>
    <t>360119</t>
  </si>
  <si>
    <t>Aircraft Pilot (Private).</t>
  </si>
  <si>
    <t>Beekeeping.</t>
  </si>
  <si>
    <t>Firearms Training/Safety.</t>
  </si>
  <si>
    <t>Floral Design/Arrangement.</t>
  </si>
  <si>
    <t>Master Gardener/Gardening.</t>
  </si>
  <si>
    <t>360199</t>
  </si>
  <si>
    <t>Leisure and Recreational Activities, Other.</t>
  </si>
  <si>
    <t>Noncommercial Vehicle Operation.</t>
  </si>
  <si>
    <t>Automobile Driver Education.</t>
  </si>
  <si>
    <t>Helicopter Pilot (Private).</t>
  </si>
  <si>
    <t>Motorcycle Rider Education.</t>
  </si>
  <si>
    <t>Personal Watercraft/Boating Education.</t>
  </si>
  <si>
    <t>Remote Aircraft Pilot.</t>
  </si>
  <si>
    <t>Noncommercial Vehicle Operation, Other.</t>
  </si>
  <si>
    <t>PERSONAL AWARENESS AND SELF-IMPROVEMENT.</t>
  </si>
  <si>
    <t>Personal Awareness and Self-Improvement.</t>
  </si>
  <si>
    <t>370101</t>
  </si>
  <si>
    <t>Self-Awareness and Personal Assessment.</t>
  </si>
  <si>
    <t>370102</t>
  </si>
  <si>
    <t>Stress Management and Coping Skills.</t>
  </si>
  <si>
    <t>370103</t>
  </si>
  <si>
    <t>Personal Decision-Making Skills.</t>
  </si>
  <si>
    <t>370104</t>
  </si>
  <si>
    <t>Self-Esteem and Values Clarification.</t>
  </si>
  <si>
    <t>Investing/Wealth Management/Retirement Planning.</t>
  </si>
  <si>
    <t>Self-Defense.</t>
  </si>
  <si>
    <t>370199</t>
  </si>
  <si>
    <t>Personal Awareness and Self-Improvement, Other.</t>
  </si>
  <si>
    <t>PHILOSOPHY AND RELIGIOUS STUDIES.</t>
  </si>
  <si>
    <t>Philosophy and Religious Studies, General.</t>
  </si>
  <si>
    <t>380001</t>
  </si>
  <si>
    <t>Philosophy.</t>
  </si>
  <si>
    <t>380101</t>
  </si>
  <si>
    <t>380102</t>
  </si>
  <si>
    <t>Logic.</t>
  </si>
  <si>
    <t>380103</t>
  </si>
  <si>
    <t>Ethics.</t>
  </si>
  <si>
    <t>380104</t>
  </si>
  <si>
    <t>Applied and Professional Ethics.</t>
  </si>
  <si>
    <t>380199</t>
  </si>
  <si>
    <t>Philosophy, Other.</t>
  </si>
  <si>
    <t>Religion/Religious Studies.</t>
  </si>
  <si>
    <t>380201</t>
  </si>
  <si>
    <t>380202</t>
  </si>
  <si>
    <t>Buddhist Studies.</t>
  </si>
  <si>
    <t>380203</t>
  </si>
  <si>
    <t>Christian Studies.</t>
  </si>
  <si>
    <t>380204</t>
  </si>
  <si>
    <t>Hindu Studies.</t>
  </si>
  <si>
    <t>380205</t>
  </si>
  <si>
    <t>Islamic Studies.</t>
  </si>
  <si>
    <t>380206</t>
  </si>
  <si>
    <t>Jewish/Judaic Studies.</t>
  </si>
  <si>
    <t>Catholic Studies.</t>
  </si>
  <si>
    <t>Mormon Studies.</t>
  </si>
  <si>
    <t>380299</t>
  </si>
  <si>
    <t>Religion/Religious Studies, Other.</t>
  </si>
  <si>
    <t>Philosophy and Religious Studies, Other.</t>
  </si>
  <si>
    <t>389999</t>
  </si>
  <si>
    <t>THEOLOGY AND RELIGIOUS VOCATIONS.</t>
  </si>
  <si>
    <t>Bible/Biblical Studies.</t>
  </si>
  <si>
    <t>390201</t>
  </si>
  <si>
    <t>Missions/Missionary Studies and Missiology.</t>
  </si>
  <si>
    <t>390301</t>
  </si>
  <si>
    <t>Missions/Missionary Studies.</t>
  </si>
  <si>
    <t>Church Planting.</t>
  </si>
  <si>
    <t>Missions/Missionary Studies and Missiology, Other.</t>
  </si>
  <si>
    <t>Religious Education.</t>
  </si>
  <si>
    <t>390401</t>
  </si>
  <si>
    <t>Religious/Sacred Music.</t>
  </si>
  <si>
    <t>Religious Music and Worship.</t>
  </si>
  <si>
    <t>390501</t>
  </si>
  <si>
    <t>Worship Ministry.</t>
  </si>
  <si>
    <t>Religious Music and Worship, Other.</t>
  </si>
  <si>
    <t>Theological and Ministerial Studies.</t>
  </si>
  <si>
    <t>390601</t>
  </si>
  <si>
    <t>Theology/Theological Studies.</t>
  </si>
  <si>
    <t>390602</t>
  </si>
  <si>
    <t>Divinity/Ministry.</t>
  </si>
  <si>
    <t>390604</t>
  </si>
  <si>
    <t>Pre-Theology/Pre-Ministerial Studies.</t>
  </si>
  <si>
    <t>390605</t>
  </si>
  <si>
    <t>Rabbinical Studies.</t>
  </si>
  <si>
    <t>390606</t>
  </si>
  <si>
    <t>Talmudic Studies.</t>
  </si>
  <si>
    <t>390699</t>
  </si>
  <si>
    <t>Theological and Ministerial Studies, Other.</t>
  </si>
  <si>
    <t>Pastoral Counseling and Specialized Ministries.</t>
  </si>
  <si>
    <t>390701</t>
  </si>
  <si>
    <t>Pastoral Studies/Counseling.</t>
  </si>
  <si>
    <t>390702</t>
  </si>
  <si>
    <t>Youth Ministry.</t>
  </si>
  <si>
    <t>390703</t>
  </si>
  <si>
    <t>Urban Ministry.</t>
  </si>
  <si>
    <t>390704</t>
  </si>
  <si>
    <t>Women's Ministry.</t>
  </si>
  <si>
    <t>390705</t>
  </si>
  <si>
    <t>Lay Ministry.</t>
  </si>
  <si>
    <t>Chaplain/Chaplaincy Studies.</t>
  </si>
  <si>
    <t>390799</t>
  </si>
  <si>
    <t>Pastoral Counseling and Specialized Ministries, Other.</t>
  </si>
  <si>
    <t>Religious Institution Administration and Law.</t>
  </si>
  <si>
    <t>Religious Institution Administration and Management.</t>
  </si>
  <si>
    <t>Religious/Canon Law.</t>
  </si>
  <si>
    <t>Religious Institution Administration and Law, Other.</t>
  </si>
  <si>
    <t>Theology and Religious Vocations, Other.</t>
  </si>
  <si>
    <t>399999</t>
  </si>
  <si>
    <t>PHYSICAL SCIENCES.</t>
  </si>
  <si>
    <t>Physical Sciences.</t>
  </si>
  <si>
    <t>Physical Sciences, General.</t>
  </si>
  <si>
    <t>400101</t>
  </si>
  <si>
    <t>Astronomy and Astrophysics.</t>
  </si>
  <si>
    <t>400201</t>
  </si>
  <si>
    <t>Astronomy.</t>
  </si>
  <si>
    <t>400202</t>
  </si>
  <si>
    <t>Astrophysics.</t>
  </si>
  <si>
    <t>400203</t>
  </si>
  <si>
    <t>Planetary Astronomy and Science.</t>
  </si>
  <si>
    <t>400299</t>
  </si>
  <si>
    <t>Astronomy and Astrophysics, Other.</t>
  </si>
  <si>
    <t>Atmospheric Sciences and Meteorology.</t>
  </si>
  <si>
    <t>400401</t>
  </si>
  <si>
    <t>Atmospheric Sciences and Meteorology, General.</t>
  </si>
  <si>
    <t>400402</t>
  </si>
  <si>
    <t>Atmospheric Chemistry and Climatology.</t>
  </si>
  <si>
    <t>400403</t>
  </si>
  <si>
    <t>Atmospheric Physics and Dynamics.</t>
  </si>
  <si>
    <t>400404</t>
  </si>
  <si>
    <t>Meteorology.</t>
  </si>
  <si>
    <t>400499</t>
  </si>
  <si>
    <t>Atmospheric Sciences and Meteorology, Other.</t>
  </si>
  <si>
    <t>Chemistry.</t>
  </si>
  <si>
    <t>400501</t>
  </si>
  <si>
    <t>Chemistry, General.</t>
  </si>
  <si>
    <t>400502</t>
  </si>
  <si>
    <t>Analytical Chemistry.</t>
  </si>
  <si>
    <t>400503</t>
  </si>
  <si>
    <t>Inorganic Chemistry.</t>
  </si>
  <si>
    <t>400504</t>
  </si>
  <si>
    <t>Organic Chemistry.</t>
  </si>
  <si>
    <t>400506</t>
  </si>
  <si>
    <t>Physical Chemistry.</t>
  </si>
  <si>
    <t>400507</t>
  </si>
  <si>
    <t>Polymer Chemistry.</t>
  </si>
  <si>
    <t>400508</t>
  </si>
  <si>
    <t>Chemical Physics.</t>
  </si>
  <si>
    <t>400509</t>
  </si>
  <si>
    <t>Environmental Chemistry.</t>
  </si>
  <si>
    <t>400510</t>
  </si>
  <si>
    <t>Forensic Chemistry.</t>
  </si>
  <si>
    <t>400511</t>
  </si>
  <si>
    <t>Theoretical Chemistry.</t>
  </si>
  <si>
    <t>Cheminformatics/Chemistry Informatics.</t>
  </si>
  <si>
    <t>400599</t>
  </si>
  <si>
    <t>Chemistry, Other.</t>
  </si>
  <si>
    <t>Geological and Earth Sciences/Geosciences.</t>
  </si>
  <si>
    <t>400601</t>
  </si>
  <si>
    <t>Geology/Earth Science, General.</t>
  </si>
  <si>
    <t>400602</t>
  </si>
  <si>
    <t>Geochemistry.</t>
  </si>
  <si>
    <t>400603</t>
  </si>
  <si>
    <t>Geophysics and Seismology.</t>
  </si>
  <si>
    <t>400604</t>
  </si>
  <si>
    <t>Paleontology.</t>
  </si>
  <si>
    <t>400605</t>
  </si>
  <si>
    <t>Hydrology and Water Resources Science.</t>
  </si>
  <si>
    <t>400606</t>
  </si>
  <si>
    <t>Geochemistry and Petrology.</t>
  </si>
  <si>
    <t>400607</t>
  </si>
  <si>
    <t>Oceanography, Chemical and Physical.</t>
  </si>
  <si>
    <t>400699</t>
  </si>
  <si>
    <t>Geological and Earth Sciences/Geosciences, Other.</t>
  </si>
  <si>
    <t>Physics.</t>
  </si>
  <si>
    <t>400801</t>
  </si>
  <si>
    <t>Physics, General.</t>
  </si>
  <si>
    <t>400802</t>
  </si>
  <si>
    <t>Atomic/Molecular Physics.</t>
  </si>
  <si>
    <t>400804</t>
  </si>
  <si>
    <t>Elementary Particle Physics.</t>
  </si>
  <si>
    <t>400805</t>
  </si>
  <si>
    <t>Plasma and High-Temperature Physics.</t>
  </si>
  <si>
    <t>400806</t>
  </si>
  <si>
    <t>Nuclear Physics.</t>
  </si>
  <si>
    <t>400807</t>
  </si>
  <si>
    <t>Optics/Optical Sciences.</t>
  </si>
  <si>
    <t>400808</t>
  </si>
  <si>
    <t>Condensed Matter and Materials Physics.</t>
  </si>
  <si>
    <t>400809</t>
  </si>
  <si>
    <t>Acoustics.</t>
  </si>
  <si>
    <t>400810</t>
  </si>
  <si>
    <t>Theoretical and Mathematical Physics.</t>
  </si>
  <si>
    <t>400899</t>
  </si>
  <si>
    <t>Physics, Other.</t>
  </si>
  <si>
    <t>Materials Sciences.</t>
  </si>
  <si>
    <t>401001</t>
  </si>
  <si>
    <t>Materials Science.</t>
  </si>
  <si>
    <t>401002</t>
  </si>
  <si>
    <t>Materials Chemistry.</t>
  </si>
  <si>
    <t>401099</t>
  </si>
  <si>
    <t>Materials Sciences, Other.</t>
  </si>
  <si>
    <t>Physics and Astronomy.</t>
  </si>
  <si>
    <t>Physical Sciences, Other.</t>
  </si>
  <si>
    <t>409999</t>
  </si>
  <si>
    <t>SCIENCE TECHNOLOGIES/TECHNICIANS.</t>
  </si>
  <si>
    <t>Science Technologies/Technicians, General.</t>
  </si>
  <si>
    <t>410000</t>
  </si>
  <si>
    <t>Biology Technician/Biotechnology Laboratory Technician.</t>
  </si>
  <si>
    <t>Biology/Biotechnology Technologies/Technicians.</t>
  </si>
  <si>
    <t>Nuclear and Industrial Radiologic Technologies/Technicians.</t>
  </si>
  <si>
    <t>410204</t>
  </si>
  <si>
    <t>Industrial Radiologic Technology/Technician.</t>
  </si>
  <si>
    <t>410205</t>
  </si>
  <si>
    <t>Nuclear/Nuclear Power Technology/Technician.</t>
  </si>
  <si>
    <t>410299</t>
  </si>
  <si>
    <t>Nuclear and Industrial Radiologic Technologies/Technicians, Other.</t>
  </si>
  <si>
    <t>Physical Science Technologies/Technicians.</t>
  </si>
  <si>
    <t>410303</t>
  </si>
  <si>
    <t>Chemical Process Technology.</t>
  </si>
  <si>
    <t>410399</t>
  </si>
  <si>
    <t>Physical Science Technologies/Technicians, Other.</t>
  </si>
  <si>
    <t>Science Technologies/Technicians, Other.</t>
  </si>
  <si>
    <t>419999</t>
  </si>
  <si>
    <t>PSYCHOLOGY.</t>
  </si>
  <si>
    <t>Psychology, General.</t>
  </si>
  <si>
    <t>420101</t>
  </si>
  <si>
    <t>Research and Experimental Psychology.</t>
  </si>
  <si>
    <t>422701</t>
  </si>
  <si>
    <t>Cognitive Psychology and Psycholinguistics.</t>
  </si>
  <si>
    <t>422702</t>
  </si>
  <si>
    <t>Comparative Psychology.</t>
  </si>
  <si>
    <t>422703</t>
  </si>
  <si>
    <t>Developmental and Child Psychology.</t>
  </si>
  <si>
    <t>422704</t>
  </si>
  <si>
    <t>Experimental Psychology.</t>
  </si>
  <si>
    <t>422705</t>
  </si>
  <si>
    <t>Personality Psychology.</t>
  </si>
  <si>
    <t>422706</t>
  </si>
  <si>
    <t>Physiological Psychology/Psychobiology.</t>
  </si>
  <si>
    <t>Behavioral Neuroscience.</t>
  </si>
  <si>
    <t>422707</t>
  </si>
  <si>
    <t>Social Psychology.</t>
  </si>
  <si>
    <t>422708</t>
  </si>
  <si>
    <t>Psychometrics and Quantitative Psychology.</t>
  </si>
  <si>
    <t>422709</t>
  </si>
  <si>
    <t>Psychopharmacology.</t>
  </si>
  <si>
    <t>Developmental and Adolescent Psychology.</t>
  </si>
  <si>
    <t>422799</t>
  </si>
  <si>
    <t>Research and Experimental Psychology, Other.</t>
  </si>
  <si>
    <t>Clinical, Counseling and Applied Psychology.</t>
  </si>
  <si>
    <t>422801</t>
  </si>
  <si>
    <t>Clinical Psychology.</t>
  </si>
  <si>
    <t>422802</t>
  </si>
  <si>
    <t>Community Psychology.</t>
  </si>
  <si>
    <t>422803</t>
  </si>
  <si>
    <t>Counseling Psychology.</t>
  </si>
  <si>
    <t>422804</t>
  </si>
  <si>
    <t>Industrial and Organizational Psychology.</t>
  </si>
  <si>
    <t>422805</t>
  </si>
  <si>
    <t>School Psychology.</t>
  </si>
  <si>
    <t>422806</t>
  </si>
  <si>
    <t>Educational Psychology.</t>
  </si>
  <si>
    <t>422807</t>
  </si>
  <si>
    <t>Clinical Child Psychology.</t>
  </si>
  <si>
    <t>422808</t>
  </si>
  <si>
    <t>Environmental Psychology.</t>
  </si>
  <si>
    <t>422809</t>
  </si>
  <si>
    <t>Geropsychology.</t>
  </si>
  <si>
    <t>422810</t>
  </si>
  <si>
    <t>Health/Medical Psychology.</t>
  </si>
  <si>
    <t>422811</t>
  </si>
  <si>
    <t>Family Psychology.</t>
  </si>
  <si>
    <t>422812</t>
  </si>
  <si>
    <t>Forensic Psychology.</t>
  </si>
  <si>
    <t>422813</t>
  </si>
  <si>
    <t>Applied Psychology.</t>
  </si>
  <si>
    <t>422814</t>
  </si>
  <si>
    <t>Applied Behavior Analysis.</t>
  </si>
  <si>
    <t>Performance and Sport Psychology.</t>
  </si>
  <si>
    <t>Somatic Psychology.</t>
  </si>
  <si>
    <t>Transpersonal/Spiritual Psychology.</t>
  </si>
  <si>
    <t>422899</t>
  </si>
  <si>
    <t>Clinical, Counseling and Applied Psychology, Other.</t>
  </si>
  <si>
    <t>Psychology, Other.</t>
  </si>
  <si>
    <t>429999</t>
  </si>
  <si>
    <t>HOMELAND SECURITY, LAW ENFORCEMENT, FIREFIGHTING AND RELATED PROTECTIVE SERVICES.</t>
  </si>
  <si>
    <t>Criminal Justice and Corrections.</t>
  </si>
  <si>
    <t>Criminal Justice and Corrections, General.</t>
  </si>
  <si>
    <t>430104</t>
  </si>
  <si>
    <t>Criminal Justice/Safety Studies.</t>
  </si>
  <si>
    <t>430110</t>
  </si>
  <si>
    <t>Juvenile Corrections.</t>
  </si>
  <si>
    <t>430111</t>
  </si>
  <si>
    <t>Criminalistics and Criminal Science.</t>
  </si>
  <si>
    <t>430113</t>
  </si>
  <si>
    <t>Corrections Administration.</t>
  </si>
  <si>
    <t>430114</t>
  </si>
  <si>
    <t>Law Enforcement Investigation and Interviewing.</t>
  </si>
  <si>
    <t>430115</t>
  </si>
  <si>
    <t>Law Enforcement Record-Keeping and Evidence Management.</t>
  </si>
  <si>
    <t>430117</t>
  </si>
  <si>
    <t>Financial Forensics and Fraud Investigation.</t>
  </si>
  <si>
    <t>430118</t>
  </si>
  <si>
    <t>Law Enforcement Intelligence Analysis.</t>
  </si>
  <si>
    <t>430119</t>
  </si>
  <si>
    <t>Critical Incident Response/Special Police Operations.</t>
  </si>
  <si>
    <t>430120</t>
  </si>
  <si>
    <t>Protective Services Operations.</t>
  </si>
  <si>
    <t>430121</t>
  </si>
  <si>
    <t>Suspension and Debarment Investigation.</t>
  </si>
  <si>
    <t>430122</t>
  </si>
  <si>
    <t>Maritime Law Enforcement.</t>
  </si>
  <si>
    <t>430123</t>
  </si>
  <si>
    <t>Cultural/Archaelogical Resources Protection.</t>
  </si>
  <si>
    <t>Fire Protection.</t>
  </si>
  <si>
    <t>Fire Services Administration.</t>
  </si>
  <si>
    <t>430204</t>
  </si>
  <si>
    <t>Fire Systems Technology.</t>
  </si>
  <si>
    <t>430205</t>
  </si>
  <si>
    <t>Fire/Arson Investigation and Prevention.</t>
  </si>
  <si>
    <t>430206</t>
  </si>
  <si>
    <t>Wildland/Forest Firefighting and Investigation.</t>
  </si>
  <si>
    <t>430299</t>
  </si>
  <si>
    <t>Fire Protection, Other.</t>
  </si>
  <si>
    <t>Homeland Security.</t>
  </si>
  <si>
    <t>430301</t>
  </si>
  <si>
    <t>430303</t>
  </si>
  <si>
    <t>Critical Infrastructure Protection.</t>
  </si>
  <si>
    <t>430304</t>
  </si>
  <si>
    <t>Terrorism and Counterterrorism Operations.</t>
  </si>
  <si>
    <t>Security Science and Technology.</t>
  </si>
  <si>
    <t>Security Science and Technology, General.</t>
  </si>
  <si>
    <t>Cybersecurity Defense Strategy/Policy.</t>
  </si>
  <si>
    <t>Geospatial Intelligence.</t>
  </si>
  <si>
    <t>Security Science and Technology, Other.</t>
  </si>
  <si>
    <t>Homeland Security, Law Enforcement, Firefighting and Related Protective Services, Other.</t>
  </si>
  <si>
    <t>439999</t>
  </si>
  <si>
    <t>PUBLIC ADMINISTRATION AND SOCIAL SERVICE PROFESSIONS.</t>
  </si>
  <si>
    <t>Human Services, General.</t>
  </si>
  <si>
    <t>440000</t>
  </si>
  <si>
    <t>Community Organization and Advocacy.</t>
  </si>
  <si>
    <t>440201</t>
  </si>
  <si>
    <t>Public Administration.</t>
  </si>
  <si>
    <t>440401</t>
  </si>
  <si>
    <t>Public Works Management.</t>
  </si>
  <si>
    <t>Transportation and Infrastructure Planning/Studies.</t>
  </si>
  <si>
    <t>Public Administration, Other.</t>
  </si>
  <si>
    <t>Public Policy Analysis.</t>
  </si>
  <si>
    <t>440501</t>
  </si>
  <si>
    <t>Public Policy Analysis, General.</t>
  </si>
  <si>
    <t>440502</t>
  </si>
  <si>
    <t>Education Policy Analysis.</t>
  </si>
  <si>
    <t>440503</t>
  </si>
  <si>
    <t>Health Policy Analysis.</t>
  </si>
  <si>
    <t>440504</t>
  </si>
  <si>
    <t>International Policy Analysis.</t>
  </si>
  <si>
    <t>440599</t>
  </si>
  <si>
    <t>Public Policy Analysis, Other.</t>
  </si>
  <si>
    <t>Social Work.</t>
  </si>
  <si>
    <t>440701</t>
  </si>
  <si>
    <t>440702</t>
  </si>
  <si>
    <t>Youth Services/Administration.</t>
  </si>
  <si>
    <t>Forensic Social Work.</t>
  </si>
  <si>
    <t>440799</t>
  </si>
  <si>
    <t>Social Work, Other.</t>
  </si>
  <si>
    <t>Public Administration and Social Service Professions, Other.</t>
  </si>
  <si>
    <t>449999</t>
  </si>
  <si>
    <t>SOCIAL SCIENCES.</t>
  </si>
  <si>
    <t>Social Sciences, General.</t>
  </si>
  <si>
    <t>450101</t>
  </si>
  <si>
    <t>450102</t>
  </si>
  <si>
    <t>Research Methodology and Quantitative Methods.</t>
  </si>
  <si>
    <t>Survey Research/Methodology.</t>
  </si>
  <si>
    <t>Social Sciences, Other.</t>
  </si>
  <si>
    <t>Anthropology.</t>
  </si>
  <si>
    <t>450201</t>
  </si>
  <si>
    <t>Anthropology, General.</t>
  </si>
  <si>
    <t>450202</t>
  </si>
  <si>
    <t>Physical and Biological Anthropology.</t>
  </si>
  <si>
    <t>450203</t>
  </si>
  <si>
    <t>Medical Anthropology.</t>
  </si>
  <si>
    <t>450204</t>
  </si>
  <si>
    <t>Cultural Anthropology.</t>
  </si>
  <si>
    <t>Forensic Anthropology.</t>
  </si>
  <si>
    <t>450299</t>
  </si>
  <si>
    <t>Anthropology, Other.</t>
  </si>
  <si>
    <t>Archeology.</t>
  </si>
  <si>
    <t>450301</t>
  </si>
  <si>
    <t>Criminology.</t>
  </si>
  <si>
    <t>450401</t>
  </si>
  <si>
    <t>Demography and Population Studies.</t>
  </si>
  <si>
    <t>Demography.</t>
  </si>
  <si>
    <t>450501</t>
  </si>
  <si>
    <t>Applied Demography.</t>
  </si>
  <si>
    <t>Demography, Other.</t>
  </si>
  <si>
    <t>Economics.</t>
  </si>
  <si>
    <t>450601</t>
  </si>
  <si>
    <t>Economics, General.</t>
  </si>
  <si>
    <t>450602</t>
  </si>
  <si>
    <t>Applied Economics.</t>
  </si>
  <si>
    <t>450603</t>
  </si>
  <si>
    <t>Econometrics and Quantitative Economics.</t>
  </si>
  <si>
    <t>450604</t>
  </si>
  <si>
    <t>Development Economics and International Development.</t>
  </si>
  <si>
    <t>450605</t>
  </si>
  <si>
    <t>International Economics.</t>
  </si>
  <si>
    <t>450699</t>
  </si>
  <si>
    <t>Economics, Other.</t>
  </si>
  <si>
    <t>Geography and Cartography.</t>
  </si>
  <si>
    <t>450701</t>
  </si>
  <si>
    <t>Geography.</t>
  </si>
  <si>
    <t>450799</t>
  </si>
  <si>
    <t>Geography, Other.</t>
  </si>
  <si>
    <t>International Relations and National Security Studies.</t>
  </si>
  <si>
    <t>450901</t>
  </si>
  <si>
    <t>International Relations and Affairs.</t>
  </si>
  <si>
    <t>450902</t>
  </si>
  <si>
    <t>National Security Policy Studies.</t>
  </si>
  <si>
    <t>450999</t>
  </si>
  <si>
    <t>International Relations and National Security Studies, Other.</t>
  </si>
  <si>
    <t>Political Science and Government.</t>
  </si>
  <si>
    <t>451001</t>
  </si>
  <si>
    <t>Political Science and Government, General.</t>
  </si>
  <si>
    <t>451002</t>
  </si>
  <si>
    <t>American Government and Politics (United States).</t>
  </si>
  <si>
    <t>451003</t>
  </si>
  <si>
    <t>Canadian Government and Politics.</t>
  </si>
  <si>
    <t>451004</t>
  </si>
  <si>
    <t>Political Economy.</t>
  </si>
  <si>
    <t>451099</t>
  </si>
  <si>
    <t>Political Science and Government, Other.</t>
  </si>
  <si>
    <t>Sociology.</t>
  </si>
  <si>
    <t>451101</t>
  </si>
  <si>
    <t>Sociology, General.</t>
  </si>
  <si>
    <t>Applied/Public Sociology.</t>
  </si>
  <si>
    <t>Sociology, Other.</t>
  </si>
  <si>
    <t>Urban Studies/Affairs.</t>
  </si>
  <si>
    <t>451201</t>
  </si>
  <si>
    <t>Sociology and Anthropology.</t>
  </si>
  <si>
    <t>451301</t>
  </si>
  <si>
    <t>Rural Sociology.</t>
  </si>
  <si>
    <t>Deleted</t>
  </si>
  <si>
    <t>Deleted, report under 45.1103</t>
  </si>
  <si>
    <t>451401</t>
  </si>
  <si>
    <t>Geography and Anthropology.</t>
  </si>
  <si>
    <t>459999</t>
  </si>
  <si>
    <t>CONSTRUCTION TRADES.</t>
  </si>
  <si>
    <t>Construction Trades, General.</t>
  </si>
  <si>
    <t>460000</t>
  </si>
  <si>
    <t>Carpenters.</t>
  </si>
  <si>
    <t>Electrical and Power Transmission Installers.</t>
  </si>
  <si>
    <t>Electrical and Power Transmission Installation/Installer, General.</t>
  </si>
  <si>
    <t>460399</t>
  </si>
  <si>
    <t>Electrical and Power Transmission Installers, Other.</t>
  </si>
  <si>
    <t>Building/Construction Finishing, Management, and Inspection.</t>
  </si>
  <si>
    <t>460401</t>
  </si>
  <si>
    <t>Building/Property Maintenance.</t>
  </si>
  <si>
    <t>460402</t>
  </si>
  <si>
    <t>Concrete Finishing/Concrete Finisher.</t>
  </si>
  <si>
    <t>460403</t>
  </si>
  <si>
    <t>Building/Home/Construction Inspection/Inspector.</t>
  </si>
  <si>
    <t>460404</t>
  </si>
  <si>
    <t>Drywall Installation/Drywaller.</t>
  </si>
  <si>
    <t>460406</t>
  </si>
  <si>
    <t>Glazier.</t>
  </si>
  <si>
    <t>Roofer.</t>
  </si>
  <si>
    <t>460411</t>
  </si>
  <si>
    <t>Metal Building Assembly/Assembler.</t>
  </si>
  <si>
    <t>460413</t>
  </si>
  <si>
    <t>Carpet, Floor, and Tile Worker.</t>
  </si>
  <si>
    <t>460414</t>
  </si>
  <si>
    <t>Insulator.</t>
  </si>
  <si>
    <t>Building Construction Technology.</t>
  </si>
  <si>
    <t>460499</t>
  </si>
  <si>
    <t>Building/Construction Finishing, Management, and Inspection, Other.</t>
  </si>
  <si>
    <t>Plumbing and Related Water Supply Services.</t>
  </si>
  <si>
    <t>Pipefitting/Pipefitter and Sprinkler Fitter.</t>
  </si>
  <si>
    <t>460504</t>
  </si>
  <si>
    <t>Well Drilling/Driller.</t>
  </si>
  <si>
    <t>460505</t>
  </si>
  <si>
    <t>Blasting/Blaster.</t>
  </si>
  <si>
    <t>460599</t>
  </si>
  <si>
    <t>Plumbing and Related Water Supply Services, Other.</t>
  </si>
  <si>
    <t>Construction Trades, Other.</t>
  </si>
  <si>
    <t>469999</t>
  </si>
  <si>
    <t>MECHANIC AND REPAIR TECHNOLOGIES/TECHNICIANS.</t>
  </si>
  <si>
    <t>Electrical/Electronics Maintenance and Repair Technology.</t>
  </si>
  <si>
    <t>Electrical/Electronics Maintenance and Repair Technologies/Technicians.</t>
  </si>
  <si>
    <t>Electrical/Electronics Equipment Installation and Repair, General.</t>
  </si>
  <si>
    <t>470102</t>
  </si>
  <si>
    <t>Business Machine Repair.</t>
  </si>
  <si>
    <t>Communications Systems Installation and Repair Technology.</t>
  </si>
  <si>
    <t>470105</t>
  </si>
  <si>
    <t>Industrial Electronics Technology/Technician.</t>
  </si>
  <si>
    <t>470110</t>
  </si>
  <si>
    <t>Security System Installation, Repair, and Inspection Technology/Technician.</t>
  </si>
  <si>
    <t>470199</t>
  </si>
  <si>
    <t>Electrical/Electronics Maintenance and Repair Technology, Other.</t>
  </si>
  <si>
    <t>Electrical/Electronics Maintenance and Repair Technologies/Technicians, Other.</t>
  </si>
  <si>
    <t>Heating, Air Conditioning, Ventilation and Refrigeration Maintenance Technology/Technician (HAC, HACR, HVAC, HVACR).</t>
  </si>
  <si>
    <t>Heavy/Industrial Equipment Maintenance Technologies.</t>
  </si>
  <si>
    <t>Heavy/Industrial Equipment Maintenance Technologies/Technicians.</t>
  </si>
  <si>
    <t>Industrial Mechanics and Maintenance Technology.</t>
  </si>
  <si>
    <t>470399</t>
  </si>
  <si>
    <t>Heavy/Industrial Equipment Maintenance Technologies, Other.</t>
  </si>
  <si>
    <t>Heavy/Industrial Equipment Maintenance Technologies/Technicians, Other.</t>
  </si>
  <si>
    <t>Precision Systems Maintenance and Repair Technologies.</t>
  </si>
  <si>
    <t>Precision Systems Maintenance and Repair Technologies/Technicians.</t>
  </si>
  <si>
    <t>470402</t>
  </si>
  <si>
    <t>Gunsmithing/Gunsmith.</t>
  </si>
  <si>
    <t>470403</t>
  </si>
  <si>
    <t>Locksmithing and Safe Repair.</t>
  </si>
  <si>
    <t>470404</t>
  </si>
  <si>
    <t>Musical Instrument Fabrication and Repair.</t>
  </si>
  <si>
    <t>470409</t>
  </si>
  <si>
    <t>Parts and Warehousing Operations and Maintenance Technology/Technician.</t>
  </si>
  <si>
    <t>470499</t>
  </si>
  <si>
    <t>Precision Systems Maintenance and Repair Technologies, Other.</t>
  </si>
  <si>
    <t>Precision Systems Maintenance and Repair Technologies/Technicians, Other.</t>
  </si>
  <si>
    <t>Vehicle Maintenance and Repair Technologies.</t>
  </si>
  <si>
    <t>Vehicle Maintenance and Repair Technologies/Technicians.</t>
  </si>
  <si>
    <t>470600</t>
  </si>
  <si>
    <t>Vehicle Maintenance and Repair Technologies, General.</t>
  </si>
  <si>
    <t>Vehicle Maintenance and Repair Technology/Technician, General.</t>
  </si>
  <si>
    <t>470610</t>
  </si>
  <si>
    <t>Bicycle Mechanics and Repair Technology/Technician.</t>
  </si>
  <si>
    <t>470611</t>
  </si>
  <si>
    <t>Motorcycle Maintenance and Repair Technology/Technician.</t>
  </si>
  <si>
    <t>470612</t>
  </si>
  <si>
    <t>Vehicle Emissions Inspection and Maintenance Technology/Technician.</t>
  </si>
  <si>
    <t>470614</t>
  </si>
  <si>
    <t>Alternative Fuel Vehicle Technology/Technician.</t>
  </si>
  <si>
    <t>470615</t>
  </si>
  <si>
    <t>Engine Machinist.</t>
  </si>
  <si>
    <t>470617</t>
  </si>
  <si>
    <t>High Performance and Custom Engine Technician/Mechanic.</t>
  </si>
  <si>
    <t>470618</t>
  </si>
  <si>
    <t>Recreation Vehicle (RV) Service Technician.</t>
  </si>
  <si>
    <t>470699</t>
  </si>
  <si>
    <t>Vehicle Maintenance and Repair Technologies, Other.</t>
  </si>
  <si>
    <t>Vehicle Maintenance and Repair Technologies/Technicians, Other.</t>
  </si>
  <si>
    <t>Energy Systems Maintenance and Repair Technologies/Technicians.</t>
  </si>
  <si>
    <t>Energy Systems Installation and Repair Technology/Technician.</t>
  </si>
  <si>
    <t>Solar Energy System Installation and Repair Technology/Technician.</t>
  </si>
  <si>
    <t>Wind Energy System Installation and Repair Technology/Technician.</t>
  </si>
  <si>
    <t>Hydroelectric Energy System Installation and Repair Technology/Technician.</t>
  </si>
  <si>
    <t>Geothermal Energy System Installation and Repair Technology/Technician.</t>
  </si>
  <si>
    <t>Energy Systems Maintenance and Repair Technologies/Technicians, Other.</t>
  </si>
  <si>
    <t>Mechanic and Repair Technologies/Technicians, Other.</t>
  </si>
  <si>
    <t>479999</t>
  </si>
  <si>
    <t>PRECISION PRODUCTION.</t>
  </si>
  <si>
    <t>Precision Production Trades, General.</t>
  </si>
  <si>
    <t>480000</t>
  </si>
  <si>
    <t>Leatherworking and Upholstery.</t>
  </si>
  <si>
    <t>480303</t>
  </si>
  <si>
    <t>Upholstery/Upholsterer.</t>
  </si>
  <si>
    <t>480304</t>
  </si>
  <si>
    <t>Shoe, Boot and Leather Repair.</t>
  </si>
  <si>
    <t>480399</t>
  </si>
  <si>
    <t>Leatherworking and Upholstery, Other.</t>
  </si>
  <si>
    <t>Precision Metal Working.</t>
  </si>
  <si>
    <t>480501</t>
  </si>
  <si>
    <t>Machine Tool Technology/Machinist.</t>
  </si>
  <si>
    <t>Sheet Metal Technology/Sheetworking.</t>
  </si>
  <si>
    <t>480507</t>
  </si>
  <si>
    <t>Tool and Die Technology/Technician.</t>
  </si>
  <si>
    <t>480509</t>
  </si>
  <si>
    <t>Ironworking/Ironworker.</t>
  </si>
  <si>
    <t>480511</t>
  </si>
  <si>
    <t>Metal Fabricator.</t>
  </si>
  <si>
    <t>480599</t>
  </si>
  <si>
    <t>Precision Metal Working, Other.</t>
  </si>
  <si>
    <t>Woodworking.</t>
  </si>
  <si>
    <t>480701</t>
  </si>
  <si>
    <t>Woodworking, General.</t>
  </si>
  <si>
    <t>480702</t>
  </si>
  <si>
    <t>Furniture Design and Manufacturing.</t>
  </si>
  <si>
    <t>Wooden Boatbuilding Technology/Technician.</t>
  </si>
  <si>
    <t>480799</t>
  </si>
  <si>
    <t>Woodworking, Other.</t>
  </si>
  <si>
    <t>Boilermaking/Boilermaker.</t>
  </si>
  <si>
    <t>480801</t>
  </si>
  <si>
    <t>Precision Production, Other.</t>
  </si>
  <si>
    <t>489999</t>
  </si>
  <si>
    <t>TRANSPORTATION AND MATERIALS MOVING.</t>
  </si>
  <si>
    <t>Air Transportation.</t>
  </si>
  <si>
    <t>490101</t>
  </si>
  <si>
    <t>Aeronautics/Aviation/Aerospace Science and Technology, General.</t>
  </si>
  <si>
    <t>490105</t>
  </si>
  <si>
    <t>Air Traffic Controller.</t>
  </si>
  <si>
    <t>490106</t>
  </si>
  <si>
    <t>Airline Flight Attendant.</t>
  </si>
  <si>
    <t>490108</t>
  </si>
  <si>
    <t>Flight Instructor.</t>
  </si>
  <si>
    <t>490199</t>
  </si>
  <si>
    <t>Air Transportation, Other.</t>
  </si>
  <si>
    <t>Ground Transportation.</t>
  </si>
  <si>
    <t>490206</t>
  </si>
  <si>
    <t>Mobil Crane Operation/Operator.</t>
  </si>
  <si>
    <t>490207</t>
  </si>
  <si>
    <t>Flagging and Traffic Control.</t>
  </si>
  <si>
    <t>490208</t>
  </si>
  <si>
    <t>Railroad and Railway Transportation.</t>
  </si>
  <si>
    <t>Forklift Operation/Operator.</t>
  </si>
  <si>
    <t>490299</t>
  </si>
  <si>
    <t>Ground Transportation, Other.</t>
  </si>
  <si>
    <t>Marine Transportation.</t>
  </si>
  <si>
    <t>490303</t>
  </si>
  <si>
    <t>Commercial Fishing.</t>
  </si>
  <si>
    <t>490309</t>
  </si>
  <si>
    <t>Marine Science/Merchant Marine Officer.</t>
  </si>
  <si>
    <t>490399</t>
  </si>
  <si>
    <t>Marine Transportation, Other.</t>
  </si>
  <si>
    <t>Transportation and Materials Moving, Other.</t>
  </si>
  <si>
    <t>499999</t>
  </si>
  <si>
    <t>VISUAL AND PERFORMING ARTS.</t>
  </si>
  <si>
    <t>Visual and Performing Arts, General.</t>
  </si>
  <si>
    <t>500101</t>
  </si>
  <si>
    <t>Crafts/Craft Design, Folk Art and Artisanry.</t>
  </si>
  <si>
    <t>500201</t>
  </si>
  <si>
    <t>Dance.</t>
  </si>
  <si>
    <t>500301</t>
  </si>
  <si>
    <t>Dance, General.</t>
  </si>
  <si>
    <t>500302</t>
  </si>
  <si>
    <t>Ballet.</t>
  </si>
  <si>
    <t>500399</t>
  </si>
  <si>
    <t>Dance, Other.</t>
  </si>
  <si>
    <t>Design and Applied Arts.</t>
  </si>
  <si>
    <t>500401</t>
  </si>
  <si>
    <t>Design and Visual Communications, General.</t>
  </si>
  <si>
    <t>500404</t>
  </si>
  <si>
    <t>Industrial and Product Design.</t>
  </si>
  <si>
    <t>500409</t>
  </si>
  <si>
    <t>Graphic Design.</t>
  </si>
  <si>
    <t>500410</t>
  </si>
  <si>
    <t>Illustration.</t>
  </si>
  <si>
    <t>500499</t>
  </si>
  <si>
    <t>Design and Applied Arts, Other.</t>
  </si>
  <si>
    <t>Drama/Theatre Arts and Stagecraft.</t>
  </si>
  <si>
    <t>500501</t>
  </si>
  <si>
    <t>Drama and Dramatics/Theatre Arts, General.</t>
  </si>
  <si>
    <t>500504</t>
  </si>
  <si>
    <t>Playwriting and Screenwriting.</t>
  </si>
  <si>
    <t>500505</t>
  </si>
  <si>
    <t>Theatre Literature, History and Criticism.</t>
  </si>
  <si>
    <t>500506</t>
  </si>
  <si>
    <t>Acting.</t>
  </si>
  <si>
    <t>500507</t>
  </si>
  <si>
    <t>Directing and Theatrical Production.</t>
  </si>
  <si>
    <t>500509</t>
  </si>
  <si>
    <t>Musical Theatre.</t>
  </si>
  <si>
    <t>500510</t>
  </si>
  <si>
    <t>Costume Design.</t>
  </si>
  <si>
    <t>Comedy Writing and Performance.</t>
  </si>
  <si>
    <t>Theatre and Dance.</t>
  </si>
  <si>
    <t>500599</t>
  </si>
  <si>
    <t>Dramatic/Theatre Arts and Stagecraft, Other.</t>
  </si>
  <si>
    <t>Film/Video and Photographic Arts.</t>
  </si>
  <si>
    <t>500601</t>
  </si>
  <si>
    <t>Film/Cinema/Video Studies.</t>
  </si>
  <si>
    <t>Film/Cinema/Media Studies.</t>
  </si>
  <si>
    <t>500607</t>
  </si>
  <si>
    <t>Documentary Production.</t>
  </si>
  <si>
    <t>500699</t>
  </si>
  <si>
    <t>Film/Video and Photographic Arts, Other.</t>
  </si>
  <si>
    <t>Fine and Studio Arts.</t>
  </si>
  <si>
    <t>500701</t>
  </si>
  <si>
    <t>Art/Art Studies, General.</t>
  </si>
  <si>
    <t>500702</t>
  </si>
  <si>
    <t>Fine/Studio Arts, General.</t>
  </si>
  <si>
    <t>500703</t>
  </si>
  <si>
    <t>Art History, Criticism and Conservation.</t>
  </si>
  <si>
    <t>500705</t>
  </si>
  <si>
    <t>Drawing.</t>
  </si>
  <si>
    <t>500706</t>
  </si>
  <si>
    <t>Intermedia/Multimedia.</t>
  </si>
  <si>
    <t>500708</t>
  </si>
  <si>
    <t>Painting.</t>
  </si>
  <si>
    <t>500709</t>
  </si>
  <si>
    <t>Sculpture.</t>
  </si>
  <si>
    <t>500710</t>
  </si>
  <si>
    <t>Printmaking.</t>
  </si>
  <si>
    <t>500711</t>
  </si>
  <si>
    <t>Ceramic Arts and Ceramics.</t>
  </si>
  <si>
    <t>500712</t>
  </si>
  <si>
    <t>Fiber, Textile and Weaving Arts.</t>
  </si>
  <si>
    <t>500713</t>
  </si>
  <si>
    <t>Metal and Jewelry Arts.</t>
  </si>
  <si>
    <t>Jewelry Arts.</t>
  </si>
  <si>
    <t>Metal Arts.</t>
  </si>
  <si>
    <t>500799</t>
  </si>
  <si>
    <t>Fine Arts and Art Studies, Other.</t>
  </si>
  <si>
    <t>500901</t>
  </si>
  <si>
    <t>Music, General.</t>
  </si>
  <si>
    <t>500902</t>
  </si>
  <si>
    <t>Music History, Literature, and Theory.</t>
  </si>
  <si>
    <t>500903</t>
  </si>
  <si>
    <t>Music Performance, General.</t>
  </si>
  <si>
    <t>500904</t>
  </si>
  <si>
    <t>Music Theory and Composition.</t>
  </si>
  <si>
    <t>500905</t>
  </si>
  <si>
    <t>Musicology and Ethnomusicology.</t>
  </si>
  <si>
    <t>500906</t>
  </si>
  <si>
    <t>Conducting.</t>
  </si>
  <si>
    <t>500907</t>
  </si>
  <si>
    <t>Keyboard Instruments.</t>
  </si>
  <si>
    <t>500908</t>
  </si>
  <si>
    <t>Voice and Opera.</t>
  </si>
  <si>
    <t>500910</t>
  </si>
  <si>
    <t>Jazz/Jazz Studies.</t>
  </si>
  <si>
    <t>500911</t>
  </si>
  <si>
    <t>Stringed Instruments.</t>
  </si>
  <si>
    <t>500912</t>
  </si>
  <si>
    <t>Music Pedagogy.</t>
  </si>
  <si>
    <t>500914</t>
  </si>
  <si>
    <t>Brass Instruments.</t>
  </si>
  <si>
    <t>500915</t>
  </si>
  <si>
    <t>Woodwind Instruments.</t>
  </si>
  <si>
    <t>500916</t>
  </si>
  <si>
    <t>Percussion Instruments.</t>
  </si>
  <si>
    <t>Sound Arts.</t>
  </si>
  <si>
    <t>500999</t>
  </si>
  <si>
    <t>Music, Other.</t>
  </si>
  <si>
    <t>Arts, Entertainment,and Media Management.</t>
  </si>
  <si>
    <t>501001</t>
  </si>
  <si>
    <t>Arts, Entertainment,and Media Management, General.</t>
  </si>
  <si>
    <t>501002</t>
  </si>
  <si>
    <t>Fine and Studio Arts Management.</t>
  </si>
  <si>
    <t>501003</t>
  </si>
  <si>
    <t>Music Management.</t>
  </si>
  <si>
    <t>501004</t>
  </si>
  <si>
    <t>Theatre/Theatre Arts Management.</t>
  </si>
  <si>
    <t>501099</t>
  </si>
  <si>
    <t>Arts, Entertainment, and Media Management, Other.</t>
  </si>
  <si>
    <t>Community/Environmental/Socially-Engaged Art.</t>
  </si>
  <si>
    <t>Visual and Performing Arts, Other.</t>
  </si>
  <si>
    <t>509999</t>
  </si>
  <si>
    <t>HEALTH PROFESSIONS AND RELATED PROGRAMS.</t>
  </si>
  <si>
    <t>Health Services/Allied Health/Health Sciences, General.</t>
  </si>
  <si>
    <t>510001</t>
  </si>
  <si>
    <t>Health and Wellness, General.</t>
  </si>
  <si>
    <t>Chiropractic.</t>
  </si>
  <si>
    <t>510101</t>
  </si>
  <si>
    <t>Communication Disorders Sciences and Services.</t>
  </si>
  <si>
    <t>510201</t>
  </si>
  <si>
    <t>Communication Sciences and Disorders, General.</t>
  </si>
  <si>
    <t>510202</t>
  </si>
  <si>
    <t>Audiology/Audiologist.</t>
  </si>
  <si>
    <t>510203</t>
  </si>
  <si>
    <t>Speech-Language Pathology/Pathologist.</t>
  </si>
  <si>
    <t>510204</t>
  </si>
  <si>
    <t>Audiology/Audiologist and Speech-Language Pathology/Pathologist.</t>
  </si>
  <si>
    <t>510299</t>
  </si>
  <si>
    <t>Communication Disorders Sciences and Services, Other.</t>
  </si>
  <si>
    <t>Dentistry.</t>
  </si>
  <si>
    <t>510401</t>
  </si>
  <si>
    <t>Advanced/Graduate Dentistry and Oral Sciences.</t>
  </si>
  <si>
    <t>510501</t>
  </si>
  <si>
    <t>Dental Clinical Sciences, General.</t>
  </si>
  <si>
    <t>510502</t>
  </si>
  <si>
    <t>Advanced General Dentistry.</t>
  </si>
  <si>
    <t>510503</t>
  </si>
  <si>
    <t>Oral Biology and Oral and Maxillofacial Pathology.</t>
  </si>
  <si>
    <t>510504</t>
  </si>
  <si>
    <t>Dental Public Health and Education.</t>
  </si>
  <si>
    <t>510505</t>
  </si>
  <si>
    <t>Dental Materials.</t>
  </si>
  <si>
    <t>510506</t>
  </si>
  <si>
    <t>Endodontics/Endodontology.</t>
  </si>
  <si>
    <t>510507</t>
  </si>
  <si>
    <t>Oral/Maxillofacial Surgery.</t>
  </si>
  <si>
    <t>510508</t>
  </si>
  <si>
    <t>Orthodontics/Orthodontology.</t>
  </si>
  <si>
    <t>510509</t>
  </si>
  <si>
    <t>Pediatric Dentistry/Pedodontics.</t>
  </si>
  <si>
    <t>510510</t>
  </si>
  <si>
    <t>Periodontics/Periodontology.</t>
  </si>
  <si>
    <t>510511</t>
  </si>
  <si>
    <t>Prosthodontics/Prosthodontology.</t>
  </si>
  <si>
    <t>Digital Dentistry.</t>
  </si>
  <si>
    <t>Geriatric Dentistry.</t>
  </si>
  <si>
    <t>Implantology/Implant Dentistry.</t>
  </si>
  <si>
    <t>510599</t>
  </si>
  <si>
    <t>Advanced/Graduate Dentistry and Oral Sciences, Other.</t>
  </si>
  <si>
    <t>Dental Support Services and Allied Professions.</t>
  </si>
  <si>
    <t>510699</t>
  </si>
  <si>
    <t>Dental Services and Allied Professions, Other.</t>
  </si>
  <si>
    <t>Health and Medical Administrative Services.</t>
  </si>
  <si>
    <t>510704</t>
  </si>
  <si>
    <t>Health Unit Manager/Ward Supervisor.</t>
  </si>
  <si>
    <t>510705</t>
  </si>
  <si>
    <t>Medical Office Management/Administration.</t>
  </si>
  <si>
    <t>510706</t>
  </si>
  <si>
    <t>Health Information/Medical Records Administration/Administrator.</t>
  </si>
  <si>
    <t>510708</t>
  </si>
  <si>
    <t>Medical Transcription/Transcriptionist.</t>
  </si>
  <si>
    <t>510709</t>
  </si>
  <si>
    <t>Medical Office Computer Specialist/Assistant.</t>
  </si>
  <si>
    <t>510710</t>
  </si>
  <si>
    <t>Medical Office Assistant/Specialist.</t>
  </si>
  <si>
    <t>510711</t>
  </si>
  <si>
    <t>Medical/Health Management and Clinical Assistant/Specialist.</t>
  </si>
  <si>
    <t>510712</t>
  </si>
  <si>
    <t>Medical Reception/Receptionist.</t>
  </si>
  <si>
    <t>510713</t>
  </si>
  <si>
    <t>Medical Insurance Coding Specialist/Coder.</t>
  </si>
  <si>
    <t>510714</t>
  </si>
  <si>
    <t>Medical Insurance Specialist/Medical Biller.</t>
  </si>
  <si>
    <t>510715</t>
  </si>
  <si>
    <t>Health/Medical Claims Examiner.</t>
  </si>
  <si>
    <t>510717</t>
  </si>
  <si>
    <t>Medical Staff Services Technology/Technician.</t>
  </si>
  <si>
    <t>510718</t>
  </si>
  <si>
    <t>Long Term Care Administration/Management.</t>
  </si>
  <si>
    <t>Regulatory Science/Affairs.</t>
  </si>
  <si>
    <t>Disease Registry Data Management.</t>
  </si>
  <si>
    <t>Healthcare Innovation.</t>
  </si>
  <si>
    <t>Healthcare Information Privacy Assurance and Security.</t>
  </si>
  <si>
    <t>510799</t>
  </si>
  <si>
    <t>Health and Medical Administrative Services, Other.</t>
  </si>
  <si>
    <t>Allied Health and Medical Assisting Services.</t>
  </si>
  <si>
    <t>Physical Therapy Technician/Assistant.</t>
  </si>
  <si>
    <t>510809</t>
  </si>
  <si>
    <t>Anesthesiologist Assistant.</t>
  </si>
  <si>
    <t>510811</t>
  </si>
  <si>
    <t>Pathology/Pathologist Assistant.</t>
  </si>
  <si>
    <t>510812</t>
  </si>
  <si>
    <t>Respiratory Therapy Technician/Assistant.</t>
  </si>
  <si>
    <t>510813</t>
  </si>
  <si>
    <t>Chiropractic Assistant/Technician.</t>
  </si>
  <si>
    <t>Chiropractic Technician/Assistant.</t>
  </si>
  <si>
    <t>510814</t>
  </si>
  <si>
    <t>Radiologist Assistant.</t>
  </si>
  <si>
    <t>510815</t>
  </si>
  <si>
    <t>Lactation Consultant.</t>
  </si>
  <si>
    <t>510816</t>
  </si>
  <si>
    <t>Speech-Language Pathology Assistant.</t>
  </si>
  <si>
    <t>Allied Health and Medical Assisting Services, Other.</t>
  </si>
  <si>
    <t>Allied Health Diagnostic, Intervention, and Treatment Professions.</t>
  </si>
  <si>
    <t>510903</t>
  </si>
  <si>
    <t>Electroneurodiagnostic/Electroencephalographic Technology/Technologist.</t>
  </si>
  <si>
    <t>510906</t>
  </si>
  <si>
    <t>Perfusion Technology/Perfusionist.</t>
  </si>
  <si>
    <t>510911</t>
  </si>
  <si>
    <t>Radiologic Technology/Science - Radiographer.</t>
  </si>
  <si>
    <t>Physician Assistant.</t>
  </si>
  <si>
    <t>510913</t>
  </si>
  <si>
    <t>Athletic Training/Trainer.</t>
  </si>
  <si>
    <t>510914</t>
  </si>
  <si>
    <t>Gene/Genetic Therapy.</t>
  </si>
  <si>
    <t>510915</t>
  </si>
  <si>
    <t>Cardiopulmonary Technology/Technologist.</t>
  </si>
  <si>
    <t>510916</t>
  </si>
  <si>
    <t>Radiation Protection/Health Physics Technician.</t>
  </si>
  <si>
    <t>510917</t>
  </si>
  <si>
    <t>Polysomnography.</t>
  </si>
  <si>
    <t>510918</t>
  </si>
  <si>
    <t>Hearing Instrument Specialist.</t>
  </si>
  <si>
    <t>510919</t>
  </si>
  <si>
    <t>Mammography Technician/Technology.</t>
  </si>
  <si>
    <t>Mammography Technology/Technician.</t>
  </si>
  <si>
    <t>510920</t>
  </si>
  <si>
    <t>Magnetic Resonance Imaging (MRI) Technology/Technician.</t>
  </si>
  <si>
    <t>Hyperbaric Medicine Technology/Technician.</t>
  </si>
  <si>
    <t>Intraoperative Neuromonitoring Technology/Technician.</t>
  </si>
  <si>
    <t>Orthopedic Technology/Technician.</t>
  </si>
  <si>
    <t>Clinical/Medical Laboratory Science/Research and Allied Professions.</t>
  </si>
  <si>
    <t>511001</t>
  </si>
  <si>
    <t>Blood Bank Technology Specialist.</t>
  </si>
  <si>
    <t>511002</t>
  </si>
  <si>
    <t>Cytotechnology/Cytotechnologist.</t>
  </si>
  <si>
    <t>511003</t>
  </si>
  <si>
    <t>Hematology Technology/Technician.</t>
  </si>
  <si>
    <t>511005</t>
  </si>
  <si>
    <t>Clinical Laboratory Science/Medical Technology/Technologist.</t>
  </si>
  <si>
    <t>511007</t>
  </si>
  <si>
    <t>Histologic Technology/Histotechnologist.</t>
  </si>
  <si>
    <t>511010</t>
  </si>
  <si>
    <t>Cytogenetics/Genetics/Clinical Genetics Technology/Technologist.</t>
  </si>
  <si>
    <t>511012</t>
  </si>
  <si>
    <t>Sterile Processing Technology/Technician.</t>
  </si>
  <si>
    <t>511099</t>
  </si>
  <si>
    <t>Clinical/Medical Laboratory Science and Allied Professions, Other.</t>
  </si>
  <si>
    <t>Health/Medical Preparatory Programs.</t>
  </si>
  <si>
    <t>511101</t>
  </si>
  <si>
    <t>Pre-Dentistry Studies.</t>
  </si>
  <si>
    <t>511102</t>
  </si>
  <si>
    <t>Pre-Medicine/Pre-Medical Studies.</t>
  </si>
  <si>
    <t>511103</t>
  </si>
  <si>
    <t>Pre-Pharmacy Studies.</t>
  </si>
  <si>
    <t>511104</t>
  </si>
  <si>
    <t>Pre-Veterinary Studies.</t>
  </si>
  <si>
    <t>511105</t>
  </si>
  <si>
    <t>Pre-Nursing Studies.</t>
  </si>
  <si>
    <t>511106</t>
  </si>
  <si>
    <t>Pre-Chiropractic Studies.</t>
  </si>
  <si>
    <t>511107</t>
  </si>
  <si>
    <t>Pre-Occupational Therapy Studies.</t>
  </si>
  <si>
    <t>511108</t>
  </si>
  <si>
    <t>Pre-Optometry Studies.</t>
  </si>
  <si>
    <t>511109</t>
  </si>
  <si>
    <t>Pre-Physical Therapy Studies.</t>
  </si>
  <si>
    <t>Pre-Art Therapy.</t>
  </si>
  <si>
    <t>Pre-Physician Assistant.</t>
  </si>
  <si>
    <t>511199</t>
  </si>
  <si>
    <t>Health/Medical Preparatory Programs, Other.</t>
  </si>
  <si>
    <t>Medicine.</t>
  </si>
  <si>
    <t>511201</t>
  </si>
  <si>
    <t>Medicine, Other.</t>
  </si>
  <si>
    <t>Medical Clinical Sciences/Graduate Medical Studies.</t>
  </si>
  <si>
    <t>511401</t>
  </si>
  <si>
    <t>Medical Scientist.</t>
  </si>
  <si>
    <t>Medical Science/Scientist.</t>
  </si>
  <si>
    <t>Clinical and Translational Science.</t>
  </si>
  <si>
    <t>Pain Management.</t>
  </si>
  <si>
    <t>Temporomandibular Disorders and Orofacial Pain.</t>
  </si>
  <si>
    <t>Tropical Medicine.</t>
  </si>
  <si>
    <t>Medical Clinical Sciences/Graduate Medical Studies, Other.</t>
  </si>
  <si>
    <t>Mental and Social Health Services and Allied Professions.</t>
  </si>
  <si>
    <t>Substance Abuse/Addiction Counseling.</t>
  </si>
  <si>
    <t>Clinical/Medical Social Work.</t>
  </si>
  <si>
    <t>Community Health Services/Liaison/Counseling.</t>
  </si>
  <si>
    <t>511505</t>
  </si>
  <si>
    <t>Marriage and Family Therapy/Counseling.</t>
  </si>
  <si>
    <t>511506</t>
  </si>
  <si>
    <t>Clinical Pastoral Counseling/Patient Counseling.</t>
  </si>
  <si>
    <t>511507</t>
  </si>
  <si>
    <t>Psychoanalysis and Psychotherapy.</t>
  </si>
  <si>
    <t>511508</t>
  </si>
  <si>
    <t>Mental Health Counseling/Counselor.</t>
  </si>
  <si>
    <t>511509</t>
  </si>
  <si>
    <t>Genetic Counseling/Counselor.</t>
  </si>
  <si>
    <t>Infant/Toddler Mental Health Services.</t>
  </si>
  <si>
    <t>Medical Family Therapy/Therapist.</t>
  </si>
  <si>
    <t>Hospice and Palliative Care.</t>
  </si>
  <si>
    <t>Trauma Counseling.</t>
  </si>
  <si>
    <t>Optometry.</t>
  </si>
  <si>
    <t>511701</t>
  </si>
  <si>
    <t>Ophthalmic and Optometric Support Services and Allied Professions.</t>
  </si>
  <si>
    <t>511804</t>
  </si>
  <si>
    <t>Orthoptics/Orthoptist.</t>
  </si>
  <si>
    <t>511899</t>
  </si>
  <si>
    <t>Ophthalmic and Optometric Support Services and Allied Professions, Other.</t>
  </si>
  <si>
    <t>Osteopathic Medicine/Osteopathy.</t>
  </si>
  <si>
    <t>Deleted, report under 51.1202</t>
  </si>
  <si>
    <t>511901</t>
  </si>
  <si>
    <t>Pharmacy, Pharmaceutical Sciences, and Administration.</t>
  </si>
  <si>
    <t>512001</t>
  </si>
  <si>
    <t>Pharmacy.</t>
  </si>
  <si>
    <t>512002</t>
  </si>
  <si>
    <t>Pharmacy Administration and Pharmacy Policy and Regulatory Affairs.</t>
  </si>
  <si>
    <t>512003</t>
  </si>
  <si>
    <t>Pharmaceutics and Drug Design.</t>
  </si>
  <si>
    <t>512004</t>
  </si>
  <si>
    <t>Medicinal and Pharmaceutical Chemistry.</t>
  </si>
  <si>
    <t>512005</t>
  </si>
  <si>
    <t>Natural Products Chemistry and Pharmacognosy.</t>
  </si>
  <si>
    <t>512006</t>
  </si>
  <si>
    <t>Clinical and Industrial Drug Development.</t>
  </si>
  <si>
    <t>512007</t>
  </si>
  <si>
    <t>Pharmacoeconomics/Pharmaceutical Economics.</t>
  </si>
  <si>
    <t>512008</t>
  </si>
  <si>
    <t>Clinical, Hospital, and Managed Care Pharmacy.</t>
  </si>
  <si>
    <t>512009</t>
  </si>
  <si>
    <t>Industrial and Physical Pharmacy and Cosmetic Sciences.</t>
  </si>
  <si>
    <t>512010</t>
  </si>
  <si>
    <t>Pharmaceutical Sciences.</t>
  </si>
  <si>
    <t>512011</t>
  </si>
  <si>
    <t>Pharmaceutical Marketing and Management.</t>
  </si>
  <si>
    <t>512099</t>
  </si>
  <si>
    <t>Pharmacy, Pharmaceutical Sciences, and Administration, Other.</t>
  </si>
  <si>
    <t>Podiatric Medicine/Podiatry.</t>
  </si>
  <si>
    <t>Deleted, report under 51.1203</t>
  </si>
  <si>
    <t>512101</t>
  </si>
  <si>
    <t>Public Health.</t>
  </si>
  <si>
    <t>512201</t>
  </si>
  <si>
    <t>Public Health, General.</t>
  </si>
  <si>
    <t>512202</t>
  </si>
  <si>
    <t>Environmental Health.</t>
  </si>
  <si>
    <t>512205</t>
  </si>
  <si>
    <t>Health/Medical  Physics.</t>
  </si>
  <si>
    <t>512206</t>
  </si>
  <si>
    <t>Occupational Health and Industrial Hygiene.</t>
  </si>
  <si>
    <t>512207</t>
  </si>
  <si>
    <t>Public Health Education and Promotion.</t>
  </si>
  <si>
    <t>512208</t>
  </si>
  <si>
    <t>512209</t>
  </si>
  <si>
    <t>Maternal and Child Health.</t>
  </si>
  <si>
    <t>512210</t>
  </si>
  <si>
    <t>International Public Health/International Health.</t>
  </si>
  <si>
    <t>Health Services Administration.</t>
  </si>
  <si>
    <t>512212</t>
  </si>
  <si>
    <t>Behavioral Aspects of Health.</t>
  </si>
  <si>
    <t>Patient Safety and Healthcare Quality.</t>
  </si>
  <si>
    <t>Public Health Genetics.</t>
  </si>
  <si>
    <t>512299</t>
  </si>
  <si>
    <t>Public Health, Other.</t>
  </si>
  <si>
    <t>Rehabilitation and Therapeutic Professions.</t>
  </si>
  <si>
    <t>Rehabilitation and Therapeutic Professions, General.</t>
  </si>
  <si>
    <t>512301</t>
  </si>
  <si>
    <t>Art Therapy/Therapist.</t>
  </si>
  <si>
    <t>512302</t>
  </si>
  <si>
    <t>Dance Therapy/Therapist.</t>
  </si>
  <si>
    <t>512305</t>
  </si>
  <si>
    <t>Music Therapy/Therapist.</t>
  </si>
  <si>
    <t>512306</t>
  </si>
  <si>
    <t>Occupational Therapy/Therapist.</t>
  </si>
  <si>
    <t>512308</t>
  </si>
  <si>
    <t>Physical Therapy/Therapist.</t>
  </si>
  <si>
    <t>512309</t>
  </si>
  <si>
    <t>Therapeutic Recreation/Recreational Therapy.</t>
  </si>
  <si>
    <t>512310</t>
  </si>
  <si>
    <t>Vocational Rehabilitation Counseling/Counselor.</t>
  </si>
  <si>
    <t>512311</t>
  </si>
  <si>
    <t>Kinesiotherapy/Kinesiotherapist.</t>
  </si>
  <si>
    <t>512312</t>
  </si>
  <si>
    <t>Assistive/Augmentative Technology and Rehabilitation Engineering.</t>
  </si>
  <si>
    <t>512313</t>
  </si>
  <si>
    <t>Animal-Assisted Therapy.</t>
  </si>
  <si>
    <t>512314</t>
  </si>
  <si>
    <t>Rehabilitation Science.</t>
  </si>
  <si>
    <t>Drama Therapy/Therapist.</t>
  </si>
  <si>
    <t>Horticulture Therapy/Therapist.</t>
  </si>
  <si>
    <t>Play Therapy/Therapist.</t>
  </si>
  <si>
    <t>512399</t>
  </si>
  <si>
    <t>Rehabilitation and Therapeutic Professions, Other.</t>
  </si>
  <si>
    <t>Veterinary Medicine.</t>
  </si>
  <si>
    <t>512401</t>
  </si>
  <si>
    <t>Veterinary Biomedical and Clinical Sciences.</t>
  </si>
  <si>
    <t>512501</t>
  </si>
  <si>
    <t>Veterinary Sciences/Veterinary Clinical Sciences, General.</t>
  </si>
  <si>
    <t>512502</t>
  </si>
  <si>
    <t>Veterinary Anatomy.</t>
  </si>
  <si>
    <t>512503</t>
  </si>
  <si>
    <t>Veterinary Physiology.</t>
  </si>
  <si>
    <t>512504</t>
  </si>
  <si>
    <t>Veterinary Microbiology and Immunobiology.</t>
  </si>
  <si>
    <t>512505</t>
  </si>
  <si>
    <t>Veterinary Pathology and Pathobiology.</t>
  </si>
  <si>
    <t>512506</t>
  </si>
  <si>
    <t>Veterinary Toxicology and Pharmacology.</t>
  </si>
  <si>
    <t>512507</t>
  </si>
  <si>
    <t>Large Animal/Food Animal and Equine Surgery and Medicine.</t>
  </si>
  <si>
    <t>512508</t>
  </si>
  <si>
    <t>Small/Companion Animal Surgery and Medicine.</t>
  </si>
  <si>
    <t>512509</t>
  </si>
  <si>
    <t>Comparative and Laboratory Animal Medicine.</t>
  </si>
  <si>
    <t>512510</t>
  </si>
  <si>
    <t>Veterinary Preventive Medicine, Epidemiology, and Public Health.</t>
  </si>
  <si>
    <t>512511</t>
  </si>
  <si>
    <t>Veterinary Infectious Diseases.</t>
  </si>
  <si>
    <t>512599</t>
  </si>
  <si>
    <t>Veterinary Biomedical and Clinical Sciences, Other.</t>
  </si>
  <si>
    <t>Health Aides/Attendants/Orderlies.</t>
  </si>
  <si>
    <t>512601</t>
  </si>
  <si>
    <t>Health Aide.</t>
  </si>
  <si>
    <t>512603</t>
  </si>
  <si>
    <t>Medication Aide.</t>
  </si>
  <si>
    <t>512604</t>
  </si>
  <si>
    <t>Rehabilitation Aide.</t>
  </si>
  <si>
    <t>Physical Therapy Technician/Aide.</t>
  </si>
  <si>
    <t>512699</t>
  </si>
  <si>
    <t>Health Aides/Attendants/Orderlies, Other.</t>
  </si>
  <si>
    <t>Medical Illustration and Informatics.</t>
  </si>
  <si>
    <t>512703</t>
  </si>
  <si>
    <t>Medical Illustration/Medical Illustrator.</t>
  </si>
  <si>
    <t>512706</t>
  </si>
  <si>
    <t>Medical Informatics.</t>
  </si>
  <si>
    <t>512799</t>
  </si>
  <si>
    <t>Medical Illustration and Informatics, Other.</t>
  </si>
  <si>
    <t>Dietetics and Clinical Nutrition Services.</t>
  </si>
  <si>
    <t>513101</t>
  </si>
  <si>
    <t>Dietetics/Dietitian.</t>
  </si>
  <si>
    <t>513102</t>
  </si>
  <si>
    <t>Clinical Nutrition/Nutritionist.</t>
  </si>
  <si>
    <t>513199</t>
  </si>
  <si>
    <t>Dietetics and Clinical Nutrition Services, Other.</t>
  </si>
  <si>
    <t>Bioethics/Medical Ethics.</t>
  </si>
  <si>
    <t>Health Professions Education, Ethics, and Humanities.</t>
  </si>
  <si>
    <t>513201</t>
  </si>
  <si>
    <t>Health Professions Education.</t>
  </si>
  <si>
    <t>Medical/Health Humanities.</t>
  </si>
  <si>
    <t>History of Medicine.</t>
  </si>
  <si>
    <t>Arts in Medicine/Health.</t>
  </si>
  <si>
    <t>Health Professions Education, Ethics, and Humanities, Other.</t>
  </si>
  <si>
    <t>Alternative and Complementary Medicine and Medical Systems.</t>
  </si>
  <si>
    <t>513300</t>
  </si>
  <si>
    <t>Alternative and Complementary Medicine and Medical Systems, General.</t>
  </si>
  <si>
    <t>513301</t>
  </si>
  <si>
    <t>Acupuncture and Oriental Medicine.</t>
  </si>
  <si>
    <t>513302</t>
  </si>
  <si>
    <t>Traditional Chinese Medicine and Chinese Herbology.</t>
  </si>
  <si>
    <t>513303</t>
  </si>
  <si>
    <t>Naturopathic Medicine/Naturopathy.</t>
  </si>
  <si>
    <t>513304</t>
  </si>
  <si>
    <t>Homeopathic Medicine/Homeopathy.</t>
  </si>
  <si>
    <t>513305</t>
  </si>
  <si>
    <t>Ayurvedic Medicine/Ayurveda.</t>
  </si>
  <si>
    <t>513306</t>
  </si>
  <si>
    <t>Holistic Health.</t>
  </si>
  <si>
    <t>Holistic/Integrative Health.</t>
  </si>
  <si>
    <t>513399</t>
  </si>
  <si>
    <t>Alternative and Complementary Medicine and Medical Systems, Other.</t>
  </si>
  <si>
    <t>Alternative and Complementary Medical Support Services.</t>
  </si>
  <si>
    <t>513401</t>
  </si>
  <si>
    <t>Direct Entry Midwifery.</t>
  </si>
  <si>
    <t>513499</t>
  </si>
  <si>
    <t>Alternative and Complementary Medical Support Services, Other.</t>
  </si>
  <si>
    <t>Somatic Bodywork and Related Therapeutic Services.</t>
  </si>
  <si>
    <t>513502</t>
  </si>
  <si>
    <t>Asian Bodywork Therapy.</t>
  </si>
  <si>
    <t>513503</t>
  </si>
  <si>
    <t>Somatic Bodywork.</t>
  </si>
  <si>
    <t>513599</t>
  </si>
  <si>
    <t>Somatic Bodywork and Related Therapeutic Services, Other.</t>
  </si>
  <si>
    <t>Movement and Mind-Body Therapies and Education.</t>
  </si>
  <si>
    <t>513601</t>
  </si>
  <si>
    <t>Movement Therapy and Movement Education.</t>
  </si>
  <si>
    <t>513602</t>
  </si>
  <si>
    <t>Yoga Teacher Training/Yoga Therapy.</t>
  </si>
  <si>
    <t>513603</t>
  </si>
  <si>
    <t>Hypnotherapy/Hypnotherapist.</t>
  </si>
  <si>
    <t>513699</t>
  </si>
  <si>
    <t>Movement and Mind-Body Therapies and Education, Other.</t>
  </si>
  <si>
    <t>Energy and Biologically Based Therapies.</t>
  </si>
  <si>
    <t>513701</t>
  </si>
  <si>
    <t>Aromatherapy.</t>
  </si>
  <si>
    <t>513702</t>
  </si>
  <si>
    <t>Herbalism/Herbalist.</t>
  </si>
  <si>
    <t>513703</t>
  </si>
  <si>
    <t>Polarity Therapy.</t>
  </si>
  <si>
    <t>513704</t>
  </si>
  <si>
    <t>Reiki.</t>
  </si>
  <si>
    <t>513799</t>
  </si>
  <si>
    <t>Energy and Biologically Based Therapies, Other.</t>
  </si>
  <si>
    <t>Registered Nursing, Nursing Administration, Nursing Research and Clinical Nursing.</t>
  </si>
  <si>
    <t>513802</t>
  </si>
  <si>
    <t>Nursing Administration.</t>
  </si>
  <si>
    <t>513803</t>
  </si>
  <si>
    <t>Adult Health Nurse/Nursing.</t>
  </si>
  <si>
    <t>513804</t>
  </si>
  <si>
    <t>Nurse Anesthetist.</t>
  </si>
  <si>
    <t>513805</t>
  </si>
  <si>
    <t>Family Practice Nurse/Nursing.</t>
  </si>
  <si>
    <t>513806</t>
  </si>
  <si>
    <t>Maternal/Child Health and Neonatal Nurse/Nursing.</t>
  </si>
  <si>
    <t>513807</t>
  </si>
  <si>
    <t>Nurse Midwife/Nursing Midwifery.</t>
  </si>
  <si>
    <t>513808</t>
  </si>
  <si>
    <t>Nursing Science.</t>
  </si>
  <si>
    <t>513809</t>
  </si>
  <si>
    <t>Pediatric Nurse/Nursing.</t>
  </si>
  <si>
    <t>513810</t>
  </si>
  <si>
    <t>Psychiatric/Mental Health Nurse/Nursing.</t>
  </si>
  <si>
    <t>513811</t>
  </si>
  <si>
    <t>Public Health/Community Nurse/Nursing.</t>
  </si>
  <si>
    <t>513812</t>
  </si>
  <si>
    <t>Perioperative/Operating Room and Surgical Nurse/Nursing.</t>
  </si>
  <si>
    <t>513813</t>
  </si>
  <si>
    <t>Clinical Nurse Specialist.</t>
  </si>
  <si>
    <t>513814</t>
  </si>
  <si>
    <t>Critical Care Nursing.</t>
  </si>
  <si>
    <t>513815</t>
  </si>
  <si>
    <t>Occupational and Environmental Health Nursing.</t>
  </si>
  <si>
    <t>513816</t>
  </si>
  <si>
    <t>Emergency Room/Trauma Nursing.</t>
  </si>
  <si>
    <t>513817</t>
  </si>
  <si>
    <t>Nursing Education.</t>
  </si>
  <si>
    <t>513818</t>
  </si>
  <si>
    <t>Nursing Practice.</t>
  </si>
  <si>
    <t>513819</t>
  </si>
  <si>
    <t>Palliative Care Nursing.</t>
  </si>
  <si>
    <t>513820</t>
  </si>
  <si>
    <t>Clinical Nurse Leader.</t>
  </si>
  <si>
    <t>513821</t>
  </si>
  <si>
    <t>Geriatric Nurse/Nursing.</t>
  </si>
  <si>
    <t>513822</t>
  </si>
  <si>
    <t>Women's Health Nurse/Nursing.</t>
  </si>
  <si>
    <t>Forensic Nursing.</t>
  </si>
  <si>
    <t>513899</t>
  </si>
  <si>
    <t>Registered Nursing, Nursing Administration, Nursing Research and Clinical Nursing, Other.</t>
  </si>
  <si>
    <t>Practical Nursing, Vocational Nursing and Nursing Assistants.</t>
  </si>
  <si>
    <t>513999</t>
  </si>
  <si>
    <t>Practical Nursing, Vocational Nursing and Nursing Assistants, Other.</t>
  </si>
  <si>
    <t>Health Professions and Related Clinical Sciences, Other.</t>
  </si>
  <si>
    <t>519999</t>
  </si>
  <si>
    <t>BUSINESS, MANAGEMENT, MARKETING, AND RELATED SUPPORT SERVICES.</t>
  </si>
  <si>
    <t>Business/Commerce, General.</t>
  </si>
  <si>
    <t>520101</t>
  </si>
  <si>
    <t>Business Administration, Management and Operations.</t>
  </si>
  <si>
    <t>520202</t>
  </si>
  <si>
    <t>Purchasing, Procurement/Acquisitions and Contracts Management.</t>
  </si>
  <si>
    <t>520206</t>
  </si>
  <si>
    <t>Non-Profit/Public/Organizational Management.</t>
  </si>
  <si>
    <t>Customer Service Management.</t>
  </si>
  <si>
    <t>520208</t>
  </si>
  <si>
    <t>E-Commerce/Electronic Commerce.</t>
  </si>
  <si>
    <t>520210</t>
  </si>
  <si>
    <t>Research and Development Management.</t>
  </si>
  <si>
    <t>520211</t>
  </si>
  <si>
    <t>Project Management.</t>
  </si>
  <si>
    <t>Retail Management.</t>
  </si>
  <si>
    <t>520213</t>
  </si>
  <si>
    <t>Organizational Leadership.</t>
  </si>
  <si>
    <t>Research Administration.</t>
  </si>
  <si>
    <t>Risk Management.</t>
  </si>
  <si>
    <t>Science/Technology Management.</t>
  </si>
  <si>
    <t>520299</t>
  </si>
  <si>
    <t>Business Administration, Management and Operations, Other.</t>
  </si>
  <si>
    <t>Accounting and Related Services.</t>
  </si>
  <si>
    <t>520301</t>
  </si>
  <si>
    <t>Accounting.</t>
  </si>
  <si>
    <t>520303</t>
  </si>
  <si>
    <t>Auditing.</t>
  </si>
  <si>
    <t>520304</t>
  </si>
  <si>
    <t>Accounting and Finance.</t>
  </si>
  <si>
    <t>520305</t>
  </si>
  <si>
    <t>Accounting and Business/Management.</t>
  </si>
  <si>
    <t>520399</t>
  </si>
  <si>
    <t>Accounting and Related Services, Other.</t>
  </si>
  <si>
    <t>Business Operations Support and Assistant Services.</t>
  </si>
  <si>
    <t>520402</t>
  </si>
  <si>
    <t>Executive Assistant/Executive Secretary.</t>
  </si>
  <si>
    <t>520406</t>
  </si>
  <si>
    <t>Receptionist.</t>
  </si>
  <si>
    <t>520408</t>
  </si>
  <si>
    <t>General Office Occupations and Clerical Services.</t>
  </si>
  <si>
    <t>520410</t>
  </si>
  <si>
    <t>Traffic, Customs, and Transportation Clerk/Technician.</t>
  </si>
  <si>
    <t>520499</t>
  </si>
  <si>
    <t>Business Operations Support and Secretarial Services, Other.</t>
  </si>
  <si>
    <t>Business/Corporate Communications.</t>
  </si>
  <si>
    <t>520501</t>
  </si>
  <si>
    <t>Business/Corporate Communications, General.</t>
  </si>
  <si>
    <t>Grantsmanship.</t>
  </si>
  <si>
    <t>Business/Corporate Communications, Other.</t>
  </si>
  <si>
    <t>Business/Managerial Economics.</t>
  </si>
  <si>
    <t>520601</t>
  </si>
  <si>
    <t>Entrepreneurial and Small Business Operations.</t>
  </si>
  <si>
    <t>520702</t>
  </si>
  <si>
    <t>Franchising and Franchise Operations.</t>
  </si>
  <si>
    <t>Social Entrepreneurship.</t>
  </si>
  <si>
    <t>520799</t>
  </si>
  <si>
    <t>Entrepreneurial and Small Business Operations, Other.</t>
  </si>
  <si>
    <t>Finance and Financial Management Services.</t>
  </si>
  <si>
    <t>520806</t>
  </si>
  <si>
    <t>International Finance.</t>
  </si>
  <si>
    <t>520807</t>
  </si>
  <si>
    <t>Investments and Securities.</t>
  </si>
  <si>
    <t>520808</t>
  </si>
  <si>
    <t>Public Finance.</t>
  </si>
  <si>
    <t>520809</t>
  </si>
  <si>
    <t>Credit Management.</t>
  </si>
  <si>
    <t>Financial Risk Management.</t>
  </si>
  <si>
    <t>520899</t>
  </si>
  <si>
    <t>Finance and Financial Management Services, Other.</t>
  </si>
  <si>
    <t>Hospitality Administration/Management.</t>
  </si>
  <si>
    <t>520903</t>
  </si>
  <si>
    <t>Tourism and Travel Services Management.</t>
  </si>
  <si>
    <t>520906</t>
  </si>
  <si>
    <t>Resort Management.</t>
  </si>
  <si>
    <t>520907</t>
  </si>
  <si>
    <t>Meeting and Event Planning.</t>
  </si>
  <si>
    <t>520908</t>
  </si>
  <si>
    <t>Casino Management.</t>
  </si>
  <si>
    <t>Brewery/Brewpub Operations/Management.</t>
  </si>
  <si>
    <t>520999</t>
  </si>
  <si>
    <t>Hospitality Administration/Management, Other.</t>
  </si>
  <si>
    <t>Human Resources Management and Services.</t>
  </si>
  <si>
    <t>521001</t>
  </si>
  <si>
    <t>Human Resources Management/Personnel Administration, General.</t>
  </si>
  <si>
    <t>521002</t>
  </si>
  <si>
    <t>Labor and Industrial Relations.</t>
  </si>
  <si>
    <t>521003</t>
  </si>
  <si>
    <t>Organizational Behavior Studies.</t>
  </si>
  <si>
    <t>521004</t>
  </si>
  <si>
    <t>Labor Studies.</t>
  </si>
  <si>
    <t>521005</t>
  </si>
  <si>
    <t>Human Resources Development.</t>
  </si>
  <si>
    <t>Executive/Career Coaching.</t>
  </si>
  <si>
    <t>521099</t>
  </si>
  <si>
    <t>Human Resources Management and Services, Other.</t>
  </si>
  <si>
    <t>International Business.</t>
  </si>
  <si>
    <t>521101</t>
  </si>
  <si>
    <t>International Business/Trade/Commerce.</t>
  </si>
  <si>
    <t>Management Information Systems and Services.</t>
  </si>
  <si>
    <t>521206</t>
  </si>
  <si>
    <t>Information Resources Management.</t>
  </si>
  <si>
    <t>521207</t>
  </si>
  <si>
    <t>Knowledge Management.</t>
  </si>
  <si>
    <t>521299</t>
  </si>
  <si>
    <t>Management Information Systems and Services, Other.</t>
  </si>
  <si>
    <t>Management Sciences and Quantitative Methods.</t>
  </si>
  <si>
    <t>521302</t>
  </si>
  <si>
    <t>Business Statistics.</t>
  </si>
  <si>
    <t>521304</t>
  </si>
  <si>
    <t>Actuarial Science.</t>
  </si>
  <si>
    <t>521399</t>
  </si>
  <si>
    <t>Management Sciences and Quantitative Methods, Other.</t>
  </si>
  <si>
    <t>Marketing.</t>
  </si>
  <si>
    <t>521402</t>
  </si>
  <si>
    <t>Marketing Research.</t>
  </si>
  <si>
    <t>521403</t>
  </si>
  <si>
    <t>International Marketing.</t>
  </si>
  <si>
    <t>Digital Marketing.</t>
  </si>
  <si>
    <t>521499</t>
  </si>
  <si>
    <t>Marketing, Other.</t>
  </si>
  <si>
    <t>Taxation.</t>
  </si>
  <si>
    <t>521601</t>
  </si>
  <si>
    <t>Insurance.</t>
  </si>
  <si>
    <t>521701</t>
  </si>
  <si>
    <t>General Sales, Merchandising and Related Marketing Operations.</t>
  </si>
  <si>
    <t>521801</t>
  </si>
  <si>
    <t>Sales, Distribution, and Marketing Operations, General.</t>
  </si>
  <si>
    <t>521802</t>
  </si>
  <si>
    <t>Merchandising and Buying Operations.</t>
  </si>
  <si>
    <t>521803</t>
  </si>
  <si>
    <t>Retailing and Retail Operations.</t>
  </si>
  <si>
    <t>521804</t>
  </si>
  <si>
    <t>Selling Skills and Sales Operations.</t>
  </si>
  <si>
    <t>521899</t>
  </si>
  <si>
    <t>General Merchandising, Sales, and Related Marketing Operations, Other.</t>
  </si>
  <si>
    <t>Specialized Sales, Merchandising and  Marketing Operations.</t>
  </si>
  <si>
    <t>521901</t>
  </si>
  <si>
    <t>Auctioneering.</t>
  </si>
  <si>
    <t>521903</t>
  </si>
  <si>
    <t>Fashion Modeling.</t>
  </si>
  <si>
    <t>521904</t>
  </si>
  <si>
    <t>Apparel and Accessories Marketing Operations.</t>
  </si>
  <si>
    <t>521905</t>
  </si>
  <si>
    <t>Tourism and Travel Services Marketing Operations.</t>
  </si>
  <si>
    <t>521907</t>
  </si>
  <si>
    <t>Vehicle and Vehicle Parts and Accessories Marketing Operations.</t>
  </si>
  <si>
    <t>521909</t>
  </si>
  <si>
    <t>Special Products Marketing Operations.</t>
  </si>
  <si>
    <t>521910</t>
  </si>
  <si>
    <t>Hospitality and Recreation Marketing Operations.</t>
  </si>
  <si>
    <t>521999</t>
  </si>
  <si>
    <t>Specialized Merchandising, Sales, and Marketing Operations, Other.</t>
  </si>
  <si>
    <t>Construction Management.</t>
  </si>
  <si>
    <t>522001</t>
  </si>
  <si>
    <t>Construction Management, General.</t>
  </si>
  <si>
    <t>Construction Project Management.</t>
  </si>
  <si>
    <t>Construction Management, Other.</t>
  </si>
  <si>
    <t>Telecommunications Management.</t>
  </si>
  <si>
    <t>522101</t>
  </si>
  <si>
    <t>Business, Management, Marketing, and Related Support Services, Other.</t>
  </si>
  <si>
    <t>529999</t>
  </si>
  <si>
    <t>HIGH SCHOOL/SECONDARY DIPLOMAS AND CERTIFICATES.</t>
  </si>
  <si>
    <t>High School/Secondary Diploma Programs.</t>
  </si>
  <si>
    <t>530101</t>
  </si>
  <si>
    <t>Regular/General High School/Secondary Diploma Program.</t>
  </si>
  <si>
    <t>530102</t>
  </si>
  <si>
    <t>College/University Preparatory and Advanced High School/Secondary Diploma Program.</t>
  </si>
  <si>
    <t>530103</t>
  </si>
  <si>
    <t>Vocational High School and Secondary Business/Vocational-Industrial/Occupational Diploma Program.</t>
  </si>
  <si>
    <t>530104</t>
  </si>
  <si>
    <t>Honors/Regents High School/Secondary Diploma Program.</t>
  </si>
  <si>
    <t>530105</t>
  </si>
  <si>
    <t>Adult High School/Secondary Diploma Program.</t>
  </si>
  <si>
    <t>530199</t>
  </si>
  <si>
    <t>High School/Secondary Diploma Programs, Other.</t>
  </si>
  <si>
    <t>High School/Secondary Certificate Programs.</t>
  </si>
  <si>
    <t>530201</t>
  </si>
  <si>
    <t>High School Equivalence Certificate Program.</t>
  </si>
  <si>
    <t>530202</t>
  </si>
  <si>
    <t>High School Certificate of Competence Program.</t>
  </si>
  <si>
    <t>530203</t>
  </si>
  <si>
    <t>Certificate of IEP Completion Program.</t>
  </si>
  <si>
    <t>530299</t>
  </si>
  <si>
    <t>High School/Secondary Certificates, Other.</t>
  </si>
  <si>
    <t>HISTORY.</t>
  </si>
  <si>
    <t>History.</t>
  </si>
  <si>
    <t>540101</t>
  </si>
  <si>
    <t>History, General.</t>
  </si>
  <si>
    <t>540102</t>
  </si>
  <si>
    <t>American  History (United States).</t>
  </si>
  <si>
    <t>540103</t>
  </si>
  <si>
    <t>European History.</t>
  </si>
  <si>
    <t>540104</t>
  </si>
  <si>
    <t>History and Philosophy of Science and Technology.</t>
  </si>
  <si>
    <t>540105</t>
  </si>
  <si>
    <t>Public/Applied History.</t>
  </si>
  <si>
    <t>540106</t>
  </si>
  <si>
    <t>Asian History.</t>
  </si>
  <si>
    <t>540107</t>
  </si>
  <si>
    <t>Canadian History.</t>
  </si>
  <si>
    <t>540108</t>
  </si>
  <si>
    <t>Military History.</t>
  </si>
  <si>
    <t>540199</t>
  </si>
  <si>
    <t>History, Other.</t>
  </si>
  <si>
    <t>RESIDENCY PROGRAMS.</t>
  </si>
  <si>
    <t>HEALTH PROFESSIONS RESIDENCY/FELLOWSHIP PROGRAMS.</t>
  </si>
  <si>
    <t>Dental Residency Programs.</t>
  </si>
  <si>
    <t>Dental Residency/Fellowship Programs.</t>
  </si>
  <si>
    <t>600101</t>
  </si>
  <si>
    <t>Oral and Maxillofacial Surgery Residency Program.</t>
  </si>
  <si>
    <t>600102</t>
  </si>
  <si>
    <t>Dental Public Health Residency Program.</t>
  </si>
  <si>
    <t>600103</t>
  </si>
  <si>
    <t>Endodontics Residency Program.</t>
  </si>
  <si>
    <t>600104</t>
  </si>
  <si>
    <t>Oral and Maxillofacial Pathology Residency Program.</t>
  </si>
  <si>
    <t>600105</t>
  </si>
  <si>
    <t>Orthodontics Residency Program.</t>
  </si>
  <si>
    <t>600106</t>
  </si>
  <si>
    <t>Pediatric Dentistry Residency Program.</t>
  </si>
  <si>
    <t>600107</t>
  </si>
  <si>
    <t>Periodontology Residency Program.</t>
  </si>
  <si>
    <t>600108</t>
  </si>
  <si>
    <t>Prosthodontics Residency Program.</t>
  </si>
  <si>
    <t>600109</t>
  </si>
  <si>
    <t>Oral and Maxillofacial Radiology Residency Program.</t>
  </si>
  <si>
    <t>Implantology Fellowship Program.</t>
  </si>
  <si>
    <t>600199</t>
  </si>
  <si>
    <t>Dental Residency Program, Other.</t>
  </si>
  <si>
    <t>Dental Residency/Fellowship Program, Other.</t>
  </si>
  <si>
    <t>Veterinary Residency Programs.</t>
  </si>
  <si>
    <t>Veterinary Residency/Fellowship Programs.</t>
  </si>
  <si>
    <t>600301</t>
  </si>
  <si>
    <t>Veterinary Anesthesiology Residency Program.</t>
  </si>
  <si>
    <t>600302</t>
  </si>
  <si>
    <t>Veterinary Dentistry Residency Program.</t>
  </si>
  <si>
    <t>600303</t>
  </si>
  <si>
    <t>Veterinary Dermatology Residency Program.</t>
  </si>
  <si>
    <t>600304</t>
  </si>
  <si>
    <t>Veterinary Emergency and Critical Care Medicine Residency Program.</t>
  </si>
  <si>
    <t>600305</t>
  </si>
  <si>
    <t>Veterinary Internal Medicine Residency Program.</t>
  </si>
  <si>
    <t>600306</t>
  </si>
  <si>
    <t>Laboratory Animal Medicine Residency Program.</t>
  </si>
  <si>
    <t>600307</t>
  </si>
  <si>
    <t>Veterinary Microbiology Residency Program.</t>
  </si>
  <si>
    <t>600308</t>
  </si>
  <si>
    <t>Veterinary Nutrition Residency Program.</t>
  </si>
  <si>
    <t>600309</t>
  </si>
  <si>
    <t>Veterinary Ophthalmology Residency Program.</t>
  </si>
  <si>
    <t>600310</t>
  </si>
  <si>
    <t>Veterinary Pathology Residency Program.</t>
  </si>
  <si>
    <t>600311</t>
  </si>
  <si>
    <t>Veterinary Practice Residency Program.</t>
  </si>
  <si>
    <t>600312</t>
  </si>
  <si>
    <t>Veterinary Preventive Medicine Residency Program.</t>
  </si>
  <si>
    <t>600313</t>
  </si>
  <si>
    <t>Veterinary Radiology Residency Program.</t>
  </si>
  <si>
    <t>600314</t>
  </si>
  <si>
    <t>Veterinary Surgery Residency Program.</t>
  </si>
  <si>
    <t>600315</t>
  </si>
  <si>
    <t>Theriogenology Residency Program.</t>
  </si>
  <si>
    <t>600316</t>
  </si>
  <si>
    <t>Veterinary Toxicology Residency Program.</t>
  </si>
  <si>
    <t>600317</t>
  </si>
  <si>
    <t>Zoological Medicine Residency Program.</t>
  </si>
  <si>
    <t>600318</t>
  </si>
  <si>
    <t>Poultry Veterinarian Residency Program.</t>
  </si>
  <si>
    <t>600319</t>
  </si>
  <si>
    <t>Veterinary Behaviorist Residency Program.</t>
  </si>
  <si>
    <t>600320</t>
  </si>
  <si>
    <t>Veterinary Clinical Pharmacology Residency Program.</t>
  </si>
  <si>
    <t>600399</t>
  </si>
  <si>
    <t>Veterinary Residency Programs, Other.</t>
  </si>
  <si>
    <t>Veterinary Residency/Fellowship Program, Other.</t>
  </si>
  <si>
    <t>Medical Residency Programs - General Certificates.</t>
  </si>
  <si>
    <t>600401</t>
  </si>
  <si>
    <t>Aerospace Medicine Residency Program.</t>
  </si>
  <si>
    <t>600402</t>
  </si>
  <si>
    <t>Allergy and Immunology Residency Program.</t>
  </si>
  <si>
    <t>Allergy and Immunology Fellowship Program.</t>
  </si>
  <si>
    <t>600403</t>
  </si>
  <si>
    <t>Anesthesiology Residency Program.</t>
  </si>
  <si>
    <t>600404</t>
  </si>
  <si>
    <t>Child Neurology Residency Program.</t>
  </si>
  <si>
    <t>600405</t>
  </si>
  <si>
    <t>Clinical Biochemical Genetics Residency Program.</t>
  </si>
  <si>
    <t>600406</t>
  </si>
  <si>
    <t>Clinical Cytogenetics Residency Program.</t>
  </si>
  <si>
    <t>Deleted, report under 61.0903</t>
  </si>
  <si>
    <t>600407</t>
  </si>
  <si>
    <t>Clinical Genetics Residency Program.</t>
  </si>
  <si>
    <t>Clinical Genetics and Genomics Residency Program.</t>
  </si>
  <si>
    <t>600408</t>
  </si>
  <si>
    <t>Clinical Molecular Genetics Residency Program.</t>
  </si>
  <si>
    <t>600409</t>
  </si>
  <si>
    <t>Colon and Rectal Surgery Residency Program.</t>
  </si>
  <si>
    <t>600410</t>
  </si>
  <si>
    <t>Dermatology Residency Program.</t>
  </si>
  <si>
    <t>600411</t>
  </si>
  <si>
    <t>Diagnostic Radiology Residency Program.</t>
  </si>
  <si>
    <t>600412</t>
  </si>
  <si>
    <t>Emergency Medicine Residency Program.</t>
  </si>
  <si>
    <t>600413</t>
  </si>
  <si>
    <t>Family Medicine Residency Program.</t>
  </si>
  <si>
    <t>600414</t>
  </si>
  <si>
    <t>General Surgery Residency Program.</t>
  </si>
  <si>
    <t>600415</t>
  </si>
  <si>
    <t>Internal Medicine Residency Program.</t>
  </si>
  <si>
    <t>600416</t>
  </si>
  <si>
    <t>Neurological Surgery Residency Program.</t>
  </si>
  <si>
    <t>600417</t>
  </si>
  <si>
    <t>Neurology Residency Program.</t>
  </si>
  <si>
    <t>600418</t>
  </si>
  <si>
    <t>Nuclear Medicine Residency Program.</t>
  </si>
  <si>
    <t>600419</t>
  </si>
  <si>
    <t>Obstetrics and Gynecology Residency Program.</t>
  </si>
  <si>
    <t>600420</t>
  </si>
  <si>
    <t>Occupational Medicine Residency Program.</t>
  </si>
  <si>
    <t>600421</t>
  </si>
  <si>
    <t>Ophthalmology Residency Program.</t>
  </si>
  <si>
    <t>600422</t>
  </si>
  <si>
    <t>Orthopedic Surgery Residency Program.</t>
  </si>
  <si>
    <t>600423</t>
  </si>
  <si>
    <t>Otolaryngology Residency Program.</t>
  </si>
  <si>
    <t>600424</t>
  </si>
  <si>
    <t>Pathology Residency Program.</t>
  </si>
  <si>
    <t>Combined Anatomic and Clinical Pathology Residency Program.</t>
  </si>
  <si>
    <t>600425</t>
  </si>
  <si>
    <t>Pediatrics Residency Program.</t>
  </si>
  <si>
    <t>600426</t>
  </si>
  <si>
    <t>Physical Medicine and Rehabilitation Residency Program.</t>
  </si>
  <si>
    <t>600427</t>
  </si>
  <si>
    <t>Plastic Surgery Residency Program.</t>
  </si>
  <si>
    <t>600428</t>
  </si>
  <si>
    <t>Psychiatry Residency Program.</t>
  </si>
  <si>
    <t>600429</t>
  </si>
  <si>
    <t>Public Health and General Preventive Medicine Residency Program.</t>
  </si>
  <si>
    <t>600430</t>
  </si>
  <si>
    <t>Radiation Oncology Residency Program.</t>
  </si>
  <si>
    <t>600431</t>
  </si>
  <si>
    <t>Radiologic Physics Residency Program.</t>
  </si>
  <si>
    <t>600432</t>
  </si>
  <si>
    <t>Thoracic Surgery Residency Program.</t>
  </si>
  <si>
    <t>Thoracic Surgery Fellowship Program.</t>
  </si>
  <si>
    <t>600433</t>
  </si>
  <si>
    <t>Urology Residency Program.</t>
  </si>
  <si>
    <t>600434</t>
  </si>
  <si>
    <t>Vascular Surgery Residency Program.</t>
  </si>
  <si>
    <t>Vascular Surgery Fellowship Program.</t>
  </si>
  <si>
    <t>600499</t>
  </si>
  <si>
    <t>Medical Residency Programs - General Certificates, Other.</t>
  </si>
  <si>
    <t>Medical Residency Programs - Subspecialty Certificates.</t>
  </si>
  <si>
    <t>600501</t>
  </si>
  <si>
    <t>Addiction Psychiatry Residency Program.</t>
  </si>
  <si>
    <t>Addiction Psychiatry Fellowship Program.</t>
  </si>
  <si>
    <t>600502</t>
  </si>
  <si>
    <t>Adolescent Medicine Residency Program.</t>
  </si>
  <si>
    <t>Adolescent Medicine Fellowship Program.</t>
  </si>
  <si>
    <t>600503</t>
  </si>
  <si>
    <t>Blood Banking/Transfusion Medicine Residency Program.</t>
  </si>
  <si>
    <t>Blood Banking/Transfusion Medicine Fellowship Program.</t>
  </si>
  <si>
    <t>600504</t>
  </si>
  <si>
    <t>Cardiovascular Disease Residency Program.</t>
  </si>
  <si>
    <t>Cardiovascular Disease Fellowship Program.</t>
  </si>
  <si>
    <t>600505</t>
  </si>
  <si>
    <t>Chemical Pathology Residency Program.</t>
  </si>
  <si>
    <t>Chemical Pathology Fellowship Program.</t>
  </si>
  <si>
    <t>600506</t>
  </si>
  <si>
    <t>Child Abuse Pediatrics Residency Program.</t>
  </si>
  <si>
    <t>Child Abuse Pediatrics Fellowship Program.</t>
  </si>
  <si>
    <t>600507</t>
  </si>
  <si>
    <t>Child and Adolescent Psychiatry Residency Program.</t>
  </si>
  <si>
    <t>Child and Adolescent Psychiatry Fellowship Program.</t>
  </si>
  <si>
    <t>600508</t>
  </si>
  <si>
    <t>Clinical Cardiac Electrophysiology Residency Program.</t>
  </si>
  <si>
    <t>Clinical Cardiac Electrophysiology Fellowship Program.</t>
  </si>
  <si>
    <t>600509</t>
  </si>
  <si>
    <t>Clinical Neurophysiology Residency Program.</t>
  </si>
  <si>
    <t>Clinical Neurophysiology Fellowship Program.</t>
  </si>
  <si>
    <t>600510</t>
  </si>
  <si>
    <t>Congenital Cardiac Surgery Residency Program.</t>
  </si>
  <si>
    <t>Congenital Cardiac Surgery Fellowship Program.</t>
  </si>
  <si>
    <t>600511</t>
  </si>
  <si>
    <t>Critical Care Medicine Residency Program.</t>
  </si>
  <si>
    <t>Critical Care Medicine Fellowship Program.</t>
  </si>
  <si>
    <t>600512</t>
  </si>
  <si>
    <t>Cytopathology Residency Program.</t>
  </si>
  <si>
    <t>Cytopathology Fellowship Program.</t>
  </si>
  <si>
    <t>600513</t>
  </si>
  <si>
    <t>Dermatopathology Residency Program.</t>
  </si>
  <si>
    <t>Dermatopathology Fellowship Program.</t>
  </si>
  <si>
    <t>600514</t>
  </si>
  <si>
    <t>Developmental-Behavioral Pediatrics Residency Program.</t>
  </si>
  <si>
    <t>Developmental-Behavioral Pediatrics Fellowship Program.</t>
  </si>
  <si>
    <t>600515</t>
  </si>
  <si>
    <t>Diagnostic Radiologic Physics Residency Program.</t>
  </si>
  <si>
    <t>600516</t>
  </si>
  <si>
    <t>Endocrinology, Diabetes and Metabolism Residency Program.</t>
  </si>
  <si>
    <t>Endocrinology, Diabetes, and Metabolism Fellowship Program.</t>
  </si>
  <si>
    <t>600517</t>
  </si>
  <si>
    <t>Forensic Pathology Residency Program.</t>
  </si>
  <si>
    <t>Forensic Pathology Fellowship Program.</t>
  </si>
  <si>
    <t>600518</t>
  </si>
  <si>
    <t>Forensic Psychiatry Residency Program.</t>
  </si>
  <si>
    <t>Forensic Psychiatry Fellowship Program.</t>
  </si>
  <si>
    <t>600519</t>
  </si>
  <si>
    <t>Gastroenterology Residency Program.</t>
  </si>
  <si>
    <t>Gastroenterology Fellowship Program.</t>
  </si>
  <si>
    <t>600520</t>
  </si>
  <si>
    <t>Geriatric Medicine Residency Program.</t>
  </si>
  <si>
    <t>Geriatric Medicine Fellowship Program.</t>
  </si>
  <si>
    <t>600521</t>
  </si>
  <si>
    <t>Geriatric Psychiatry Residency Program.</t>
  </si>
  <si>
    <t>Geriatric Psychiatry Fellowship Program.</t>
  </si>
  <si>
    <t>600522</t>
  </si>
  <si>
    <t>Gynecologic Oncology Residency Program.</t>
  </si>
  <si>
    <t>Gynecologic Oncology Fellowship Program.</t>
  </si>
  <si>
    <t>600523</t>
  </si>
  <si>
    <t>Hematological Pathology Residency Program.</t>
  </si>
  <si>
    <t>Hematological Pathology Fellowship Program.</t>
  </si>
  <si>
    <t>600524</t>
  </si>
  <si>
    <t>Hematology Residency Program.</t>
  </si>
  <si>
    <t>Hematology Fellowship Program.</t>
  </si>
  <si>
    <t>600525</t>
  </si>
  <si>
    <t>Hospice and Palliative Medicine Residency Program.</t>
  </si>
  <si>
    <t>Hospice and Palliative Medicine Fellowship Program.</t>
  </si>
  <si>
    <t>600526</t>
  </si>
  <si>
    <t>Immunopathology Residency Program.</t>
  </si>
  <si>
    <t>Immunopathology Fellowship Program.</t>
  </si>
  <si>
    <t>600527</t>
  </si>
  <si>
    <t>Infectious Disease Residency Program.</t>
  </si>
  <si>
    <t>Infectious Disease Fellowship Program.</t>
  </si>
  <si>
    <t>600528</t>
  </si>
  <si>
    <t>Interventional Cardiology Residency Program.</t>
  </si>
  <si>
    <t>Interventional Cardiology Fellowship Program.</t>
  </si>
  <si>
    <t>600529</t>
  </si>
  <si>
    <t>Laboratory Medicine Residency Program.</t>
  </si>
  <si>
    <t>Laboratory Medicine Fellowship Program.</t>
  </si>
  <si>
    <t>600530</t>
  </si>
  <si>
    <t>Maternal and Fetal Medicine Residency Program.</t>
  </si>
  <si>
    <t>Maternal and Fetal Medicine Fellowship Program.</t>
  </si>
  <si>
    <t>600531</t>
  </si>
  <si>
    <t>Medical Biochemical Genetics Residency Program.</t>
  </si>
  <si>
    <t>600532</t>
  </si>
  <si>
    <t>Medical Microbiology Residency Program.</t>
  </si>
  <si>
    <t>Medical Microbiology Fellowship Program.</t>
  </si>
  <si>
    <t>600533</t>
  </si>
  <si>
    <t>Medical Nuclear Physics Residency Program.</t>
  </si>
  <si>
    <t>600534</t>
  </si>
  <si>
    <t>Medical Oncology Residency Program.</t>
  </si>
  <si>
    <t>Medical Oncology Fellowship Program.</t>
  </si>
  <si>
    <t>600535</t>
  </si>
  <si>
    <t>Medical Toxicology Residency Program.</t>
  </si>
  <si>
    <t>Medical Toxicology Fellowship Program.</t>
  </si>
  <si>
    <t>600536</t>
  </si>
  <si>
    <t>Molecular Genetic Pathology Residency Program.</t>
  </si>
  <si>
    <t>Molecular Genetic Pathology Fellowship Program.</t>
  </si>
  <si>
    <t>600537</t>
  </si>
  <si>
    <t>Musculoskeletal Oncology Residency Program.</t>
  </si>
  <si>
    <t>Musculoskeletal Oncology Fellowship Program.</t>
  </si>
  <si>
    <t>600538</t>
  </si>
  <si>
    <t>Neonatal-Perinatal Medicine Residency Program.</t>
  </si>
  <si>
    <t>Neonatal-Perinatal Medicine Fellowship Program.</t>
  </si>
  <si>
    <t>600539</t>
  </si>
  <si>
    <t>Nephrology Residency Program.</t>
  </si>
  <si>
    <t>Nephrology Fellowship Program.</t>
  </si>
  <si>
    <t>600540</t>
  </si>
  <si>
    <t>Neurodevelopmental Disabilities Residency Program.</t>
  </si>
  <si>
    <t>Neurodevelopmental Disabilities Fellowship Program.</t>
  </si>
  <si>
    <t>600541</t>
  </si>
  <si>
    <t>Neuromuscular Medicine Residency Program.</t>
  </si>
  <si>
    <t>Neuromuscular Medicine Fellowship Program.</t>
  </si>
  <si>
    <t>600542</t>
  </si>
  <si>
    <t>Neuropathology Residency Program.</t>
  </si>
  <si>
    <t>Neuropathology Fellowship Program.</t>
  </si>
  <si>
    <t>600543</t>
  </si>
  <si>
    <t>Neuroradiology Residency Program.</t>
  </si>
  <si>
    <t>Neuroradiology Fellowship Program.</t>
  </si>
  <si>
    <t>600544</t>
  </si>
  <si>
    <t>Neurotology Residency Program.</t>
  </si>
  <si>
    <t>Neurotology Fellowship Program.</t>
  </si>
  <si>
    <t>600545</t>
  </si>
  <si>
    <t>Nuclear Radiology Residency Program.</t>
  </si>
  <si>
    <t>Nuclear Radiology Fellowship Program.</t>
  </si>
  <si>
    <t>600546</t>
  </si>
  <si>
    <t>Orthopedic Sports Medicine Residency Program.</t>
  </si>
  <si>
    <t>Orthopedic Sports Medicine Fellowship Program.</t>
  </si>
  <si>
    <t>600547</t>
  </si>
  <si>
    <t>Orthopedic Surgery of the Spine Residency Program.</t>
  </si>
  <si>
    <t>Orthopedic Surgery of the Spine Fellowship Program.</t>
  </si>
  <si>
    <t>600548</t>
  </si>
  <si>
    <t>Pain Medicine Residency Program.</t>
  </si>
  <si>
    <t>Pain Medicine Fellowship Program.</t>
  </si>
  <si>
    <t>600549</t>
  </si>
  <si>
    <t>Pediatric Cardiology Residency Program.</t>
  </si>
  <si>
    <t>Pediatric Cardiology Fellowship Program.</t>
  </si>
  <si>
    <t>600550</t>
  </si>
  <si>
    <t>Pediatric Critical Care Medicine Residency Program.</t>
  </si>
  <si>
    <t>Pediatric Critical Care Medicine Fellowship Program.</t>
  </si>
  <si>
    <t>600551</t>
  </si>
  <si>
    <t>Pediatric Dermatology Residency Program.</t>
  </si>
  <si>
    <t>Pediatric Dermatology Fellowship Program.</t>
  </si>
  <si>
    <t>600552</t>
  </si>
  <si>
    <t>Pediatric Emergency Medicine Residency Program.</t>
  </si>
  <si>
    <t>Pediatric Emergency Medicine Fellowship Program.</t>
  </si>
  <si>
    <t>600553</t>
  </si>
  <si>
    <t>Pediatric Endocrinology Residency Program.</t>
  </si>
  <si>
    <t>Pediatric Endocrinology Fellowship Program.</t>
  </si>
  <si>
    <t>600554</t>
  </si>
  <si>
    <t>Pediatric Gastroenterology Residency Program.</t>
  </si>
  <si>
    <t>Pediatric Gastroenterology Fellowship Program.</t>
  </si>
  <si>
    <t>600555</t>
  </si>
  <si>
    <t>Pediatric Hematology-Oncology Residency Program.</t>
  </si>
  <si>
    <t>Pediatric Hematology-Oncology Fellowship Program.</t>
  </si>
  <si>
    <t>600556</t>
  </si>
  <si>
    <t>Pediatric Infectious Diseases Residency Program.</t>
  </si>
  <si>
    <t>Pediatric Infectious Diseases Fellowship Program.</t>
  </si>
  <si>
    <t>600557</t>
  </si>
  <si>
    <t>Pediatric Nephrology Residency Program.</t>
  </si>
  <si>
    <t>Pediatric Nephrology Fellowship Program.</t>
  </si>
  <si>
    <t>600558</t>
  </si>
  <si>
    <t>Pediatric Orthopedics Residency Program.</t>
  </si>
  <si>
    <t>Pediatric Orthopedics Fellowship Program.</t>
  </si>
  <si>
    <t>600559</t>
  </si>
  <si>
    <t>Pediatric Otolaryngology Residency Program.</t>
  </si>
  <si>
    <t>Pediatric Otolaryngology Fellowship Program.</t>
  </si>
  <si>
    <t>600560</t>
  </si>
  <si>
    <t>Pediatric Pathology Residency Program.</t>
  </si>
  <si>
    <t>Pediatric Pathology Fellowship Program.</t>
  </si>
  <si>
    <t>600561</t>
  </si>
  <si>
    <t>Pediatric Pulmonology Residency Program.</t>
  </si>
  <si>
    <t>Pediatric Pulmonology Fellowship Program.</t>
  </si>
  <si>
    <t>600562</t>
  </si>
  <si>
    <t>Pediatric Radiology Residency Program.</t>
  </si>
  <si>
    <t>Pediatric Radiology Fellowship Program.</t>
  </si>
  <si>
    <t>600563</t>
  </si>
  <si>
    <t>Pediatric Rehabilitation Medicine Residency Program.</t>
  </si>
  <si>
    <t>Pediatric Rehabilitation Medicine Fellowship Program.</t>
  </si>
  <si>
    <t>600564</t>
  </si>
  <si>
    <t>Pediatric Rheumatology Residency Program.</t>
  </si>
  <si>
    <t>Pediatric Rheumatology Fellowship Program.</t>
  </si>
  <si>
    <t>600565</t>
  </si>
  <si>
    <t>Pediatric Surgery Residency Program.</t>
  </si>
  <si>
    <t>Pediatric Surgery Fellowship Program.</t>
  </si>
  <si>
    <t>600566</t>
  </si>
  <si>
    <t>Pediatric Transplant Hepatology Residency Program.</t>
  </si>
  <si>
    <t>Pediatric Transplant Hepatology Fellowship Program.</t>
  </si>
  <si>
    <t>600567</t>
  </si>
  <si>
    <t>Pediatric Urology Residency Program.</t>
  </si>
  <si>
    <t>Pediatric Urology Fellowship Program.</t>
  </si>
  <si>
    <t>600568</t>
  </si>
  <si>
    <t>Physical Medicine and Rehabilitation/Psychiatry Residency Program.</t>
  </si>
  <si>
    <t>Deleted, report under 61.0199</t>
  </si>
  <si>
    <t>600569</t>
  </si>
  <si>
    <t>Plastic Surgery Within the Head and Neck Residency Program.</t>
  </si>
  <si>
    <t>Plastic Surgery Within the Head and Neck Fellowship Program.</t>
  </si>
  <si>
    <t>600570</t>
  </si>
  <si>
    <t>Psychosomatic Medicine Residency Program.</t>
  </si>
  <si>
    <t>Consultation-Liaison Psychiatry Fellowship Program.</t>
  </si>
  <si>
    <t>600571</t>
  </si>
  <si>
    <t>Pulmonary Disease Residency Program.</t>
  </si>
  <si>
    <t>Pulmonary Disease Fellowship Program.</t>
  </si>
  <si>
    <t>600572</t>
  </si>
  <si>
    <t>Radioisotopic Pathology Residency Program.</t>
  </si>
  <si>
    <t>Radioisotopic Pathology Fellowship Program.</t>
  </si>
  <si>
    <t>600573</t>
  </si>
  <si>
    <t>Reproductive Endocrinology/Infertility Residency Program.</t>
  </si>
  <si>
    <t>Reproductive Endocrinology/Infertility Fellowship Program.</t>
  </si>
  <si>
    <t>600574</t>
  </si>
  <si>
    <t>Rheumatology Residency Program.</t>
  </si>
  <si>
    <t>Rheumatology Fellowship Program.</t>
  </si>
  <si>
    <t>600575</t>
  </si>
  <si>
    <t>Sleep Medicine Residency Program.</t>
  </si>
  <si>
    <t>Sleep Medicine Fellowship Program.</t>
  </si>
  <si>
    <t>600576</t>
  </si>
  <si>
    <t>Spinal Cord Injury Medicine Residency Program.</t>
  </si>
  <si>
    <t>Spinal Cord Injury Medicine Fellowship Program.</t>
  </si>
  <si>
    <t>600577</t>
  </si>
  <si>
    <t>Sports Medicine Residency Program.</t>
  </si>
  <si>
    <t>Sports Medicine Fellowship Program.</t>
  </si>
  <si>
    <t>600578</t>
  </si>
  <si>
    <t>Surgery of the Hand Residency Program.</t>
  </si>
  <si>
    <t>Surgery of the Hand Fellowship Program.</t>
  </si>
  <si>
    <t>600579</t>
  </si>
  <si>
    <t>Surgical Critical Care Residency Program.</t>
  </si>
  <si>
    <t>Surgical Critical Care Fellowship Program.</t>
  </si>
  <si>
    <t>600580</t>
  </si>
  <si>
    <t>Therapeutic Radiologic Physics Residency Program.</t>
  </si>
  <si>
    <t>600581</t>
  </si>
  <si>
    <t>Transplant Hepatology Residency Program.</t>
  </si>
  <si>
    <t>Transplant Hepatology Fellowship Program.</t>
  </si>
  <si>
    <t>600582</t>
  </si>
  <si>
    <t>Undersea and Hyperbaric Medicine Residency Program.</t>
  </si>
  <si>
    <t>Undersea and Hyperbaric Medicine Fellowship Program.</t>
  </si>
  <si>
    <t>600583</t>
  </si>
  <si>
    <t>Vascular and Interventional Radiology Residency Program.</t>
  </si>
  <si>
    <t>Vascular and Interventional Radiology Fellowship Program.</t>
  </si>
  <si>
    <t>600584</t>
  </si>
  <si>
    <t>Vascular Neurology Residency Program.</t>
  </si>
  <si>
    <t>Vascular Neurology Fellowship Program.</t>
  </si>
  <si>
    <t>600599</t>
  </si>
  <si>
    <t>Medical Residency Programs - Subspecialty Certificates, Other.</t>
  </si>
  <si>
    <t>Podiatric Medicine Residency Programs.</t>
  </si>
  <si>
    <t>Podiatric Medicine Residency/Fellowship Programs.</t>
  </si>
  <si>
    <t>600601</t>
  </si>
  <si>
    <t>Podiatric Medicine and Surgery - 24 Residency Program.</t>
  </si>
  <si>
    <t>Deleted, report under 61.2201</t>
  </si>
  <si>
    <t>600602</t>
  </si>
  <si>
    <t>Podiatric Medicine and Surgery - 36 Residency Program.</t>
  </si>
  <si>
    <t>Nurse Practitioner Residency/Fellowship Programs.</t>
  </si>
  <si>
    <t>Nurse Practitioner Residency/Fellowship Program, General.</t>
  </si>
  <si>
    <t>Combined Nurse Practitioner Residency/Fellowship Program.</t>
  </si>
  <si>
    <t>Acute Care Nurse Practitioner Residency/Fellowship Program.</t>
  </si>
  <si>
    <t>Adult/Gerontology Acute Care Nurse Practitioner Residency/Fellowship Program.</t>
  </si>
  <si>
    <t>Adult/Gerontology Critical Care Nurse Practitioner Residency/Fellowship Program.</t>
  </si>
  <si>
    <t>Cardiology/Cardiovascular Nurse Practitioner Residency/Fellowship Program.</t>
  </si>
  <si>
    <t>Clinical Informatics Nurse Practitioner Residency/Fellowship Program.</t>
  </si>
  <si>
    <t>Dermatology Nurse Practitioner Residency/Fellowship Program.</t>
  </si>
  <si>
    <t>Developmental and Behavioral Pediatrics Nurse Practitioner Residency/Fellowship Program.</t>
  </si>
  <si>
    <t>Diabetes Nurse Practitioner Residency/Fellowship Program.</t>
  </si>
  <si>
    <t>Emergency Medicine Nurse Practitioner Residency/Fellowship Program.</t>
  </si>
  <si>
    <t>Endocrinology Nurse Practitioner Residency/Fellowship Program.</t>
  </si>
  <si>
    <t>Family Medicine Nurse Practitioner Residency/Fellowship Program.</t>
  </si>
  <si>
    <t>Gastroenterology and Hepatology Nurse Practitioner Residency/Fellowship Program.</t>
  </si>
  <si>
    <t>Gastroenterology Nurse Practitioner Residency/Fellowship Program.</t>
  </si>
  <si>
    <t>Genetics Nurse Practitioner Residency/Fellowship Program.</t>
  </si>
  <si>
    <t>Gerontology Nurse Practitioner Residency/Fellowship Program.</t>
  </si>
  <si>
    <t>Global Health Nurse Practitioner Residency/Fellowship Program.</t>
  </si>
  <si>
    <t>Hematology-Oncology Nurse Practitioner Residency/Fellowship Program.</t>
  </si>
  <si>
    <t>Hepatology Nurse Practitioner Residency/Fellowship Program.</t>
  </si>
  <si>
    <t>Home-Based Primary Care Nurse Practitioner Residency/Fellowship Program.</t>
  </si>
  <si>
    <t>Hospice and Palliative Medicine Nurse Practitioner Residency/Fellowship Program.</t>
  </si>
  <si>
    <t>Hospital Medicine Nurse Practitioner Residency/Fellowship Program.</t>
  </si>
  <si>
    <t>Infectious Diseases Nurse Practitioner Residency/Fellowship Program.</t>
  </si>
  <si>
    <t>Neonatal Nurse Practitioner Residency/Fellowship Program.</t>
  </si>
  <si>
    <t>Nephrology Nurse Practitioner Residency/Fellowship Program.</t>
  </si>
  <si>
    <t>Neurology Nurse Practitioner Residency/Fellowship Program.</t>
  </si>
  <si>
    <t>Neuroscience Nurse Practitioner Residency/Fellowship Program.</t>
  </si>
  <si>
    <t>Obstetrics and Gynecology Nurse Practitioner Residency/Fellowship Program.</t>
  </si>
  <si>
    <t>Occupational Health Nurse Practitioner Residency/Fellowship Program.</t>
  </si>
  <si>
    <t>Orthopedic Nurse Practitioner Residency/Fellowship Program.</t>
  </si>
  <si>
    <t>Orthopedic Surgery Nurse Practitioner Residency/Fellowship Program.</t>
  </si>
  <si>
    <t>Pain Management Nurse Practitioner Residency/Fellowship Program.</t>
  </si>
  <si>
    <t>Palliative Care Nurse Practitioner Residency/Fellowship Program.</t>
  </si>
  <si>
    <t>Pediatric Hematology-Oncology Nurse Practitioner Residency/Fellowship Program.</t>
  </si>
  <si>
    <t>Pediatric Nurse Practitioner Residency/Fellowship Program.</t>
  </si>
  <si>
    <t>Pediatric Rehabilitation Nurse Practitioner Residency/Fellowship Program.</t>
  </si>
  <si>
    <t>Psychiatric/Mental Health Nurse Practitioner Residency/Fellowship Program.</t>
  </si>
  <si>
    <t>Public/Community Health Nurse Practitioner Residency/Fellowship Program.</t>
  </si>
  <si>
    <t>Pulmonary Nurse Practitioner Residency/Fellowship Program.</t>
  </si>
  <si>
    <t>Rheumatology Nurse Practitioner Residency/Fellowship Program.</t>
  </si>
  <si>
    <t>Rural Health Nurse Practitioner Residency/Fellowship Program.</t>
  </si>
  <si>
    <t>Sleep Medicine Nurse Practitioner Residency/Fellowship Program.</t>
  </si>
  <si>
    <t>Surgical and Critical Care Nurse Practitioner Residency/Fellowship Program.</t>
  </si>
  <si>
    <t>Surgical Wound and Reconstruction Nurse Practitioner Residency/Fellowship Program.</t>
  </si>
  <si>
    <t>Transplantation Nurse Practitioner Residency/Fellowship Program.</t>
  </si>
  <si>
    <t>Trauma and Critical Care Nurse Practitioner Residency/Fellowship Program.</t>
  </si>
  <si>
    <t>Urgent Care Nurse Practitioner Residency/Fellowship Program.</t>
  </si>
  <si>
    <t>Urology Nurse Practitioner Residency/Fellowship Program.</t>
  </si>
  <si>
    <t>Women's Health Nurse Practitioner Residency/Fellowship Program.</t>
  </si>
  <si>
    <t>Wound Care Nurse Practitioner Residency/Fellowship Program.</t>
  </si>
  <si>
    <t>Nurse Practitioner Residency/Fellowship Program, Other.</t>
  </si>
  <si>
    <t>Pharmacy Residency/Fellowship Programs.</t>
  </si>
  <si>
    <t>Pharmacy Residency/Fellowship Program, General.</t>
  </si>
  <si>
    <t>Combined Pharmacy Residency/Fellowship Program.</t>
  </si>
  <si>
    <t>Ambulatory Care Pharmacy Residency/Fellowship Program.</t>
  </si>
  <si>
    <t>Cardiology Pharmacy Residency/Fellowship Program.</t>
  </si>
  <si>
    <t>Clinical Pharmacogenomics Pharmacy Residency/Fellowship Program.</t>
  </si>
  <si>
    <t>Community/Community-Based Pharmacy Residency/Fellowship Program.</t>
  </si>
  <si>
    <t>Corporate Pharmacy Leadership Residency/Fellowship Program.</t>
  </si>
  <si>
    <t>Critical Care Pharmacy Residency/Fellowship Program.</t>
  </si>
  <si>
    <t>Drug Information Pharmacy Residency/Fellowship Program</t>
  </si>
  <si>
    <t>Emergency Medicine Pharmacy Residency/Fellowship Program.</t>
  </si>
  <si>
    <t>Family Medicine Pharmacy Residency/Fellowship Program.</t>
  </si>
  <si>
    <t>Geriatric Pharmacy Residency/Fellowship Program.</t>
  </si>
  <si>
    <t>Health System Medication Management Pharmacy Residency/Fellowship Program.</t>
  </si>
  <si>
    <t>Health System Pharmacy Administration and Leadership Residency/Fellowship Program.</t>
  </si>
  <si>
    <t>Infectious Diseases Pharmacy Residency/Fellowship Program.</t>
  </si>
  <si>
    <t>Internal Medicine Pharmacy Residency/Fellowship Program.</t>
  </si>
  <si>
    <t>Investigational Drugs and Research Pharmacy Residency/Fellowship Program.</t>
  </si>
  <si>
    <t>Managed Care Pharmacy Residency/Fellowship Program.</t>
  </si>
  <si>
    <t>Medication Systems and Operations Pharmacy Residency/Fellowship Program.</t>
  </si>
  <si>
    <t>Medication-Use Safety Pharmacy Residency/Fellowship Program.</t>
  </si>
  <si>
    <t>Neonatal Pharmacy Residency/Fellowship Program.</t>
  </si>
  <si>
    <t>Nephrology Pharmacy Residency/Fellowship Program.</t>
  </si>
  <si>
    <t>Neurology Pharmacy Residency/Fellowship Program.</t>
  </si>
  <si>
    <t>Nuclear Pharmacy Residency/Fellowship Program.</t>
  </si>
  <si>
    <t>Nutrition Support Pharmacy Residency/Fellowship Program.</t>
  </si>
  <si>
    <t>Oncology Pharmacy Residency/Fellowship Program.</t>
  </si>
  <si>
    <t>Palliative Care/Pain Management Pharmacy Residency/Fellowship Program.</t>
  </si>
  <si>
    <t>Pediatric Pharmacy Residency/Fellowship Program.</t>
  </si>
  <si>
    <t>Pharmacotherapy Pharmacy Residency/Fellowship Program.</t>
  </si>
  <si>
    <t>Pharmacy Informatics Pharmacy Residency/Fellowship Program.</t>
  </si>
  <si>
    <t>Psychiatric Pharmacy Residency/Fellowship Program.</t>
  </si>
  <si>
    <t>Transplantation Pharmacy Residency/Fellowship Program.</t>
  </si>
  <si>
    <t>Pharmacy Residency Programs, Other.</t>
  </si>
  <si>
    <t>Physician Assistant Residency/Fellowship Programs.</t>
  </si>
  <si>
    <t>Physician Assistant Residency/Fellowship Program, General.</t>
  </si>
  <si>
    <t>Combined Physician Assistant Residency/Fellowship Program.</t>
  </si>
  <si>
    <t>Acute Care Medicine Physician Assistant Residency/Fellowship Program.</t>
  </si>
  <si>
    <t>Acute Care Surgery Physician Assistant Residency/Fellowship Program.</t>
  </si>
  <si>
    <t>Cardiology Physician Assistant Residency/Fellowship Program.</t>
  </si>
  <si>
    <t>Cardiothoracic Surgery Physician Assistant Residency/Fellowship Program.</t>
  </si>
  <si>
    <t>Critical Care Physician Assistant Residency/Fellowship Program.</t>
  </si>
  <si>
    <t>Critical Care and Trauma Surgery Physician Assistant Residency/Fellowship Program.</t>
  </si>
  <si>
    <t>Emergency Medicine Physician Assistant Residency/Fellowship Program.</t>
  </si>
  <si>
    <t>ENT Surgery Physician Assistant Residency/Fellowship Program.</t>
  </si>
  <si>
    <t>Family Medicine Physician Assistant Residency/Fellowship Program.</t>
  </si>
  <si>
    <t>Geriatrics Physician Assistant Residency/Fellowship Program.</t>
  </si>
  <si>
    <t>Hematology-Oncology Physician Assistant Residency/Fellowship Program.</t>
  </si>
  <si>
    <t>Hepatobiliary Surgery Physician Assistant Residency/Fellowship Program.</t>
  </si>
  <si>
    <t>Hospitalist Physician Assistant Residency/Fellowship Program.</t>
  </si>
  <si>
    <t>Neurosurgery Physician Assistant Residency/Fellowship Program.</t>
  </si>
  <si>
    <t>Orthopedic Surgery Physician Assistant Residency/Fellowship Program.</t>
  </si>
  <si>
    <t>Pediatric Surgery Physician Assistant Residency/Fellowship Program.</t>
  </si>
  <si>
    <t>Transplant Surgery Physician Assistant Residency/Fellowship Program.</t>
  </si>
  <si>
    <t>Urology Physician Assistant Residency/Fellowship Program.</t>
  </si>
  <si>
    <t>Physician Assistant Residency/Fellowship Program, Other.</t>
  </si>
  <si>
    <t>Health Professions Residency/Fellowship Programs, Other.</t>
  </si>
  <si>
    <t>MEDICAL RESIDENCY/FELLOWSHIP PROGRAMS.</t>
  </si>
  <si>
    <t>Combined Medical Residency/Fellowship Programs.</t>
  </si>
  <si>
    <t>Combined Medical Residency/Fellowship Program, General.</t>
  </si>
  <si>
    <t>Diagnostic Radiology/Nuclear Medicine Combined Specialty Program.</t>
  </si>
  <si>
    <t>Emergency Medicine/Anesthesiology Combined Specialty Program.</t>
  </si>
  <si>
    <t>Family Medicine/Emergency Medicine Combined Specialty Program.</t>
  </si>
  <si>
    <t>Family Medicine/Osteopathic Neuromusculoskeletal Medicine Combined Specialty Program.</t>
  </si>
  <si>
    <t>Family Medicine/Preventive Medicine Combined Specialty Program.</t>
  </si>
  <si>
    <t>Family Medicine/Psychiatry Combined Specialty Program.</t>
  </si>
  <si>
    <t>Internal Medicine/Anesthesiology Combined Specialty Program.</t>
  </si>
  <si>
    <t>Internal Medicine/Dermatology Combined Specialty Program.</t>
  </si>
  <si>
    <t>Internal Medicine/Emergency Medicine Combined Specialty Program.</t>
  </si>
  <si>
    <t>Internal Medicine/Emergency Medicine/Critical Care Medicine Combined Specialty Program.</t>
  </si>
  <si>
    <t>Internal Medicine/Family Medicine Combined Specialty Program.</t>
  </si>
  <si>
    <t>Internal Medicine/Medical Genetics and Genomics Combined Specialty Program.</t>
  </si>
  <si>
    <t>Internal Medicine/Neurology Combined Specialty Program.</t>
  </si>
  <si>
    <t>Internal Medicine/Pediatrics Combined Specialty Program.</t>
  </si>
  <si>
    <t>Internal Medicine/Preventive Medicine Combined Specialty Program.</t>
  </si>
  <si>
    <t>Internal Medicine/Psychiatry Combined Specialty Program.</t>
  </si>
  <si>
    <t>Medical Genetics and Genomics/Maternal-Fetal Medicine Combined Specialty Program.</t>
  </si>
  <si>
    <t>Pediatrics/Anesthesiology Combined Specialty Program.</t>
  </si>
  <si>
    <t>Pediatrics/Emergency Medicine Combined Specialty Program.</t>
  </si>
  <si>
    <t>Pediatrics/Medical Genetics and Genomics Combined Specialty Program.</t>
  </si>
  <si>
    <t>Pediatrics/Physical Medicine &amp; Rehabilitation Combined Specialty Program.</t>
  </si>
  <si>
    <t>Pediatrics/Psychology/Child-Adolescent Psychology Combined Specialty Program.</t>
  </si>
  <si>
    <t>Psychiatry/Neurology Combined Specialty Program.</t>
  </si>
  <si>
    <t>Reproductive Endocrinology and Infertility/Medical Genetics and Genomics Combined Specialty Program.</t>
  </si>
  <si>
    <t>Combined Medical Residency/Fellowship Program, Other.</t>
  </si>
  <si>
    <t>Multiple-Pathway Medical Fellowship Programs.</t>
  </si>
  <si>
    <t>Health Policy Fellowship Program.</t>
  </si>
  <si>
    <t>Integrative Medicine Fellowship Program.</t>
  </si>
  <si>
    <t>Medical Education Fellowship Program.</t>
  </si>
  <si>
    <t>Simulation Fellowship Program.</t>
  </si>
  <si>
    <t>Telemedicine Fellowship Program.</t>
  </si>
  <si>
    <t>Wilderness Medicine Fellowship Program.</t>
  </si>
  <si>
    <t>Women's Health Fellowship Program.</t>
  </si>
  <si>
    <t>Multiple-Pathway Medical Fellowship Programs, Other.</t>
  </si>
  <si>
    <t>Allergy and Immunology Residency/Fellowship Programs.</t>
  </si>
  <si>
    <t>Allergy and Immunology Residency/Fellowship Programs, Other.</t>
  </si>
  <si>
    <t>Anesthesiology Residency/Fellowship Programs.</t>
  </si>
  <si>
    <t>Anesthesiology Residency/Fellowship Programs, Other.</t>
  </si>
  <si>
    <t>Dermatology Residency/Fellowship Programs.</t>
  </si>
  <si>
    <t>Dermatology Residency/Fellowship Programs, Other.</t>
  </si>
  <si>
    <t>Emergency Medicine Residency/Fellowship Programs.</t>
  </si>
  <si>
    <t>Disaster Medicine Fellowship Program.</t>
  </si>
  <si>
    <t>Emergency Medical Services Fellowship Program.</t>
  </si>
  <si>
    <t>Emergency Medicine Residency/Fellowship Programs, Other.</t>
  </si>
  <si>
    <t>Family Medicine Residency/Fellowship Programs.</t>
  </si>
  <si>
    <t>Family Medicine Residency/Fellowship Programs, Other.</t>
  </si>
  <si>
    <t>Internal Medicine Residency/Fellowship Programs.</t>
  </si>
  <si>
    <t>Hematology-Oncology Fellowship Program.</t>
  </si>
  <si>
    <t>Internal Medicine Residency/Fellowship Programs, Other.</t>
  </si>
  <si>
    <t>Medical Genetics and Genomics Residency/Fellowship Programs.</t>
  </si>
  <si>
    <t>Laboratory Genetics and Genomics Residency Program.</t>
  </si>
  <si>
    <t>Medical Genetics and Genomics Residency/Fellowship Programs, Other.</t>
  </si>
  <si>
    <t>Neurological Surgery Residency/Fellowship Programs.</t>
  </si>
  <si>
    <t>Neurological Surgery Residency/Fellowship Programs, Other.</t>
  </si>
  <si>
    <t>Neurology Residency/Fellowship Programs.</t>
  </si>
  <si>
    <t>Epilepsy Fellowship Program.</t>
  </si>
  <si>
    <t>Headache Medicine Fellowship Program.</t>
  </si>
  <si>
    <t>Neurology Residency/Fellowship Programs, Other.</t>
  </si>
  <si>
    <t>Nuclear Medicine Residency/Fellowship Programs.</t>
  </si>
  <si>
    <t>Nuclear Medicine Residency/Fellowship Programs, Other.</t>
  </si>
  <si>
    <t>Obstetrics and Gynecology Residency/Fellowship Programs.</t>
  </si>
  <si>
    <t>Obstetrics and Gynecology Residency/Fellowship Programs, Other.</t>
  </si>
  <si>
    <t>Ophthalmology Residency/Fellowship Programs.</t>
  </si>
  <si>
    <t>Ophthalmology Residency/Fellowship Programs, Other.</t>
  </si>
  <si>
    <t>Orthopedic Surgery Residency/Fellowship Programs.</t>
  </si>
  <si>
    <t>Orthopedic Surgery Residency/Fellowship Programs, Other.</t>
  </si>
  <si>
    <t>Osteopathic Medicine Residency/Fellowship Programs.</t>
  </si>
  <si>
    <t>Osteopathic Neuromusculoskeletal Medicine Residency Program.</t>
  </si>
  <si>
    <t>Osteopathic Medicine Residency/Fellowship Programs, Other.</t>
  </si>
  <si>
    <t>Otolaryngology Residency/Fellowship Programs.</t>
  </si>
  <si>
    <t>Otolaryngology Residency/Fellowship Programs, Other.</t>
  </si>
  <si>
    <t>Pathology Residency/Fellowship Programs.</t>
  </si>
  <si>
    <t>Pathology Residency/Fellowship Programs, Other.</t>
  </si>
  <si>
    <t>Pediatrics Residency/Fellowship Programs.</t>
  </si>
  <si>
    <t>Pediatrics Residency/Fellowship Programs, Other.</t>
  </si>
  <si>
    <t>Physical Medicine and Rehabilitation Residency/Fellowship Programs.</t>
  </si>
  <si>
    <t>Physical Medicine and Rehabilitation Residency/Fellowship Programs, Other.</t>
  </si>
  <si>
    <t>Plastic Surgery Residency/Fellowship Programs.</t>
  </si>
  <si>
    <t>Plastic Surgery Residency/Fellowship Programs, Other.</t>
  </si>
  <si>
    <t>Podiatric Medicine and Surgery Residency Program.</t>
  </si>
  <si>
    <t>Podiatric Medicine Residency/Fellowship Programs, Other.</t>
  </si>
  <si>
    <t>Preventive Medicine Residency/Fellowship Programs.</t>
  </si>
  <si>
    <t>Preventive Medicine Residency/Fellowship Programs, Other.</t>
  </si>
  <si>
    <t>Psychiatry Residency/Fellowship Programs.</t>
  </si>
  <si>
    <t>Psychiatry Residency/Fellowship Programs, Other.</t>
  </si>
  <si>
    <t>Radiation Oncology Residency/Fellowship Programs.</t>
  </si>
  <si>
    <t>Radiation Oncology Residency/Fellowship Programs, Other.</t>
  </si>
  <si>
    <t>Radiology Residency/Fellowship Programs.</t>
  </si>
  <si>
    <t>Radiology Residency/Fellowship Programs, Other.</t>
  </si>
  <si>
    <t>Surgery Residency/Fellowship Programs.</t>
  </si>
  <si>
    <t>Complex General Surgical Oncology Fellowship Program.</t>
  </si>
  <si>
    <t>Surgery Residency/Fellowship Programs, Other.</t>
  </si>
  <si>
    <t>Urology Residency/Fellowship Programs.</t>
  </si>
  <si>
    <t>Urology Residency/Fellowship Programs, Other.</t>
  </si>
  <si>
    <t>Medical Residency/Fellowship Programs, Other.</t>
  </si>
  <si>
    <t>Current FDOE 10 Digit CIP Number</t>
  </si>
  <si>
    <t>2010 Federal 6 Digit CIP</t>
  </si>
  <si>
    <t>2020 Federal 6 Digit  CIP</t>
  </si>
  <si>
    <t xml:space="preserve">FDOE Suggested 2020 Federal 6 Digit CIP </t>
  </si>
  <si>
    <t>College CIP Review Instructions</t>
  </si>
  <si>
    <t>Background and Introduction:</t>
  </si>
  <si>
    <t>This review is for postsecondary programs only and the program information in this workbook is from data reported to FDOE for the year 2019-20. It has been compared to the current active program inventory for 2020-21. This comparison was performed for several reasons:</t>
  </si>
  <si>
    <t>Instructions</t>
  </si>
  <si>
    <r>
      <t xml:space="preserve">To start review begin with the tab labeled </t>
    </r>
    <r>
      <rPr>
        <b/>
        <i/>
        <sz val="11"/>
        <color theme="1"/>
        <rFont val="Calibri"/>
        <family val="2"/>
        <scheme val="minor"/>
      </rPr>
      <t>Master List</t>
    </r>
    <r>
      <rPr>
        <sz val="11"/>
        <color theme="1"/>
        <rFont val="Calibri"/>
        <family val="2"/>
        <scheme val="minor"/>
      </rPr>
      <t>.</t>
    </r>
  </si>
  <si>
    <r>
      <t>·</t>
    </r>
    <r>
      <rPr>
        <sz val="7"/>
        <color theme="1"/>
        <rFont val="Times New Roman"/>
        <family val="1"/>
      </rPr>
      <t xml:space="preserve">        </t>
    </r>
    <r>
      <rPr>
        <sz val="11"/>
        <color theme="1"/>
        <rFont val="Calibri"/>
        <family val="2"/>
        <scheme val="minor"/>
      </rPr>
      <t>This list is the current available 2020-2021 academic year statewide inventory of postsecondary programs available for the colleges (AS, AAS, ATD, CCC and CAR a.k.a. PSAV) and it provides the following information:</t>
    </r>
  </si>
  <si>
    <t>Next step is to find your college tab in the workbook. The workbook tabs are in numerical/alpha order.</t>
  </si>
  <si>
    <t>Click on your college tab to reveal your program list.</t>
  </si>
  <si>
    <t>When the tab opens you will see a list of all the postsecondary CTE programs the college reported enrollment and/or a completion for the 2019-20 reporting year.</t>
  </si>
  <si>
    <t>Review each program:</t>
  </si>
  <si>
    <r>
      <t>1.</t>
    </r>
    <r>
      <rPr>
        <sz val="7"/>
        <color theme="1"/>
        <rFont val="Times New Roman"/>
        <family val="1"/>
      </rPr>
      <t xml:space="preserve">      </t>
    </r>
    <r>
      <rPr>
        <sz val="11"/>
        <color theme="1"/>
        <rFont val="Calibri"/>
        <family val="2"/>
        <scheme val="minor"/>
      </rPr>
      <t>If a program has NA in Columns D, E, F, G and H that means that there wasn’t a current match for that program in the 2020-21 program inventory because that program is no longer available/reportable in 2020-21. These CIPs will not be updated. However:</t>
    </r>
  </si>
  <si>
    <r>
      <t>a.</t>
    </r>
    <r>
      <rPr>
        <sz val="7"/>
        <color theme="1"/>
        <rFont val="Times New Roman"/>
        <family val="1"/>
      </rPr>
      <t xml:space="preserve">      </t>
    </r>
    <r>
      <rPr>
        <sz val="11"/>
        <color theme="1"/>
        <rFont val="Calibri"/>
        <family val="2"/>
        <scheme val="minor"/>
      </rPr>
      <t xml:space="preserve">The college should make sure that the program is not in use for the 2020-21 reporting year </t>
    </r>
    <r>
      <rPr>
        <b/>
        <i/>
        <u/>
        <sz val="11"/>
        <color theme="1"/>
        <rFont val="Calibri"/>
        <family val="2"/>
        <scheme val="minor"/>
      </rPr>
      <t>and</t>
    </r>
  </si>
  <si>
    <r>
      <t>b.</t>
    </r>
    <r>
      <rPr>
        <sz val="7"/>
        <color theme="1"/>
        <rFont val="Times New Roman"/>
        <family val="1"/>
      </rPr>
      <t xml:space="preserve">      </t>
    </r>
    <r>
      <rPr>
        <sz val="11"/>
        <color theme="1"/>
        <rFont val="Calibri"/>
        <family val="2"/>
        <scheme val="minor"/>
      </rPr>
      <t>In column L note any comments you might have such as “The College is no longer offering this program in 2020-21 and has moved to the new replacement program.”</t>
    </r>
  </si>
  <si>
    <t>If the program record/line does not contain NA complete the following steps:</t>
  </si>
  <si>
    <r>
      <t>1.</t>
    </r>
    <r>
      <rPr>
        <sz val="7"/>
        <color theme="1"/>
        <rFont val="Times New Roman"/>
        <family val="1"/>
      </rPr>
      <t xml:space="preserve">      </t>
    </r>
    <r>
      <rPr>
        <sz val="11"/>
        <color theme="1"/>
        <rFont val="Calibri"/>
        <family val="2"/>
        <scheme val="minor"/>
      </rPr>
      <t>Look at the current 2010 Federal CIP (Column E) that is in use.</t>
    </r>
  </si>
  <si>
    <r>
      <t>a.</t>
    </r>
    <r>
      <rPr>
        <sz val="7"/>
        <color theme="1"/>
        <rFont val="Times New Roman"/>
        <family val="1"/>
      </rPr>
      <t xml:space="preserve">      </t>
    </r>
    <r>
      <rPr>
        <sz val="11"/>
        <color theme="1"/>
        <rFont val="Calibri"/>
        <family val="2"/>
        <scheme val="minor"/>
      </rPr>
      <t>Note* The 2010 Federal CIP is also the middle six digits of the 10 digit CIP (Column D).</t>
    </r>
  </si>
  <si>
    <r>
      <t>2.</t>
    </r>
    <r>
      <rPr>
        <sz val="7"/>
        <color theme="1"/>
        <rFont val="Times New Roman"/>
        <family val="1"/>
      </rPr>
      <t xml:space="preserve">      </t>
    </r>
    <r>
      <rPr>
        <sz val="11"/>
        <color theme="1"/>
        <rFont val="Calibri"/>
        <family val="2"/>
        <scheme val="minor"/>
      </rPr>
      <t>Next look at the 2020 Federal CIP (Column F). This is the CIP that the Feds suggest we use.</t>
    </r>
  </si>
  <si>
    <r>
      <t>3.</t>
    </r>
    <r>
      <rPr>
        <sz val="7"/>
        <color theme="1"/>
        <rFont val="Times New Roman"/>
        <family val="1"/>
      </rPr>
      <t xml:space="preserve">      </t>
    </r>
    <r>
      <rPr>
        <sz val="11"/>
        <color theme="1"/>
        <rFont val="Calibri"/>
        <family val="2"/>
        <scheme val="minor"/>
      </rPr>
      <t>Then review the FDOE Recommended Federal CIP (Column G). In most cases the FDOE recommended CIP is the same as the 2020 CIP suggested by the federal NCES crosswalk. However, this is also where the two may differ because it was determined that a different 2020 Federal CIP was better aligned to the program and the Department is recommending a different 2020 federal CIP number.</t>
    </r>
  </si>
  <si>
    <r>
      <t>4.</t>
    </r>
    <r>
      <rPr>
        <sz val="7"/>
        <color theme="1"/>
        <rFont val="Times New Roman"/>
        <family val="1"/>
      </rPr>
      <t xml:space="preserve">      </t>
    </r>
    <r>
      <rPr>
        <sz val="11"/>
        <color theme="1"/>
        <rFont val="Calibri"/>
        <family val="2"/>
        <scheme val="minor"/>
      </rPr>
      <t>Review the corresponding 2020 Federal CIP Title in Column H.</t>
    </r>
  </si>
  <si>
    <t>.</t>
  </si>
  <si>
    <r>
      <t>7.</t>
    </r>
    <r>
      <rPr>
        <sz val="7"/>
        <color theme="1"/>
        <rFont val="Times New Roman"/>
        <family val="1"/>
      </rPr>
      <t xml:space="preserve">      </t>
    </r>
    <r>
      <rPr>
        <sz val="11"/>
        <color theme="1"/>
        <rFont val="Calibri"/>
        <family val="2"/>
        <scheme val="minor"/>
      </rPr>
      <t>In Column I you will indicate if you agree or disagree with the FDOE recommended Federal CIP by making the selection using the drop down list (You will see the drop down arrow when you click in the cell).</t>
    </r>
  </si>
  <si>
    <r>
      <t>8.</t>
    </r>
    <r>
      <rPr>
        <sz val="7"/>
        <color theme="1"/>
        <rFont val="Times New Roman"/>
        <family val="1"/>
      </rPr>
      <t xml:space="preserve">      </t>
    </r>
    <r>
      <rPr>
        <sz val="11"/>
        <color theme="1"/>
        <rFont val="Calibri"/>
        <family val="2"/>
        <scheme val="minor"/>
      </rPr>
      <t xml:space="preserve">If you selected disagree in Column I, then enter your suggested 2020 CIP recommendation in Column J. </t>
    </r>
    <r>
      <rPr>
        <b/>
        <sz val="11"/>
        <color theme="1"/>
        <rFont val="Calibri"/>
        <family val="2"/>
        <scheme val="minor"/>
      </rPr>
      <t>It must be a valid CIP from the 2010-2020 NCES CIP Crosswalk</t>
    </r>
    <r>
      <rPr>
        <sz val="11"/>
        <color theme="1"/>
        <rFont val="Calibri"/>
        <family val="2"/>
        <scheme val="minor"/>
      </rPr>
      <t xml:space="preserve"> that can be found using the link provided in step 5 or the tab 2010-2020 NCES FederalCrosswalk in the workbook.</t>
    </r>
  </si>
  <si>
    <r>
      <t>9.</t>
    </r>
    <r>
      <rPr>
        <sz val="7"/>
        <color theme="1"/>
        <rFont val="Times New Roman"/>
        <family val="1"/>
      </rPr>
      <t xml:space="preserve">      </t>
    </r>
    <r>
      <rPr>
        <sz val="11"/>
        <color theme="1"/>
        <rFont val="Calibri"/>
        <family val="2"/>
        <scheme val="minor"/>
      </rPr>
      <t>In Column K provide your reason for your disagreement and brief rationale for your recommendation.</t>
    </r>
  </si>
  <si>
    <r>
      <t>a.</t>
    </r>
    <r>
      <rPr>
        <sz val="7"/>
        <color theme="1"/>
        <rFont val="Times New Roman"/>
        <family val="1"/>
      </rPr>
      <t xml:space="preserve">      </t>
    </r>
    <r>
      <rPr>
        <sz val="11"/>
        <color theme="1"/>
        <rFont val="Calibri"/>
        <family val="2"/>
        <scheme val="minor"/>
      </rPr>
      <t>Find the program on the on the “Master List” tab and then enter the corresponding program information at the end of the list provided on your college tab. You will enter this corresponding information at the bottom of your list in the first available blank row.</t>
    </r>
  </si>
  <si>
    <r>
      <t>b.</t>
    </r>
    <r>
      <rPr>
        <sz val="7"/>
        <color theme="1"/>
        <rFont val="Times New Roman"/>
        <family val="1"/>
      </rPr>
      <t xml:space="preserve">      </t>
    </r>
    <r>
      <rPr>
        <sz val="11"/>
        <color theme="1"/>
        <rFont val="Calibri"/>
        <family val="2"/>
        <scheme val="minor"/>
      </rPr>
      <t>In Column L indicate if it was new for 2020-21 or will be new/proposed for 2021-22.</t>
    </r>
  </si>
  <si>
    <t xml:space="preserve">o Career Cluster (column A)
o FDOE Program Title (column B)
o Program Type (column C)
o Current FDOE 10 Digit CIP Number  (column D)
o 2010 Federal 6 Digit CIP (column E)
o 2020 Federal 6 Digit CIP(column F)
o FDOE Suggested 2020 Federal 6 Digit CIP (column G)
o 2020 Federal CIP Title (**NOTE** This is NOT the program title) (column H)
o Postsecondary Program Number  (column I)
o Teach Out Program Status Indicator (column J)
o Year Daggered Indicator (column K)
</t>
  </si>
  <si>
    <t xml:space="preserve">When you are done with the review please email the workbook, with your completed tab, back to:  christine.walsh@fldoe.org </t>
  </si>
  <si>
    <t xml:space="preserve">      </t>
  </si>
  <si>
    <r>
      <t>5.</t>
    </r>
    <r>
      <rPr>
        <sz val="7"/>
        <color theme="1"/>
        <rFont val="Times New Roman"/>
        <family val="1"/>
      </rPr>
      <t xml:space="preserve">      </t>
    </r>
    <r>
      <rPr>
        <sz val="11"/>
        <color theme="1"/>
        <rFont val="Calibri"/>
        <family val="2"/>
        <scheme val="minor"/>
      </rPr>
      <t>The tab 2010-2020 NCES FederalCrosswalk is provided for your reference. However, you are welcome to review the detailed CIP information can be found at the following link https://nces.ed.gov/ipeds/cipcode/Default.aspx?y=56 . Once on this page click the blue word resources.</t>
    </r>
  </si>
  <si>
    <r>
      <t>10.</t>
    </r>
    <r>
      <rPr>
        <sz val="7"/>
        <color theme="1"/>
        <rFont val="Times New Roman"/>
        <family val="1"/>
      </rPr>
      <t xml:space="preserve">      </t>
    </r>
    <r>
      <rPr>
        <sz val="11"/>
        <color theme="1"/>
        <rFont val="Calibri"/>
        <family val="2"/>
        <scheme val="minor"/>
      </rPr>
      <t>Column L is available for the institution to provide any comments or feedback to the Department regarding the program.</t>
    </r>
  </si>
  <si>
    <r>
      <t>11.</t>
    </r>
    <r>
      <rPr>
        <sz val="7"/>
        <color theme="1"/>
        <rFont val="Times New Roman"/>
        <family val="1"/>
      </rPr>
      <t xml:space="preserve">      </t>
    </r>
    <r>
      <rPr>
        <sz val="11"/>
        <color theme="1"/>
        <rFont val="Calibri"/>
        <family val="2"/>
        <scheme val="minor"/>
      </rPr>
      <t>If you are offering a new program this year (2020-21 academic year) or are going to be adding a program in 2021-22 and would like to add the program to your list:</t>
    </r>
  </si>
  <si>
    <t>6.   Then click View Crosswalk 2010-2020.</t>
  </si>
  <si>
    <r>
      <t>·</t>
    </r>
    <r>
      <rPr>
        <sz val="11"/>
        <color theme="1"/>
        <rFont val="Times New Roman"/>
        <family val="1"/>
      </rPr>
      <t xml:space="preserve">       </t>
    </r>
    <r>
      <rPr>
        <sz val="11"/>
        <color theme="1"/>
        <rFont val="Calibri"/>
        <family val="2"/>
        <scheme val="minor"/>
      </rPr>
      <t>To identify programs being used in 2019-20 that are no longer valid in 2020-21; and</t>
    </r>
  </si>
  <si>
    <r>
      <t>·</t>
    </r>
    <r>
      <rPr>
        <sz val="11"/>
        <color theme="1"/>
        <rFont val="Times New Roman"/>
        <family val="1"/>
      </rPr>
      <t xml:space="preserve">       </t>
    </r>
    <r>
      <rPr>
        <sz val="11"/>
        <color theme="1"/>
        <rFont val="Calibri"/>
        <family val="2"/>
        <scheme val="minor"/>
      </rPr>
      <t>To review the 2020-21 program inventory and their associated CIPs and identify any potential changes that need to be made to align them with the new 2020 Federal 6-Digit CIPs</t>
    </r>
  </si>
  <si>
    <t>Please note that Teach Out and Year Daggered indicators in columns J and K have been included for reference purposes only. Those CIP numbers are being reviewed internally and not subject to this external stakeholder review.  However, please note that if a program is in teach out status, colleges should not be enrolling new students or be considering the addition of the teach out program to their local catalog offering. In addition, CIP codes associated with registered apprenticeship, preapprenticeship and the applied technology certificate (ATC) programs are not subject to this external stakeholder review.  Those CIP codes will be aligned with complimentary postsecondary programs that train for like occupations by the Department.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</si>
</sst>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14" x14ac:knownFonts="1">
    <font>
      <sz val="11"/>
      <color theme="1"/>
      <name val="Calibri"/>
      <family val="2"/>
      <scheme val="minor"/>
    </font>
    <font>
      <b/>
      <sz val="11"/>
      <color theme="0"/>
      <name val="Calibri"/>
      <family val="2"/>
      <scheme val="minor"/>
    </font>
    <font>
      <b/>
      <sz val="11"/>
      <color rgb="FF000000"/>
      <name val="Calibri"/>
      <family val="2"/>
    </font>
    <font>
      <sz val="11"/>
      <name val="Calibri"/>
      <family val="2"/>
      <scheme val="minor"/>
    </font>
    <font>
      <sz val="11"/>
      <color rgb="FF000000"/>
      <name val="Calibri"/>
      <family val="2"/>
    </font>
    <font>
      <b/>
      <sz val="11"/>
      <color theme="1"/>
      <name val="Calibri"/>
      <family val="2"/>
      <scheme val="minor"/>
    </font>
    <font>
      <b/>
      <sz val="11"/>
      <color rgb="FFFF0000"/>
      <name val="Calibri"/>
      <family val="2"/>
    </font>
    <font>
      <sz val="11"/>
      <color theme="1"/>
      <name val="Calibri"/>
      <family val="2"/>
    </font>
    <font>
      <sz val="7"/>
      <color theme="1"/>
      <name val="Times New Roman"/>
      <family val="1"/>
    </font>
    <font>
      <b/>
      <i/>
      <sz val="11"/>
      <color theme="1"/>
      <name val="Calibri"/>
      <family val="2"/>
      <scheme val="minor"/>
    </font>
    <font>
      <sz val="11"/>
      <color theme="1"/>
      <name val="Symbol"/>
      <family val="1"/>
      <charset val="2"/>
    </font>
    <font>
      <b/>
      <i/>
      <u/>
      <sz val="11"/>
      <color theme="1"/>
      <name val="Calibri"/>
      <family val="2"/>
      <scheme val="minor"/>
    </font>
    <font>
      <u/>
      <sz val="11"/>
      <color theme="10"/>
      <name val="Calibri"/>
      <family val="2"/>
      <scheme val="minor"/>
    </font>
    <font>
      <sz val="11"/>
      <color theme="1"/>
      <name val="Times New Roman"/>
      <family val="1"/>
    </font>
  </fonts>
  <fills count="13">
    <fill>
      <patternFill patternType="none"/>
    </fill>
    <fill>
      <patternFill patternType="gray125"/>
    </fill>
    <fill>
      <patternFill patternType="solid">
        <fgColor rgb="FFCAC4A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C0C0C0"/>
        <bgColor rgb="FFC0C0C0"/>
      </patternFill>
    </fill>
    <fill>
      <patternFill patternType="solid">
        <fgColor rgb="FFDDEBF7"/>
        <bgColor rgb="FFC0C0C0"/>
      </patternFill>
    </fill>
    <fill>
      <patternFill patternType="solid">
        <fgColor rgb="FFEDEDED"/>
        <bgColor rgb="FFC0C0C0"/>
      </patternFill>
    </fill>
    <fill>
      <patternFill patternType="solid">
        <fgColor theme="9" tint="0.79998168889431442"/>
        <bgColor rgb="FFC0C0C0"/>
      </patternFill>
    </fill>
    <fill>
      <patternFill patternType="solid">
        <fgColor theme="2"/>
        <bgColor rgb="FFC0C0C0"/>
      </patternFill>
    </fill>
    <fill>
      <patternFill patternType="solid">
        <fgColor theme="7" tint="0.5999938962981048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style="thin">
        <color theme="0" tint="-0.34998626667073579"/>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cellStyleXfs>
  <cellXfs count="110">
    <xf numFmtId="0" fontId="0" fillId="0" borderId="0" xfId="0"/>
    <xf numFmtId="0" fontId="2" fillId="7" borderId="7" xfId="0" applyFont="1" applyFill="1" applyBorder="1" applyAlignment="1" applyProtection="1">
      <alignment horizontal="center" vertical="center"/>
    </xf>
    <xf numFmtId="0" fontId="2" fillId="7" borderId="7" xfId="0" applyFont="1" applyFill="1" applyBorder="1" applyAlignment="1" applyProtection="1">
      <alignment horizontal="center" vertical="center" wrapText="1"/>
    </xf>
    <xf numFmtId="0" fontId="2" fillId="7" borderId="7" xfId="0" applyFont="1" applyFill="1" applyBorder="1" applyAlignment="1" applyProtection="1">
      <alignment horizontal="left" vertical="center" wrapText="1"/>
    </xf>
    <xf numFmtId="0" fontId="2" fillId="2" borderId="9" xfId="0" applyFont="1" applyFill="1" applyBorder="1" applyAlignment="1">
      <alignment horizontal="center" wrapText="1"/>
    </xf>
    <xf numFmtId="164" fontId="2" fillId="2" borderId="8" xfId="0" applyNumberFormat="1" applyFont="1" applyFill="1" applyBorder="1" applyAlignment="1">
      <alignment horizontal="center" vertical="center" wrapText="1"/>
    </xf>
    <xf numFmtId="164" fontId="0" fillId="0" borderId="0" xfId="0" applyNumberFormat="1" applyAlignment="1">
      <alignment horizontal="center" vertical="center"/>
    </xf>
    <xf numFmtId="0" fontId="2" fillId="2" borderId="9" xfId="0"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0" fontId="0" fillId="0" borderId="0" xfId="0" applyAlignment="1">
      <alignment horizontal="center" vertical="center"/>
    </xf>
    <xf numFmtId="0" fontId="2" fillId="8" borderId="7"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165" fontId="2" fillId="10" borderId="7" xfId="0" applyNumberFormat="1"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11" borderId="7" xfId="0" applyFont="1" applyFill="1" applyBorder="1" applyAlignment="1" applyProtection="1">
      <alignment horizontal="center" vertical="center" wrapText="1"/>
    </xf>
    <xf numFmtId="49" fontId="2" fillId="12" borderId="4" xfId="0" applyNumberFormat="1" applyFont="1" applyFill="1" applyBorder="1" applyAlignment="1" applyProtection="1">
      <alignment horizontal="center" vertical="center" wrapText="1"/>
    </xf>
    <xf numFmtId="164" fontId="5" fillId="0" borderId="0" xfId="0" applyNumberFormat="1" applyFont="1" applyAlignment="1">
      <alignment horizontal="center" vertical="center"/>
    </xf>
    <xf numFmtId="0" fontId="0" fillId="0" borderId="0" xfId="0" applyProtection="1">
      <protection locked="0"/>
    </xf>
    <xf numFmtId="0" fontId="3" fillId="0" borderId="4" xfId="0" applyFont="1" applyBorder="1" applyAlignment="1" applyProtection="1">
      <alignment wrapText="1"/>
      <protection locked="0"/>
    </xf>
    <xf numFmtId="0" fontId="4" fillId="0" borderId="4" xfId="0" applyFont="1" applyFill="1" applyBorder="1" applyAlignment="1" applyProtection="1">
      <alignment vertical="center" wrapText="1"/>
      <protection locked="0"/>
    </xf>
    <xf numFmtId="0" fontId="3" fillId="0" borderId="4" xfId="0" applyFont="1" applyBorder="1" applyProtection="1">
      <protection locked="0"/>
    </xf>
    <xf numFmtId="0" fontId="0" fillId="0" borderId="4" xfId="0" applyBorder="1" applyProtection="1">
      <protection locked="0"/>
    </xf>
    <xf numFmtId="0" fontId="0" fillId="0" borderId="4" xfId="0" applyBorder="1" applyAlignment="1" applyProtection="1">
      <alignment wrapText="1"/>
      <protection locked="0"/>
    </xf>
    <xf numFmtId="0" fontId="0" fillId="0" borderId="0" xfId="0" applyAlignment="1" applyProtection="1">
      <alignment horizontal="center"/>
      <protection locked="0"/>
    </xf>
    <xf numFmtId="0" fontId="0" fillId="0" borderId="0" xfId="0" applyNumberFormat="1" applyAlignment="1" applyProtection="1">
      <alignment horizontal="center"/>
      <protection locked="0"/>
    </xf>
    <xf numFmtId="0" fontId="0" fillId="0" borderId="0" xfId="0" applyNumberFormat="1" applyProtection="1">
      <protection locked="0"/>
    </xf>
    <xf numFmtId="0" fontId="0" fillId="0" borderId="0" xfId="0" applyAlignment="1" applyProtection="1">
      <alignment wrapText="1"/>
      <protection locked="0"/>
    </xf>
    <xf numFmtId="0" fontId="0" fillId="0" borderId="0" xfId="0" applyProtection="1"/>
    <xf numFmtId="49" fontId="2" fillId="2" borderId="4" xfId="0" applyNumberFormat="1" applyFont="1" applyFill="1" applyBorder="1" applyAlignment="1" applyProtection="1">
      <alignment horizontal="center" vertical="center" wrapText="1"/>
    </xf>
    <xf numFmtId="0" fontId="2" fillId="3" borderId="4" xfId="0" applyNumberFormat="1" applyFont="1" applyFill="1" applyBorder="1" applyAlignment="1" applyProtection="1">
      <alignment horizontal="center" vertical="center" wrapText="1"/>
    </xf>
    <xf numFmtId="0" fontId="2" fillId="6" borderId="4" xfId="0" applyNumberFormat="1" applyFont="1" applyFill="1" applyBorder="1" applyAlignment="1" applyProtection="1">
      <alignment horizontal="center" vertical="center" wrapText="1"/>
    </xf>
    <xf numFmtId="0" fontId="2" fillId="4" borderId="4"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164" fontId="3" fillId="0" borderId="4" xfId="0" applyNumberFormat="1" applyFont="1" applyBorder="1" applyAlignment="1" applyProtection="1">
      <alignment horizontal="center"/>
    </xf>
    <xf numFmtId="0" fontId="3" fillId="0" borderId="4" xfId="0" applyFont="1" applyBorder="1" applyAlignment="1" applyProtection="1">
      <alignment wrapText="1"/>
    </xf>
    <xf numFmtId="49" fontId="3" fillId="0" borderId="4" xfId="0" applyNumberFormat="1" applyFont="1" applyBorder="1" applyAlignment="1" applyProtection="1">
      <alignment horizontal="center"/>
    </xf>
    <xf numFmtId="0" fontId="3" fillId="3" borderId="4" xfId="0" applyNumberFormat="1" applyFont="1" applyFill="1" applyBorder="1" applyAlignment="1" applyProtection="1">
      <alignment horizontal="center"/>
      <protection hidden="1"/>
    </xf>
    <xf numFmtId="0" fontId="3" fillId="6" borderId="4" xfId="0" applyNumberFormat="1" applyFont="1" applyFill="1" applyBorder="1" applyAlignment="1" applyProtection="1">
      <alignment horizontal="center"/>
      <protection hidden="1"/>
    </xf>
    <xf numFmtId="0" fontId="3" fillId="4" borderId="4" xfId="0" applyNumberFormat="1" applyFont="1" applyFill="1" applyBorder="1" applyAlignment="1" applyProtection="1">
      <alignment horizontal="left"/>
      <protection hidden="1"/>
    </xf>
    <xf numFmtId="0" fontId="3" fillId="0" borderId="4" xfId="0" applyNumberFormat="1" applyFont="1" applyBorder="1" applyAlignment="1" applyProtection="1">
      <alignment horizontal="left"/>
      <protection hidden="1"/>
    </xf>
    <xf numFmtId="0" fontId="0" fillId="0" borderId="10" xfId="0" applyBorder="1" applyProtection="1">
      <protection locked="0"/>
    </xf>
    <xf numFmtId="0" fontId="0" fillId="0" borderId="10" xfId="0" applyBorder="1" applyAlignment="1" applyProtection="1">
      <alignment horizontal="center"/>
      <protection locked="0"/>
    </xf>
    <xf numFmtId="0" fontId="0" fillId="0" borderId="10" xfId="0" applyNumberFormat="1" applyBorder="1" applyAlignment="1" applyProtection="1">
      <alignment horizontal="center"/>
      <protection locked="0"/>
    </xf>
    <xf numFmtId="0" fontId="0" fillId="0" borderId="10" xfId="0" applyNumberFormat="1" applyBorder="1" applyProtection="1">
      <protection locked="0"/>
    </xf>
    <xf numFmtId="0" fontId="0" fillId="0" borderId="10" xfId="0" applyBorder="1" applyAlignment="1" applyProtection="1">
      <alignment wrapText="1"/>
      <protection locked="0"/>
    </xf>
    <xf numFmtId="0" fontId="0" fillId="0" borderId="0" xfId="0" applyBorder="1" applyProtection="1">
      <protection locked="0"/>
    </xf>
    <xf numFmtId="0" fontId="0" fillId="0" borderId="0" xfId="0" applyBorder="1" applyAlignment="1" applyProtection="1">
      <alignment horizontal="center"/>
      <protection locked="0"/>
    </xf>
    <xf numFmtId="0" fontId="0" fillId="0" borderId="0" xfId="0" applyNumberFormat="1" applyBorder="1" applyAlignment="1" applyProtection="1">
      <alignment horizontal="center"/>
      <protection locked="0"/>
    </xf>
    <xf numFmtId="0" fontId="0" fillId="0" borderId="0" xfId="0" applyNumberFormat="1" applyBorder="1" applyProtection="1">
      <protection locked="0"/>
    </xf>
    <xf numFmtId="0" fontId="0" fillId="0" borderId="0" xfId="0" applyBorder="1" applyAlignment="1" applyProtection="1">
      <alignment wrapText="1"/>
      <protection locked="0"/>
    </xf>
    <xf numFmtId="0" fontId="2" fillId="2" borderId="4" xfId="0" applyNumberFormat="1" applyFont="1" applyFill="1" applyBorder="1" applyAlignment="1" applyProtection="1">
      <alignment horizontal="center" vertical="center" wrapText="1"/>
    </xf>
    <xf numFmtId="49" fontId="3" fillId="0" borderId="4" xfId="0" applyNumberFormat="1" applyFont="1" applyBorder="1" applyProtection="1"/>
    <xf numFmtId="0" fontId="3" fillId="3" borderId="4" xfId="0" applyNumberFormat="1" applyFont="1" applyFill="1" applyBorder="1" applyAlignment="1" applyProtection="1">
      <alignment horizontal="left"/>
      <protection hidden="1"/>
    </xf>
    <xf numFmtId="0" fontId="3" fillId="6" borderId="4" xfId="0" applyNumberFormat="1" applyFont="1" applyFill="1" applyBorder="1" applyAlignment="1" applyProtection="1">
      <alignment horizontal="left"/>
      <protection hidden="1"/>
    </xf>
    <xf numFmtId="165" fontId="0" fillId="0" borderId="0" xfId="0" applyNumberFormat="1" applyProtection="1">
      <protection locked="0"/>
    </xf>
    <xf numFmtId="165" fontId="0" fillId="0" borderId="10" xfId="0" applyNumberFormat="1" applyBorder="1" applyProtection="1">
      <protection locked="0"/>
    </xf>
    <xf numFmtId="165" fontId="0" fillId="0" borderId="0" xfId="0" applyNumberFormat="1" applyBorder="1" applyProtection="1">
      <protection locked="0"/>
    </xf>
    <xf numFmtId="165" fontId="2" fillId="4" borderId="4" xfId="0" applyNumberFormat="1" applyFont="1" applyFill="1" applyBorder="1" applyAlignment="1" applyProtection="1">
      <alignment horizontal="center" vertical="center" wrapText="1"/>
    </xf>
    <xf numFmtId="165" fontId="3" fillId="4" borderId="4" xfId="0" applyNumberFormat="1" applyFont="1" applyFill="1" applyBorder="1" applyAlignment="1" applyProtection="1">
      <alignment horizontal="left"/>
      <protection hidden="1"/>
    </xf>
    <xf numFmtId="165" fontId="2" fillId="3" borderId="4" xfId="0" applyNumberFormat="1" applyFont="1" applyFill="1" applyBorder="1" applyAlignment="1" applyProtection="1">
      <alignment horizontal="center" vertical="center" wrapText="1"/>
    </xf>
    <xf numFmtId="165" fontId="2" fillId="6" borderId="4" xfId="0" applyNumberFormat="1" applyFont="1" applyFill="1" applyBorder="1" applyAlignment="1" applyProtection="1">
      <alignment horizontal="center" vertical="center" wrapText="1"/>
    </xf>
    <xf numFmtId="165" fontId="3" fillId="3" borderId="4" xfId="0" applyNumberFormat="1" applyFont="1" applyFill="1" applyBorder="1" applyAlignment="1" applyProtection="1">
      <alignment horizontal="left"/>
      <protection hidden="1"/>
    </xf>
    <xf numFmtId="165" fontId="3" fillId="6" borderId="4" xfId="0" applyNumberFormat="1" applyFont="1" applyFill="1" applyBorder="1" applyAlignment="1" applyProtection="1">
      <alignment horizontal="left"/>
      <protection hidden="1"/>
    </xf>
    <xf numFmtId="0" fontId="0" fillId="0" borderId="0" xfId="0" applyAlignment="1" applyProtection="1">
      <alignment horizontal="center" vertical="center" wrapText="1"/>
    </xf>
    <xf numFmtId="0" fontId="0" fillId="0" borderId="0" xfId="0" applyAlignment="1" applyProtection="1">
      <alignment wrapText="1"/>
    </xf>
    <xf numFmtId="0" fontId="0" fillId="0" borderId="0" xfId="0" applyProtection="1">
      <protection hidden="1"/>
    </xf>
    <xf numFmtId="0" fontId="0" fillId="0" borderId="0" xfId="0" applyNumberFormat="1" applyAlignment="1" applyProtection="1">
      <alignment horizontal="center" vertical="center" wrapText="1"/>
    </xf>
    <xf numFmtId="0" fontId="0" fillId="0" borderId="0" xfId="0" applyNumberFormat="1" applyAlignment="1" applyProtection="1">
      <alignment vertical="center"/>
    </xf>
    <xf numFmtId="0" fontId="10" fillId="0" borderId="0" xfId="0" applyNumberFormat="1" applyFont="1" applyAlignment="1" applyProtection="1">
      <alignment horizontal="left" vertical="center" wrapText="1" indent="5"/>
    </xf>
    <xf numFmtId="0" fontId="0" fillId="0" borderId="0" xfId="0" applyNumberFormat="1" applyAlignment="1" applyProtection="1">
      <alignment horizontal="left" wrapText="1" indent="8"/>
    </xf>
    <xf numFmtId="0" fontId="0" fillId="0" borderId="0" xfId="0" applyNumberFormat="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Alignment="1" applyProtection="1">
      <alignment horizontal="left" vertical="center" wrapText="1"/>
    </xf>
    <xf numFmtId="0" fontId="0" fillId="0" borderId="0" xfId="0" applyAlignment="1" applyProtection="1">
      <alignment horizontal="left" vertical="center" wrapText="1" indent="3"/>
    </xf>
    <xf numFmtId="0" fontId="8" fillId="0" borderId="0" xfId="0" applyFont="1" applyAlignment="1" applyProtection="1">
      <alignment horizontal="left" vertical="center" indent="5"/>
    </xf>
    <xf numFmtId="0" fontId="0" fillId="0" borderId="0" xfId="0" applyAlignment="1" applyProtection="1">
      <alignment horizontal="left" vertical="center"/>
    </xf>
    <xf numFmtId="0" fontId="12" fillId="0" borderId="0" xfId="1" applyAlignment="1" applyProtection="1">
      <alignment vertical="center" wrapText="1"/>
    </xf>
    <xf numFmtId="0" fontId="0" fillId="0" borderId="0" xfId="0" applyNumberFormat="1" applyAlignment="1" applyProtection="1">
      <alignment wrapText="1"/>
    </xf>
    <xf numFmtId="0" fontId="7" fillId="0" borderId="0" xfId="0" applyFont="1" applyFill="1" applyBorder="1" applyProtection="1"/>
    <xf numFmtId="0" fontId="0" fillId="0" borderId="0" xfId="0" applyAlignment="1" applyProtection="1">
      <alignment horizontal="center"/>
    </xf>
    <xf numFmtId="165" fontId="0" fillId="0" borderId="0" xfId="0" applyNumberFormat="1" applyAlignment="1" applyProtection="1">
      <alignment horizontal="center"/>
    </xf>
    <xf numFmtId="0" fontId="0" fillId="0" borderId="0" xfId="0" applyAlignment="1" applyProtection="1">
      <alignment horizontal="left"/>
    </xf>
    <xf numFmtId="0" fontId="0" fillId="0" borderId="0" xfId="0" applyAlignment="1" applyProtection="1">
      <alignment horizontal="left" vertical="center" wrapText="1" indent="2"/>
    </xf>
    <xf numFmtId="0" fontId="0" fillId="0" borderId="7" xfId="0" applyBorder="1" applyProtection="1"/>
    <xf numFmtId="0" fontId="0" fillId="0" borderId="7" xfId="0" applyBorder="1" applyAlignment="1" applyProtection="1">
      <alignment horizontal="center"/>
    </xf>
    <xf numFmtId="49" fontId="0" fillId="0" borderId="7" xfId="0" applyNumberFormat="1" applyBorder="1" applyAlignment="1" applyProtection="1">
      <alignment horizontal="left"/>
    </xf>
    <xf numFmtId="0" fontId="0" fillId="3" borderId="7" xfId="0" applyFill="1" applyBorder="1" applyAlignment="1" applyProtection="1">
      <alignment horizontal="center"/>
    </xf>
    <xf numFmtId="0" fontId="0" fillId="6" borderId="7" xfId="0" applyFill="1" applyBorder="1" applyAlignment="1" applyProtection="1">
      <alignment horizontal="center"/>
    </xf>
    <xf numFmtId="165" fontId="0" fillId="4" borderId="7" xfId="0" applyNumberFormat="1" applyFill="1" applyBorder="1" applyAlignment="1" applyProtection="1">
      <alignment horizontal="center"/>
    </xf>
    <xf numFmtId="165" fontId="0" fillId="3" borderId="7" xfId="0" applyNumberFormat="1" applyFill="1" applyBorder="1" applyAlignment="1" applyProtection="1">
      <alignment horizontal="center"/>
    </xf>
    <xf numFmtId="0" fontId="0" fillId="4" borderId="7" xfId="0" applyFill="1" applyBorder="1" applyAlignment="1" applyProtection="1">
      <alignment horizontal="center"/>
    </xf>
    <xf numFmtId="0" fontId="0" fillId="0" borderId="0" xfId="0" applyNumberFormat="1" applyFont="1" applyAlignment="1" applyProtection="1">
      <alignment vertical="center" wrapText="1"/>
    </xf>
    <xf numFmtId="0" fontId="0" fillId="0" borderId="0" xfId="0" applyNumberFormat="1" applyFont="1" applyAlignment="1" applyProtection="1">
      <alignment wrapText="1"/>
    </xf>
    <xf numFmtId="0" fontId="10" fillId="0" borderId="0" xfId="0" applyNumberFormat="1" applyFont="1" applyAlignment="1" applyProtection="1">
      <alignment horizontal="left" vertical="center" indent="5"/>
    </xf>
    <xf numFmtId="49" fontId="0" fillId="0" borderId="4" xfId="0" applyNumberFormat="1" applyBorder="1" applyAlignment="1" applyProtection="1">
      <alignment horizontal="center"/>
    </xf>
    <xf numFmtId="49" fontId="2" fillId="2" borderId="4" xfId="0" applyNumberFormat="1" applyFont="1" applyFill="1" applyBorder="1" applyAlignment="1" applyProtection="1">
      <alignment horizontal="left" vertical="center" wrapText="1"/>
    </xf>
    <xf numFmtId="49" fontId="5" fillId="12" borderId="4" xfId="0" applyNumberFormat="1" applyFont="1" applyFill="1" applyBorder="1" applyAlignment="1" applyProtection="1">
      <alignment horizontal="center" vertical="center" wrapText="1"/>
    </xf>
    <xf numFmtId="49" fontId="1" fillId="12" borderId="4" xfId="0" applyNumberFormat="1"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2" fillId="2" borderId="4" xfId="0" applyNumberFormat="1" applyFont="1" applyFill="1" applyBorder="1" applyAlignment="1" applyProtection="1">
      <alignment horizontal="left" vertical="center" wrapText="1"/>
    </xf>
    <xf numFmtId="49" fontId="0" fillId="0" borderId="1" xfId="0" applyNumberFormat="1" applyBorder="1" applyAlignment="1" applyProtection="1">
      <alignment horizontal="center"/>
    </xf>
    <xf numFmtId="49" fontId="0" fillId="0" borderId="2" xfId="0" applyNumberFormat="1" applyBorder="1" applyAlignment="1" applyProtection="1">
      <alignment horizontal="center"/>
    </xf>
    <xf numFmtId="49" fontId="0" fillId="0" borderId="3" xfId="0" applyNumberFormat="1" applyBorder="1" applyAlignment="1" applyProtection="1">
      <alignment horizontal="center"/>
    </xf>
    <xf numFmtId="49" fontId="2" fillId="2" borderId="1"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49" fontId="5" fillId="12" borderId="5" xfId="0" applyNumberFormat="1" applyFont="1" applyFill="1" applyBorder="1" applyAlignment="1" applyProtection="1">
      <alignment horizontal="center" vertical="center" wrapText="1"/>
    </xf>
    <xf numFmtId="49" fontId="1" fillId="12" borderId="6" xfId="0" applyNumberFormat="1" applyFont="1" applyFill="1" applyBorder="1" applyAlignment="1" applyProtection="1">
      <alignment horizontal="center" vertical="center" wrapText="1"/>
    </xf>
    <xf numFmtId="0" fontId="0" fillId="12" borderId="6" xfId="0" applyFont="1" applyFill="1" applyBorder="1" applyAlignment="1" applyProtection="1">
      <alignment horizontal="center" vertical="center" wrapText="1"/>
    </xf>
  </cellXfs>
  <cellStyles count="2">
    <cellStyle name="Hyperlink" xfId="1" builtinId="8"/>
    <cellStyle name="Normal" xfId="0" builtinId="0"/>
  </cellStyles>
  <dxfs count="11">
    <dxf>
      <protection locked="1" hidden="1"/>
    </dxf>
    <dxf>
      <protection locked="1" hidden="1"/>
    </dxf>
    <dxf>
      <numFmt numFmtId="0" formatCode="General"/>
      <protection locked="1" hidden="1"/>
    </dxf>
    <dxf>
      <protection locked="1" hidden="0"/>
    </dxf>
    <dxf>
      <protection locked="1" hidden="0"/>
    </dxf>
    <dxf>
      <protection locked="1" hidden="0"/>
    </dxf>
    <dxf>
      <protection locked="1" hidden="0"/>
    </dxf>
    <dxf>
      <alignment horizontal="general" vertical="bottom" textRotation="0" wrapText="1" indent="0" justifyLastLine="0" shrinkToFit="0" readingOrder="0"/>
      <protection locked="1" hidden="0"/>
    </dxf>
    <dxf>
      <protection locked="1" hidden="0"/>
    </dxf>
    <dxf>
      <protection locked="1" hidden="0"/>
    </dxf>
    <dxf>
      <alignment horizontal="center" vertical="center"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5943600</xdr:colOff>
      <xdr:row>20</xdr:row>
      <xdr:rowOff>54610</xdr:rowOff>
    </xdr:to>
    <xdr:pic>
      <xdr:nvPicPr>
        <xdr:cNvPr id="63" name="Picture 62"/>
        <xdr:cNvPicPr/>
      </xdr:nvPicPr>
      <xdr:blipFill>
        <a:blip xmlns:r="http://schemas.openxmlformats.org/officeDocument/2006/relationships" r:embed="rId1"/>
        <a:stretch>
          <a:fillRect/>
        </a:stretch>
      </xdr:blipFill>
      <xdr:spPr>
        <a:xfrm>
          <a:off x="0" y="6316980"/>
          <a:ext cx="5943600" cy="603250"/>
        </a:xfrm>
        <a:prstGeom prst="rect">
          <a:avLst/>
        </a:prstGeom>
        <a:ln w="12700">
          <a:solidFill>
            <a:schemeClr val="tx1"/>
          </a:solidFill>
        </a:ln>
      </xdr:spPr>
    </xdr:pic>
    <xdr:clientData/>
  </xdr:twoCellAnchor>
  <xdr:twoCellAnchor>
    <xdr:from>
      <xdr:col>0</xdr:col>
      <xdr:colOff>2034540</xdr:colOff>
      <xdr:row>17</xdr:row>
      <xdr:rowOff>152400</xdr:rowOff>
    </xdr:from>
    <xdr:to>
      <xdr:col>0</xdr:col>
      <xdr:colOff>2194560</xdr:colOff>
      <xdr:row>19</xdr:row>
      <xdr:rowOff>106680</xdr:rowOff>
    </xdr:to>
    <xdr:sp macro="" textlink="">
      <xdr:nvSpPr>
        <xdr:cNvPr id="64" name="Curved Left Arrow 63"/>
        <xdr:cNvSpPr/>
      </xdr:nvSpPr>
      <xdr:spPr>
        <a:xfrm>
          <a:off x="2034540" y="6469380"/>
          <a:ext cx="160020" cy="320040"/>
        </a:xfrm>
        <a:prstGeom prst="curvedLeftArrow">
          <a:avLst/>
        </a:prstGeom>
        <a:solidFill>
          <a:srgbClr val="FF00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0</xdr:colOff>
      <xdr:row>28</xdr:row>
      <xdr:rowOff>0</xdr:rowOff>
    </xdr:from>
    <xdr:to>
      <xdr:col>0</xdr:col>
      <xdr:colOff>5943600</xdr:colOff>
      <xdr:row>31</xdr:row>
      <xdr:rowOff>68580</xdr:rowOff>
    </xdr:to>
    <xdr:pic>
      <xdr:nvPicPr>
        <xdr:cNvPr id="65" name="Picture 64"/>
        <xdr:cNvPicPr/>
      </xdr:nvPicPr>
      <xdr:blipFill>
        <a:blip xmlns:r="http://schemas.openxmlformats.org/officeDocument/2006/relationships" r:embed="rId2"/>
        <a:stretch>
          <a:fillRect/>
        </a:stretch>
      </xdr:blipFill>
      <xdr:spPr>
        <a:xfrm>
          <a:off x="0" y="8511540"/>
          <a:ext cx="5943600" cy="617220"/>
        </a:xfrm>
        <a:prstGeom prst="rect">
          <a:avLst/>
        </a:prstGeom>
        <a:ln w="12700">
          <a:solidFill>
            <a:schemeClr val="tx1"/>
          </a:solidFill>
        </a:ln>
      </xdr:spPr>
    </xdr:pic>
    <xdr:clientData/>
  </xdr:twoCellAnchor>
  <xdr:twoCellAnchor>
    <xdr:from>
      <xdr:col>0</xdr:col>
      <xdr:colOff>3223260</xdr:colOff>
      <xdr:row>28</xdr:row>
      <xdr:rowOff>68580</xdr:rowOff>
    </xdr:from>
    <xdr:to>
      <xdr:col>0</xdr:col>
      <xdr:colOff>3383280</xdr:colOff>
      <xdr:row>30</xdr:row>
      <xdr:rowOff>22860</xdr:rowOff>
    </xdr:to>
    <xdr:sp macro="" textlink="">
      <xdr:nvSpPr>
        <xdr:cNvPr id="66" name="Curved Left Arrow 65"/>
        <xdr:cNvSpPr/>
      </xdr:nvSpPr>
      <xdr:spPr>
        <a:xfrm>
          <a:off x="3223260" y="8580120"/>
          <a:ext cx="160020" cy="320040"/>
        </a:xfrm>
        <a:prstGeom prst="curvedLeftArrow">
          <a:avLst/>
        </a:prstGeom>
        <a:solidFill>
          <a:srgbClr val="FF00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0</xdr:colOff>
      <xdr:row>40</xdr:row>
      <xdr:rowOff>0</xdr:rowOff>
    </xdr:from>
    <xdr:to>
      <xdr:col>0</xdr:col>
      <xdr:colOff>5097780</xdr:colOff>
      <xdr:row>50</xdr:row>
      <xdr:rowOff>52705</xdr:rowOff>
    </xdr:to>
    <xdr:pic>
      <xdr:nvPicPr>
        <xdr:cNvPr id="68" name="Picture 67"/>
        <xdr:cNvPicPr/>
      </xdr:nvPicPr>
      <xdr:blipFill>
        <a:blip xmlns:r="http://schemas.openxmlformats.org/officeDocument/2006/relationships" r:embed="rId3"/>
        <a:stretch>
          <a:fillRect/>
        </a:stretch>
      </xdr:blipFill>
      <xdr:spPr>
        <a:xfrm>
          <a:off x="0" y="11254740"/>
          <a:ext cx="5097780" cy="1881505"/>
        </a:xfrm>
        <a:prstGeom prst="rect">
          <a:avLst/>
        </a:prstGeom>
        <a:ln w="28575">
          <a:solidFill>
            <a:schemeClr val="tx1"/>
          </a:solidFill>
        </a:ln>
      </xdr:spPr>
    </xdr:pic>
    <xdr:clientData/>
  </xdr:twoCellAnchor>
  <xdr:twoCellAnchor>
    <xdr:from>
      <xdr:col>0</xdr:col>
      <xdr:colOff>1706880</xdr:colOff>
      <xdr:row>46</xdr:row>
      <xdr:rowOff>144780</xdr:rowOff>
    </xdr:from>
    <xdr:to>
      <xdr:col>0</xdr:col>
      <xdr:colOff>1866900</xdr:colOff>
      <xdr:row>48</xdr:row>
      <xdr:rowOff>99060</xdr:rowOff>
    </xdr:to>
    <xdr:sp macro="" textlink="">
      <xdr:nvSpPr>
        <xdr:cNvPr id="69" name="Curved Left Arrow 68"/>
        <xdr:cNvSpPr/>
      </xdr:nvSpPr>
      <xdr:spPr>
        <a:xfrm>
          <a:off x="1706880" y="12496800"/>
          <a:ext cx="160020" cy="320040"/>
        </a:xfrm>
        <a:prstGeom prst="curved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0</xdr:col>
      <xdr:colOff>0</xdr:colOff>
      <xdr:row>53</xdr:row>
      <xdr:rowOff>53340</xdr:rowOff>
    </xdr:from>
    <xdr:to>
      <xdr:col>0</xdr:col>
      <xdr:colOff>5097780</xdr:colOff>
      <xdr:row>61</xdr:row>
      <xdr:rowOff>137160</xdr:rowOff>
    </xdr:to>
    <xdr:pic>
      <xdr:nvPicPr>
        <xdr:cNvPr id="70"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685520"/>
          <a:ext cx="5097780" cy="1546860"/>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2720340</xdr:colOff>
      <xdr:row>56</xdr:row>
      <xdr:rowOff>137160</xdr:rowOff>
    </xdr:from>
    <xdr:to>
      <xdr:col>0</xdr:col>
      <xdr:colOff>2880360</xdr:colOff>
      <xdr:row>58</xdr:row>
      <xdr:rowOff>91440</xdr:rowOff>
    </xdr:to>
    <xdr:sp macro="" textlink="">
      <xdr:nvSpPr>
        <xdr:cNvPr id="71" name="Curved Left Arrow 70"/>
        <xdr:cNvSpPr/>
      </xdr:nvSpPr>
      <xdr:spPr>
        <a:xfrm>
          <a:off x="2720340" y="14317980"/>
          <a:ext cx="160020" cy="320040"/>
        </a:xfrm>
        <a:prstGeom prst="curved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wsDr>
</file>

<file path=xl/tables/table1.xml><?xml version="1.0" encoding="utf-8"?>
<table xmlns="http://schemas.openxmlformats.org/spreadsheetml/2006/main" id="1" name="Table1" displayName="Table1" ref="B1:J2653" totalsRowShown="0" headerRowDxfId="10" dataDxfId="9">
  <autoFilter ref="B1:J2653"/>
  <tableColumns count="9">
    <tableColumn id="1" name="CIPCode2010" dataDxfId="8"/>
    <tableColumn id="2" name="CIPTitle2010" dataDxfId="7"/>
    <tableColumn id="3" name="Action" dataDxfId="6"/>
    <tableColumn id="4" name="Text change" dataDxfId="5"/>
    <tableColumn id="5" name="CIPCode2020" dataDxfId="4"/>
    <tableColumn id="6" name="CIPTitle2020" dataDxfId="3"/>
    <tableColumn id="9" name="Status" dataDxfId="2">
      <calculatedColumnFormula>IF(I2=J2,"No Change","Other")</calculatedColumnFormula>
    </tableColumn>
    <tableColumn id="7" name="Format_CIPCode2010" dataDxfId="1">
      <calculatedColumnFormula>SUBSTITUTE(IF(SUM(LEN(B2))&lt;7,"",B2),".","")</calculatedColumnFormula>
    </tableColumn>
    <tableColumn id="8" name="Format_CipCode2020" dataDxfId="0">
      <calculatedColumnFormula>SUBSTITUTE(IF(SUM(LEN(F2))&lt;7,"",F2),".","")</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04"/>
  <sheetViews>
    <sheetView workbookViewId="0">
      <selection sqref="A1:XFD1048576"/>
    </sheetView>
  </sheetViews>
  <sheetFormatPr defaultRowHeight="14.4" x14ac:dyDescent="0.3"/>
  <cols>
    <col min="1" max="1" width="8.88671875" style="6"/>
    <col min="2" max="2" width="43.33203125" bestFit="1" customWidth="1"/>
    <col min="3" max="3" width="11.6640625" style="9" customWidth="1"/>
    <col min="4" max="4" width="8.88671875" style="9"/>
    <col min="5" max="5" width="8.88671875" style="9" customWidth="1"/>
    <col min="6" max="6" width="11.33203125" bestFit="1" customWidth="1"/>
    <col min="7" max="7" width="7" bestFit="1" customWidth="1"/>
    <col min="8" max="8" width="45" customWidth="1"/>
  </cols>
  <sheetData>
    <row r="1" spans="1:8" ht="57.6" x14ac:dyDescent="0.3">
      <c r="A1" s="5" t="s">
        <v>1</v>
      </c>
      <c r="B1" s="4" t="s">
        <v>2</v>
      </c>
      <c r="C1" s="7" t="s">
        <v>1862</v>
      </c>
      <c r="D1" s="8" t="s">
        <v>1863</v>
      </c>
      <c r="E1" s="7" t="s">
        <v>1800</v>
      </c>
      <c r="F1" s="4" t="s">
        <v>1801</v>
      </c>
      <c r="G1" s="4" t="s">
        <v>1802</v>
      </c>
      <c r="H1" s="4" t="s">
        <v>1803</v>
      </c>
    </row>
    <row r="2" spans="1:8" x14ac:dyDescent="0.3">
      <c r="A2" s="6">
        <v>1</v>
      </c>
      <c r="B2" t="s">
        <v>7</v>
      </c>
      <c r="C2" s="9" t="s">
        <v>1266</v>
      </c>
      <c r="D2" s="9">
        <v>50</v>
      </c>
      <c r="E2" s="9" t="s">
        <v>1804</v>
      </c>
      <c r="F2" t="s">
        <v>8</v>
      </c>
      <c r="G2" t="s">
        <v>526</v>
      </c>
      <c r="H2" t="s">
        <v>1805</v>
      </c>
    </row>
    <row r="3" spans="1:8" x14ac:dyDescent="0.3">
      <c r="A3" s="6">
        <v>1</v>
      </c>
      <c r="B3" t="s">
        <v>7</v>
      </c>
      <c r="C3" s="9" t="s">
        <v>932</v>
      </c>
      <c r="D3" s="9">
        <v>37</v>
      </c>
      <c r="E3" s="9" t="s">
        <v>1804</v>
      </c>
      <c r="F3" t="s">
        <v>198</v>
      </c>
      <c r="G3" t="s">
        <v>196</v>
      </c>
      <c r="H3" t="s">
        <v>1267</v>
      </c>
    </row>
    <row r="4" spans="1:8" x14ac:dyDescent="0.3">
      <c r="A4" s="6">
        <v>1</v>
      </c>
      <c r="B4" t="s">
        <v>7</v>
      </c>
      <c r="C4" s="9" t="s">
        <v>932</v>
      </c>
      <c r="D4" s="9">
        <v>44</v>
      </c>
      <c r="E4" s="9" t="s">
        <v>1804</v>
      </c>
      <c r="F4" t="s">
        <v>202</v>
      </c>
      <c r="G4" t="s">
        <v>200</v>
      </c>
      <c r="H4" t="s">
        <v>1272</v>
      </c>
    </row>
    <row r="5" spans="1:8" x14ac:dyDescent="0.3">
      <c r="A5" s="6">
        <v>1</v>
      </c>
      <c r="B5" t="s">
        <v>7</v>
      </c>
      <c r="C5" s="9" t="s">
        <v>1266</v>
      </c>
      <c r="D5" s="9">
        <v>40</v>
      </c>
      <c r="E5" s="9" t="s">
        <v>1804</v>
      </c>
      <c r="F5" t="s">
        <v>11</v>
      </c>
      <c r="G5" t="s">
        <v>12</v>
      </c>
      <c r="H5" t="s">
        <v>1277</v>
      </c>
    </row>
    <row r="6" spans="1:8" x14ac:dyDescent="0.3">
      <c r="A6" s="6">
        <v>1</v>
      </c>
      <c r="B6" t="s">
        <v>7</v>
      </c>
      <c r="C6" s="9" t="s">
        <v>932</v>
      </c>
      <c r="D6" s="9">
        <v>14</v>
      </c>
      <c r="E6" s="9" t="s">
        <v>1804</v>
      </c>
      <c r="F6" t="s">
        <v>911</v>
      </c>
      <c r="G6" t="s">
        <v>680</v>
      </c>
      <c r="H6" t="s">
        <v>949</v>
      </c>
    </row>
    <row r="7" spans="1:8" x14ac:dyDescent="0.3">
      <c r="A7" s="6">
        <v>1</v>
      </c>
      <c r="B7" t="s">
        <v>7</v>
      </c>
      <c r="C7" s="9" t="s">
        <v>932</v>
      </c>
      <c r="D7" s="9">
        <v>42</v>
      </c>
      <c r="E7" s="9" t="s">
        <v>1804</v>
      </c>
      <c r="F7" t="s">
        <v>14</v>
      </c>
      <c r="G7" t="s">
        <v>15</v>
      </c>
      <c r="H7" t="s">
        <v>1290</v>
      </c>
    </row>
    <row r="8" spans="1:8" x14ac:dyDescent="0.3">
      <c r="A8" s="6">
        <v>1</v>
      </c>
      <c r="B8" t="s">
        <v>7</v>
      </c>
      <c r="C8" s="9" t="s">
        <v>1266</v>
      </c>
      <c r="D8" s="9">
        <v>12</v>
      </c>
      <c r="E8" s="9" t="s">
        <v>1804</v>
      </c>
      <c r="F8" t="s">
        <v>17</v>
      </c>
      <c r="G8" t="s">
        <v>15</v>
      </c>
      <c r="H8" t="s">
        <v>1291</v>
      </c>
    </row>
    <row r="9" spans="1:8" x14ac:dyDescent="0.3">
      <c r="A9" s="6">
        <v>1</v>
      </c>
      <c r="B9" t="s">
        <v>7</v>
      </c>
      <c r="C9" s="9" t="s">
        <v>1806</v>
      </c>
      <c r="D9" s="9">
        <v>9</v>
      </c>
      <c r="E9" s="9" t="s">
        <v>1804</v>
      </c>
      <c r="F9" t="s">
        <v>775</v>
      </c>
      <c r="G9" t="s">
        <v>92</v>
      </c>
      <c r="H9" t="s">
        <v>1354</v>
      </c>
    </row>
    <row r="10" spans="1:8" x14ac:dyDescent="0.3">
      <c r="A10" s="6">
        <v>1</v>
      </c>
      <c r="B10" t="s">
        <v>7</v>
      </c>
      <c r="C10" s="9" t="s">
        <v>1806</v>
      </c>
      <c r="D10" s="9">
        <v>9</v>
      </c>
      <c r="E10" s="9" t="s">
        <v>1804</v>
      </c>
      <c r="F10" t="s">
        <v>540</v>
      </c>
      <c r="G10" t="s">
        <v>92</v>
      </c>
      <c r="H10" t="s">
        <v>1353</v>
      </c>
    </row>
    <row r="11" spans="1:8" x14ac:dyDescent="0.3">
      <c r="A11" s="6">
        <v>1</v>
      </c>
      <c r="B11" t="s">
        <v>7</v>
      </c>
      <c r="C11" s="9" t="s">
        <v>1806</v>
      </c>
      <c r="D11" s="9">
        <v>9</v>
      </c>
      <c r="E11" s="9" t="s">
        <v>1804</v>
      </c>
      <c r="F11" t="s">
        <v>22</v>
      </c>
      <c r="G11" t="s">
        <v>99</v>
      </c>
      <c r="H11" t="s">
        <v>1357</v>
      </c>
    </row>
    <row r="12" spans="1:8" x14ac:dyDescent="0.3">
      <c r="A12" s="6">
        <v>1</v>
      </c>
      <c r="B12" t="s">
        <v>7</v>
      </c>
      <c r="C12" s="9" t="s">
        <v>1807</v>
      </c>
      <c r="D12" s="9">
        <v>165</v>
      </c>
      <c r="E12" s="9" t="s">
        <v>1808</v>
      </c>
      <c r="F12" t="s">
        <v>410</v>
      </c>
      <c r="G12" t="s">
        <v>411</v>
      </c>
      <c r="H12" t="s">
        <v>1313</v>
      </c>
    </row>
    <row r="13" spans="1:8" x14ac:dyDescent="0.3">
      <c r="A13" s="6">
        <v>1</v>
      </c>
      <c r="B13" t="s">
        <v>7</v>
      </c>
      <c r="C13" s="9" t="s">
        <v>932</v>
      </c>
      <c r="D13" s="9">
        <v>31</v>
      </c>
      <c r="E13" s="9" t="s">
        <v>1804</v>
      </c>
      <c r="F13" t="s">
        <v>208</v>
      </c>
      <c r="G13" t="s">
        <v>209</v>
      </c>
      <c r="H13" t="s">
        <v>1325</v>
      </c>
    </row>
    <row r="14" spans="1:8" x14ac:dyDescent="0.3">
      <c r="A14" s="6">
        <v>1</v>
      </c>
      <c r="B14" t="s">
        <v>7</v>
      </c>
      <c r="C14" s="9" t="s">
        <v>1807</v>
      </c>
      <c r="D14" s="9">
        <v>1350</v>
      </c>
      <c r="E14" s="9" t="s">
        <v>1808</v>
      </c>
      <c r="F14" t="s">
        <v>413</v>
      </c>
      <c r="G14" t="s">
        <v>414</v>
      </c>
      <c r="H14" t="s">
        <v>1332</v>
      </c>
    </row>
    <row r="15" spans="1:8" x14ac:dyDescent="0.3">
      <c r="A15" s="6">
        <v>1</v>
      </c>
      <c r="B15" t="s">
        <v>7</v>
      </c>
      <c r="C15" s="9" t="s">
        <v>1807</v>
      </c>
      <c r="D15" s="9">
        <v>290</v>
      </c>
      <c r="E15" s="9" t="s">
        <v>1808</v>
      </c>
      <c r="F15" t="s">
        <v>777</v>
      </c>
      <c r="G15" t="s">
        <v>26</v>
      </c>
      <c r="H15" t="s">
        <v>1334</v>
      </c>
    </row>
    <row r="16" spans="1:8" x14ac:dyDescent="0.3">
      <c r="A16" s="6">
        <v>1</v>
      </c>
      <c r="B16" t="s">
        <v>7</v>
      </c>
      <c r="C16" s="9" t="s">
        <v>932</v>
      </c>
      <c r="D16" s="9">
        <v>36</v>
      </c>
      <c r="E16" s="9" t="s">
        <v>1804</v>
      </c>
      <c r="F16" t="s">
        <v>28</v>
      </c>
      <c r="G16" t="s">
        <v>29</v>
      </c>
      <c r="H16" t="s">
        <v>1180</v>
      </c>
    </row>
    <row r="17" spans="1:8" x14ac:dyDescent="0.3">
      <c r="A17" s="6">
        <v>1</v>
      </c>
      <c r="B17" t="s">
        <v>7</v>
      </c>
      <c r="C17" s="9" t="s">
        <v>932</v>
      </c>
      <c r="D17" s="9">
        <v>12</v>
      </c>
      <c r="E17" s="9" t="s">
        <v>1804</v>
      </c>
      <c r="F17" t="s">
        <v>483</v>
      </c>
      <c r="G17" t="s">
        <v>29</v>
      </c>
      <c r="H17" t="s">
        <v>1182</v>
      </c>
    </row>
    <row r="18" spans="1:8" x14ac:dyDescent="0.3">
      <c r="A18" s="6">
        <v>1</v>
      </c>
      <c r="B18" t="s">
        <v>7</v>
      </c>
      <c r="C18" s="9" t="s">
        <v>932</v>
      </c>
      <c r="D18" s="9">
        <v>12</v>
      </c>
      <c r="E18" s="9" t="s">
        <v>1804</v>
      </c>
      <c r="F18" t="s">
        <v>588</v>
      </c>
      <c r="G18" t="s">
        <v>29</v>
      </c>
      <c r="H18" t="s">
        <v>1183</v>
      </c>
    </row>
    <row r="19" spans="1:8" x14ac:dyDescent="0.3">
      <c r="A19" s="6">
        <v>1</v>
      </c>
      <c r="B19" t="s">
        <v>7</v>
      </c>
      <c r="C19" s="9" t="s">
        <v>932</v>
      </c>
      <c r="D19" s="9">
        <v>12</v>
      </c>
      <c r="E19" s="9" t="s">
        <v>1804</v>
      </c>
      <c r="F19" t="s">
        <v>589</v>
      </c>
      <c r="G19" t="s">
        <v>29</v>
      </c>
      <c r="H19" t="s">
        <v>1184</v>
      </c>
    </row>
    <row r="20" spans="1:8" x14ac:dyDescent="0.3">
      <c r="A20" s="6">
        <v>1</v>
      </c>
      <c r="B20" t="s">
        <v>7</v>
      </c>
      <c r="C20" s="9" t="s">
        <v>932</v>
      </c>
      <c r="D20" s="9">
        <v>18</v>
      </c>
      <c r="E20" s="9" t="s">
        <v>1804</v>
      </c>
      <c r="F20" t="s">
        <v>912</v>
      </c>
      <c r="G20" t="s">
        <v>386</v>
      </c>
      <c r="H20" t="s">
        <v>1422</v>
      </c>
    </row>
    <row r="21" spans="1:8" x14ac:dyDescent="0.3">
      <c r="A21" s="6">
        <v>1</v>
      </c>
      <c r="B21" t="s">
        <v>7</v>
      </c>
      <c r="C21" s="9" t="s">
        <v>932</v>
      </c>
      <c r="D21" s="9">
        <v>18</v>
      </c>
      <c r="E21" s="9" t="s">
        <v>1804</v>
      </c>
      <c r="F21" t="s">
        <v>669</v>
      </c>
      <c r="G21" t="s">
        <v>386</v>
      </c>
      <c r="H21" t="s">
        <v>1423</v>
      </c>
    </row>
    <row r="22" spans="1:8" x14ac:dyDescent="0.3">
      <c r="A22" s="6">
        <v>1</v>
      </c>
      <c r="B22" t="s">
        <v>7</v>
      </c>
      <c r="C22" s="9" t="s">
        <v>932</v>
      </c>
      <c r="D22" s="9">
        <v>18</v>
      </c>
      <c r="E22" s="9" t="s">
        <v>1804</v>
      </c>
      <c r="F22" t="s">
        <v>913</v>
      </c>
      <c r="G22" t="s">
        <v>386</v>
      </c>
      <c r="H22" t="s">
        <v>1424</v>
      </c>
    </row>
    <row r="23" spans="1:8" x14ac:dyDescent="0.3">
      <c r="A23" s="6">
        <v>1</v>
      </c>
      <c r="B23" t="s">
        <v>7</v>
      </c>
      <c r="C23" s="9" t="s">
        <v>932</v>
      </c>
      <c r="D23" s="9">
        <v>18</v>
      </c>
      <c r="E23" s="9" t="s">
        <v>1804</v>
      </c>
      <c r="F23" t="s">
        <v>217</v>
      </c>
      <c r="G23" t="s">
        <v>168</v>
      </c>
      <c r="H23" t="s">
        <v>1442</v>
      </c>
    </row>
    <row r="24" spans="1:8" x14ac:dyDescent="0.3">
      <c r="A24" s="6">
        <v>1</v>
      </c>
      <c r="B24" t="s">
        <v>7</v>
      </c>
      <c r="C24" s="9" t="s">
        <v>932</v>
      </c>
      <c r="D24" s="9">
        <v>33</v>
      </c>
      <c r="E24" s="9" t="s">
        <v>1804</v>
      </c>
      <c r="F24" t="s">
        <v>390</v>
      </c>
      <c r="G24" t="s">
        <v>391</v>
      </c>
      <c r="H24" t="s">
        <v>1449</v>
      </c>
    </row>
    <row r="25" spans="1:8" x14ac:dyDescent="0.3">
      <c r="A25" s="6">
        <v>1</v>
      </c>
      <c r="B25" t="s">
        <v>7</v>
      </c>
      <c r="C25" s="9" t="s">
        <v>932</v>
      </c>
      <c r="D25" s="9">
        <v>15</v>
      </c>
      <c r="E25" s="9" t="s">
        <v>1804</v>
      </c>
      <c r="F25" t="s">
        <v>811</v>
      </c>
      <c r="G25" t="s">
        <v>812</v>
      </c>
      <c r="H25" t="s">
        <v>1452</v>
      </c>
    </row>
    <row r="26" spans="1:8" x14ac:dyDescent="0.3">
      <c r="A26" s="6">
        <v>1</v>
      </c>
      <c r="B26" t="s">
        <v>7</v>
      </c>
      <c r="C26" s="9" t="s">
        <v>932</v>
      </c>
      <c r="D26" s="9">
        <v>35</v>
      </c>
      <c r="E26" s="9" t="s">
        <v>1804</v>
      </c>
      <c r="F26" t="s">
        <v>421</v>
      </c>
      <c r="G26" t="s">
        <v>115</v>
      </c>
      <c r="H26" t="s">
        <v>1464</v>
      </c>
    </row>
    <row r="27" spans="1:8" x14ac:dyDescent="0.3">
      <c r="A27" s="6">
        <v>1</v>
      </c>
      <c r="B27" t="s">
        <v>7</v>
      </c>
      <c r="C27" s="9" t="s">
        <v>932</v>
      </c>
      <c r="D27" s="9">
        <v>24</v>
      </c>
      <c r="E27" s="9" t="s">
        <v>1804</v>
      </c>
      <c r="F27" t="s">
        <v>31</v>
      </c>
      <c r="G27" t="s">
        <v>32</v>
      </c>
      <c r="H27" t="s">
        <v>1483</v>
      </c>
    </row>
    <row r="28" spans="1:8" x14ac:dyDescent="0.3">
      <c r="A28" s="6">
        <v>1</v>
      </c>
      <c r="B28" t="s">
        <v>7</v>
      </c>
      <c r="C28" s="9" t="s">
        <v>932</v>
      </c>
      <c r="D28" s="9">
        <v>21</v>
      </c>
      <c r="E28" s="9" t="s">
        <v>1804</v>
      </c>
      <c r="F28" t="s">
        <v>34</v>
      </c>
      <c r="G28" t="s">
        <v>32</v>
      </c>
      <c r="H28" t="s">
        <v>1485</v>
      </c>
    </row>
    <row r="29" spans="1:8" x14ac:dyDescent="0.3">
      <c r="A29" s="6">
        <v>1</v>
      </c>
      <c r="B29" t="s">
        <v>7</v>
      </c>
      <c r="C29" s="9" t="s">
        <v>932</v>
      </c>
      <c r="D29" s="9">
        <v>24</v>
      </c>
      <c r="E29" s="9" t="s">
        <v>1804</v>
      </c>
      <c r="F29" t="s">
        <v>542</v>
      </c>
      <c r="G29" t="s">
        <v>32</v>
      </c>
      <c r="H29" t="s">
        <v>1487</v>
      </c>
    </row>
    <row r="30" spans="1:8" x14ac:dyDescent="0.3">
      <c r="A30" s="6">
        <v>1</v>
      </c>
      <c r="B30" t="s">
        <v>7</v>
      </c>
      <c r="C30" s="9" t="s">
        <v>932</v>
      </c>
      <c r="D30" s="9">
        <v>30</v>
      </c>
      <c r="E30" s="9" t="s">
        <v>1804</v>
      </c>
      <c r="F30" t="s">
        <v>35</v>
      </c>
      <c r="G30" t="s">
        <v>32</v>
      </c>
      <c r="H30" t="s">
        <v>1489</v>
      </c>
    </row>
    <row r="31" spans="1:8" x14ac:dyDescent="0.3">
      <c r="A31" s="6">
        <v>1</v>
      </c>
      <c r="B31" t="s">
        <v>7</v>
      </c>
      <c r="C31" s="9" t="s">
        <v>932</v>
      </c>
      <c r="D31" s="9">
        <v>21</v>
      </c>
      <c r="E31" s="9" t="s">
        <v>1804</v>
      </c>
      <c r="F31" t="s">
        <v>36</v>
      </c>
      <c r="G31" t="s">
        <v>32</v>
      </c>
      <c r="H31" t="s">
        <v>1492</v>
      </c>
    </row>
    <row r="32" spans="1:8" x14ac:dyDescent="0.3">
      <c r="A32" s="6">
        <v>1</v>
      </c>
      <c r="B32" t="s">
        <v>7</v>
      </c>
      <c r="C32" s="9" t="s">
        <v>1806</v>
      </c>
      <c r="D32" s="9">
        <v>9</v>
      </c>
      <c r="E32" s="9" t="s">
        <v>1804</v>
      </c>
      <c r="F32" t="s">
        <v>729</v>
      </c>
      <c r="G32" t="s">
        <v>32</v>
      </c>
      <c r="H32" t="s">
        <v>1537</v>
      </c>
    </row>
    <row r="33" spans="1:8" x14ac:dyDescent="0.3">
      <c r="A33" s="6">
        <v>1</v>
      </c>
      <c r="B33" t="s">
        <v>7</v>
      </c>
      <c r="C33" s="9" t="s">
        <v>932</v>
      </c>
      <c r="D33" s="9">
        <v>21</v>
      </c>
      <c r="E33" s="9" t="s">
        <v>1804</v>
      </c>
      <c r="F33" t="s">
        <v>223</v>
      </c>
      <c r="G33" t="s">
        <v>224</v>
      </c>
      <c r="H33" t="s">
        <v>1510</v>
      </c>
    </row>
    <row r="34" spans="1:8" x14ac:dyDescent="0.3">
      <c r="A34" s="6">
        <v>1</v>
      </c>
      <c r="B34" t="s">
        <v>7</v>
      </c>
      <c r="C34" s="9" t="s">
        <v>932</v>
      </c>
      <c r="D34" s="9">
        <v>34</v>
      </c>
      <c r="E34" s="9" t="s">
        <v>1804</v>
      </c>
      <c r="F34" t="s">
        <v>422</v>
      </c>
      <c r="G34" t="s">
        <v>423</v>
      </c>
      <c r="H34" t="s">
        <v>1149</v>
      </c>
    </row>
    <row r="35" spans="1:8" x14ac:dyDescent="0.3">
      <c r="A35" s="6">
        <v>1</v>
      </c>
      <c r="B35" t="s">
        <v>7</v>
      </c>
      <c r="C35" s="9" t="s">
        <v>932</v>
      </c>
      <c r="D35" s="9">
        <v>12</v>
      </c>
      <c r="E35" s="9" t="s">
        <v>1804</v>
      </c>
      <c r="F35" t="s">
        <v>153</v>
      </c>
      <c r="G35" t="s">
        <v>108</v>
      </c>
      <c r="H35" t="s">
        <v>1150</v>
      </c>
    </row>
    <row r="36" spans="1:8" x14ac:dyDescent="0.3">
      <c r="A36" s="6">
        <v>1</v>
      </c>
      <c r="B36" t="s">
        <v>7</v>
      </c>
      <c r="C36" s="9" t="s">
        <v>932</v>
      </c>
      <c r="D36" s="9">
        <v>18</v>
      </c>
      <c r="E36" s="9" t="s">
        <v>1804</v>
      </c>
      <c r="F36" t="s">
        <v>154</v>
      </c>
      <c r="G36" t="s">
        <v>108</v>
      </c>
      <c r="H36" t="s">
        <v>1151</v>
      </c>
    </row>
    <row r="37" spans="1:8" x14ac:dyDescent="0.3">
      <c r="A37" s="6">
        <v>1</v>
      </c>
      <c r="B37" t="s">
        <v>7</v>
      </c>
      <c r="C37" s="9" t="s">
        <v>932</v>
      </c>
      <c r="D37" s="9">
        <v>21</v>
      </c>
      <c r="E37" s="9" t="s">
        <v>1804</v>
      </c>
      <c r="F37" t="s">
        <v>507</v>
      </c>
      <c r="G37" t="s">
        <v>108</v>
      </c>
      <c r="H37" t="s">
        <v>1154</v>
      </c>
    </row>
    <row r="38" spans="1:8" x14ac:dyDescent="0.3">
      <c r="A38" s="6">
        <v>1</v>
      </c>
      <c r="B38" t="s">
        <v>7</v>
      </c>
      <c r="C38" s="9" t="s">
        <v>932</v>
      </c>
      <c r="D38" s="9">
        <v>27</v>
      </c>
      <c r="E38" s="9" t="s">
        <v>1804</v>
      </c>
      <c r="F38" t="s">
        <v>37</v>
      </c>
      <c r="G38" t="s">
        <v>38</v>
      </c>
      <c r="H38" t="s">
        <v>1164</v>
      </c>
    </row>
    <row r="39" spans="1:8" x14ac:dyDescent="0.3">
      <c r="A39" s="6">
        <v>1</v>
      </c>
      <c r="B39" t="s">
        <v>7</v>
      </c>
      <c r="C39" s="9" t="s">
        <v>932</v>
      </c>
      <c r="D39" s="9">
        <v>12</v>
      </c>
      <c r="E39" s="9" t="s">
        <v>1804</v>
      </c>
      <c r="F39" t="s">
        <v>226</v>
      </c>
      <c r="G39" t="s">
        <v>38</v>
      </c>
      <c r="H39" t="s">
        <v>1165</v>
      </c>
    </row>
    <row r="40" spans="1:8" x14ac:dyDescent="0.3">
      <c r="A40" s="6">
        <v>1</v>
      </c>
      <c r="B40" t="s">
        <v>7</v>
      </c>
      <c r="C40" s="9" t="s">
        <v>932</v>
      </c>
      <c r="D40" s="9">
        <v>27</v>
      </c>
      <c r="E40" s="9" t="s">
        <v>1804</v>
      </c>
      <c r="F40" t="s">
        <v>914</v>
      </c>
      <c r="G40" t="s">
        <v>38</v>
      </c>
      <c r="H40" t="s">
        <v>1166</v>
      </c>
    </row>
    <row r="41" spans="1:8" x14ac:dyDescent="0.3">
      <c r="A41" s="6">
        <v>1</v>
      </c>
      <c r="B41" t="s">
        <v>7</v>
      </c>
      <c r="C41" s="9" t="s">
        <v>932</v>
      </c>
      <c r="D41" s="9">
        <v>18</v>
      </c>
      <c r="E41" s="9" t="s">
        <v>1804</v>
      </c>
      <c r="F41" t="s">
        <v>227</v>
      </c>
      <c r="G41" t="s">
        <v>41</v>
      </c>
      <c r="H41" t="s">
        <v>1167</v>
      </c>
    </row>
    <row r="42" spans="1:8" x14ac:dyDescent="0.3">
      <c r="A42" s="6">
        <v>1</v>
      </c>
      <c r="B42" t="s">
        <v>7</v>
      </c>
      <c r="C42" s="9" t="s">
        <v>932</v>
      </c>
      <c r="D42" s="9">
        <v>12</v>
      </c>
      <c r="E42" s="9" t="s">
        <v>1804</v>
      </c>
      <c r="F42" t="s">
        <v>228</v>
      </c>
      <c r="G42" t="s">
        <v>41</v>
      </c>
      <c r="H42" t="s">
        <v>1168</v>
      </c>
    </row>
    <row r="43" spans="1:8" x14ac:dyDescent="0.3">
      <c r="A43" s="6">
        <v>1</v>
      </c>
      <c r="B43" t="s">
        <v>7</v>
      </c>
      <c r="C43" s="9" t="s">
        <v>932</v>
      </c>
      <c r="D43" s="9">
        <v>27</v>
      </c>
      <c r="E43" s="9" t="s">
        <v>1804</v>
      </c>
      <c r="F43" t="s">
        <v>40</v>
      </c>
      <c r="G43" t="s">
        <v>41</v>
      </c>
      <c r="H43" t="s">
        <v>1169</v>
      </c>
    </row>
    <row r="44" spans="1:8" x14ac:dyDescent="0.3">
      <c r="A44" s="6">
        <v>1</v>
      </c>
      <c r="B44" t="s">
        <v>7</v>
      </c>
      <c r="C44" s="9" t="s">
        <v>932</v>
      </c>
      <c r="D44" s="9">
        <v>18</v>
      </c>
      <c r="E44" s="9" t="s">
        <v>1804</v>
      </c>
      <c r="F44" t="s">
        <v>229</v>
      </c>
      <c r="G44" t="s">
        <v>230</v>
      </c>
      <c r="H44" t="s">
        <v>1170</v>
      </c>
    </row>
    <row r="45" spans="1:8" x14ac:dyDescent="0.3">
      <c r="A45" s="6">
        <v>1</v>
      </c>
      <c r="B45" t="s">
        <v>7</v>
      </c>
      <c r="C45" s="9" t="s">
        <v>932</v>
      </c>
      <c r="D45" s="9">
        <v>24</v>
      </c>
      <c r="E45" s="9" t="s">
        <v>1804</v>
      </c>
      <c r="F45" t="s">
        <v>232</v>
      </c>
      <c r="G45" t="s">
        <v>144</v>
      </c>
      <c r="H45" t="s">
        <v>1171</v>
      </c>
    </row>
    <row r="46" spans="1:8" x14ac:dyDescent="0.3">
      <c r="A46" s="6">
        <v>1</v>
      </c>
      <c r="B46" t="s">
        <v>7</v>
      </c>
      <c r="C46" s="9" t="s">
        <v>932</v>
      </c>
      <c r="D46" s="9">
        <v>25</v>
      </c>
      <c r="E46" s="9" t="s">
        <v>1804</v>
      </c>
      <c r="F46" t="s">
        <v>394</v>
      </c>
      <c r="G46" t="s">
        <v>112</v>
      </c>
      <c r="H46" t="s">
        <v>1172</v>
      </c>
    </row>
    <row r="47" spans="1:8" x14ac:dyDescent="0.3">
      <c r="A47" s="6">
        <v>1</v>
      </c>
      <c r="B47" t="s">
        <v>7</v>
      </c>
      <c r="C47" s="9" t="s">
        <v>932</v>
      </c>
      <c r="D47" s="9">
        <v>12</v>
      </c>
      <c r="E47" s="9" t="s">
        <v>1804</v>
      </c>
      <c r="F47" t="s">
        <v>233</v>
      </c>
      <c r="G47" t="s">
        <v>112</v>
      </c>
      <c r="H47" t="s">
        <v>1146</v>
      </c>
    </row>
    <row r="48" spans="1:8" x14ac:dyDescent="0.3">
      <c r="A48" s="6">
        <v>1</v>
      </c>
      <c r="B48" t="s">
        <v>7</v>
      </c>
      <c r="C48" s="9" t="s">
        <v>932</v>
      </c>
      <c r="D48" s="9">
        <v>25</v>
      </c>
      <c r="E48" s="9" t="s">
        <v>1804</v>
      </c>
      <c r="F48" t="s">
        <v>624</v>
      </c>
      <c r="G48" t="s">
        <v>112</v>
      </c>
      <c r="H48" t="s">
        <v>1173</v>
      </c>
    </row>
    <row r="49" spans="1:8" x14ac:dyDescent="0.3">
      <c r="A49" s="6">
        <v>1</v>
      </c>
      <c r="B49" t="s">
        <v>7</v>
      </c>
      <c r="C49" s="9" t="s">
        <v>932</v>
      </c>
      <c r="D49" s="9">
        <v>12</v>
      </c>
      <c r="E49" s="9" t="s">
        <v>1804</v>
      </c>
      <c r="F49" t="s">
        <v>426</v>
      </c>
      <c r="G49" t="s">
        <v>44</v>
      </c>
      <c r="H49" t="s">
        <v>1051</v>
      </c>
    </row>
    <row r="50" spans="1:8" x14ac:dyDescent="0.3">
      <c r="A50" s="6">
        <v>1</v>
      </c>
      <c r="B50" t="s">
        <v>7</v>
      </c>
      <c r="C50" s="9" t="s">
        <v>932</v>
      </c>
      <c r="D50" s="9">
        <v>24</v>
      </c>
      <c r="E50" s="9" t="s">
        <v>1804</v>
      </c>
      <c r="F50" t="s">
        <v>427</v>
      </c>
      <c r="G50" t="s">
        <v>428</v>
      </c>
      <c r="H50" t="s">
        <v>1054</v>
      </c>
    </row>
    <row r="51" spans="1:8" x14ac:dyDescent="0.3">
      <c r="A51" s="6">
        <v>1</v>
      </c>
      <c r="B51" t="s">
        <v>7</v>
      </c>
      <c r="C51" s="9" t="s">
        <v>932</v>
      </c>
      <c r="D51" s="9">
        <v>12</v>
      </c>
      <c r="E51" s="9" t="s">
        <v>1804</v>
      </c>
      <c r="F51" t="s">
        <v>550</v>
      </c>
      <c r="G51" t="s">
        <v>551</v>
      </c>
      <c r="H51" t="s">
        <v>1059</v>
      </c>
    </row>
    <row r="52" spans="1:8" x14ac:dyDescent="0.3">
      <c r="A52" s="6">
        <v>1</v>
      </c>
      <c r="B52" t="s">
        <v>7</v>
      </c>
      <c r="C52" s="9" t="s">
        <v>932</v>
      </c>
      <c r="D52" s="9">
        <v>15</v>
      </c>
      <c r="E52" s="9" t="s">
        <v>1804</v>
      </c>
      <c r="F52" t="s">
        <v>515</v>
      </c>
      <c r="G52" t="s">
        <v>238</v>
      </c>
      <c r="H52" t="s">
        <v>1064</v>
      </c>
    </row>
    <row r="53" spans="1:8" x14ac:dyDescent="0.3">
      <c r="A53" s="6">
        <v>1</v>
      </c>
      <c r="B53" t="s">
        <v>7</v>
      </c>
      <c r="C53" s="9" t="s">
        <v>932</v>
      </c>
      <c r="D53" s="9">
        <v>24</v>
      </c>
      <c r="E53" s="9" t="s">
        <v>1804</v>
      </c>
      <c r="F53" t="s">
        <v>237</v>
      </c>
      <c r="G53" t="s">
        <v>238</v>
      </c>
      <c r="H53" t="s">
        <v>1065</v>
      </c>
    </row>
    <row r="54" spans="1:8" x14ac:dyDescent="0.3">
      <c r="A54" s="6">
        <v>1</v>
      </c>
      <c r="B54" t="s">
        <v>7</v>
      </c>
      <c r="C54" s="9" t="s">
        <v>932</v>
      </c>
      <c r="D54" s="9">
        <v>24</v>
      </c>
      <c r="E54" s="9" t="s">
        <v>1804</v>
      </c>
      <c r="F54" t="s">
        <v>553</v>
      </c>
      <c r="G54" t="s">
        <v>238</v>
      </c>
      <c r="H54" t="s">
        <v>1066</v>
      </c>
    </row>
    <row r="55" spans="1:8" x14ac:dyDescent="0.3">
      <c r="A55" s="6">
        <v>1</v>
      </c>
      <c r="B55" t="s">
        <v>7</v>
      </c>
      <c r="C55" s="9" t="s">
        <v>1807</v>
      </c>
      <c r="D55" s="9">
        <v>1200</v>
      </c>
      <c r="E55" s="9" t="s">
        <v>1808</v>
      </c>
      <c r="F55" t="s">
        <v>240</v>
      </c>
      <c r="G55" t="s">
        <v>241</v>
      </c>
      <c r="H55" t="s">
        <v>1427</v>
      </c>
    </row>
    <row r="56" spans="1:8" x14ac:dyDescent="0.3">
      <c r="A56" s="6">
        <v>1</v>
      </c>
      <c r="B56" t="s">
        <v>7</v>
      </c>
      <c r="C56" s="9" t="s">
        <v>1807</v>
      </c>
      <c r="D56" s="9">
        <v>260</v>
      </c>
      <c r="E56" s="9" t="s">
        <v>1808</v>
      </c>
      <c r="F56" t="s">
        <v>243</v>
      </c>
      <c r="G56" t="s">
        <v>244</v>
      </c>
      <c r="H56" t="s">
        <v>1429</v>
      </c>
    </row>
    <row r="57" spans="1:8" x14ac:dyDescent="0.3">
      <c r="A57" s="6">
        <v>1</v>
      </c>
      <c r="B57" t="s">
        <v>7</v>
      </c>
      <c r="C57" s="9" t="s">
        <v>932</v>
      </c>
      <c r="D57" s="9">
        <v>18</v>
      </c>
      <c r="E57" s="9" t="s">
        <v>1804</v>
      </c>
      <c r="F57" t="s">
        <v>246</v>
      </c>
      <c r="G57" t="s">
        <v>51</v>
      </c>
      <c r="H57" t="s">
        <v>1596</v>
      </c>
    </row>
    <row r="58" spans="1:8" x14ac:dyDescent="0.3">
      <c r="A58" s="6">
        <v>1</v>
      </c>
      <c r="B58" t="s">
        <v>7</v>
      </c>
      <c r="C58" s="9" t="s">
        <v>932</v>
      </c>
      <c r="D58" s="9">
        <v>12</v>
      </c>
      <c r="E58" s="9" t="s">
        <v>1804</v>
      </c>
      <c r="F58" t="s">
        <v>561</v>
      </c>
      <c r="G58" t="s">
        <v>562</v>
      </c>
      <c r="H58" t="s">
        <v>1622</v>
      </c>
    </row>
    <row r="59" spans="1:8" x14ac:dyDescent="0.3">
      <c r="A59" s="6">
        <v>1</v>
      </c>
      <c r="B59" t="s">
        <v>7</v>
      </c>
      <c r="C59" s="9" t="s">
        <v>932</v>
      </c>
      <c r="D59" s="9">
        <v>18</v>
      </c>
      <c r="E59" s="9" t="s">
        <v>1804</v>
      </c>
      <c r="F59" t="s">
        <v>733</v>
      </c>
      <c r="G59" t="s">
        <v>630</v>
      </c>
      <c r="H59" t="s">
        <v>1629</v>
      </c>
    </row>
    <row r="60" spans="1:8" x14ac:dyDescent="0.3">
      <c r="A60" s="6">
        <v>1</v>
      </c>
      <c r="B60" t="s">
        <v>7</v>
      </c>
      <c r="C60" s="9" t="s">
        <v>932</v>
      </c>
      <c r="D60" s="9">
        <v>16</v>
      </c>
      <c r="E60" s="9" t="s">
        <v>1804</v>
      </c>
      <c r="F60" t="s">
        <v>915</v>
      </c>
      <c r="G60" t="s">
        <v>916</v>
      </c>
      <c r="H60" t="s">
        <v>1633</v>
      </c>
    </row>
    <row r="61" spans="1:8" x14ac:dyDescent="0.3">
      <c r="A61" s="6">
        <v>1</v>
      </c>
      <c r="B61" t="s">
        <v>7</v>
      </c>
      <c r="C61" s="9" t="s">
        <v>932</v>
      </c>
      <c r="D61" s="9">
        <v>17</v>
      </c>
      <c r="E61" s="9" t="s">
        <v>1804</v>
      </c>
      <c r="F61" t="s">
        <v>918</v>
      </c>
      <c r="G61" t="s">
        <v>470</v>
      </c>
      <c r="H61" t="s">
        <v>1638</v>
      </c>
    </row>
    <row r="62" spans="1:8" x14ac:dyDescent="0.3">
      <c r="A62" s="6">
        <v>1</v>
      </c>
      <c r="B62" t="s">
        <v>7</v>
      </c>
      <c r="C62" s="9" t="s">
        <v>932</v>
      </c>
      <c r="D62" s="9">
        <v>43</v>
      </c>
      <c r="E62" s="9" t="s">
        <v>1804</v>
      </c>
      <c r="F62" t="s">
        <v>919</v>
      </c>
      <c r="G62" t="s">
        <v>470</v>
      </c>
      <c r="H62" t="s">
        <v>1639</v>
      </c>
    </row>
    <row r="63" spans="1:8" x14ac:dyDescent="0.3">
      <c r="A63" s="6">
        <v>1</v>
      </c>
      <c r="B63" t="s">
        <v>7</v>
      </c>
      <c r="C63" s="9" t="s">
        <v>932</v>
      </c>
      <c r="D63" s="9">
        <v>22</v>
      </c>
      <c r="E63" s="9" t="s">
        <v>1804</v>
      </c>
      <c r="F63" t="s">
        <v>259</v>
      </c>
      <c r="G63" t="s">
        <v>260</v>
      </c>
      <c r="H63" t="s">
        <v>986</v>
      </c>
    </row>
    <row r="64" spans="1:8" x14ac:dyDescent="0.3">
      <c r="A64" s="6">
        <v>1</v>
      </c>
      <c r="B64" t="s">
        <v>7</v>
      </c>
      <c r="C64" s="9" t="s">
        <v>932</v>
      </c>
      <c r="D64" s="9">
        <v>14</v>
      </c>
      <c r="E64" s="9" t="s">
        <v>1804</v>
      </c>
      <c r="F64" t="s">
        <v>262</v>
      </c>
      <c r="G64" t="s">
        <v>263</v>
      </c>
      <c r="H64" t="s">
        <v>989</v>
      </c>
    </row>
    <row r="65" spans="1:8" x14ac:dyDescent="0.3">
      <c r="A65" s="6">
        <v>1</v>
      </c>
      <c r="B65" t="s">
        <v>7</v>
      </c>
      <c r="C65" s="9" t="s">
        <v>932</v>
      </c>
      <c r="D65" s="9">
        <v>26</v>
      </c>
      <c r="E65" s="9" t="s">
        <v>1804</v>
      </c>
      <c r="F65" t="s">
        <v>271</v>
      </c>
      <c r="G65" t="s">
        <v>269</v>
      </c>
      <c r="H65" t="s">
        <v>1646</v>
      </c>
    </row>
    <row r="66" spans="1:8" x14ac:dyDescent="0.3">
      <c r="A66" s="6">
        <v>1</v>
      </c>
      <c r="B66" t="s">
        <v>7</v>
      </c>
      <c r="C66" s="9" t="s">
        <v>1807</v>
      </c>
      <c r="D66" s="9">
        <v>1350</v>
      </c>
      <c r="E66" s="9" t="s">
        <v>1808</v>
      </c>
      <c r="F66" t="s">
        <v>275</v>
      </c>
      <c r="G66" t="s">
        <v>276</v>
      </c>
      <c r="H66" t="s">
        <v>1012</v>
      </c>
    </row>
    <row r="67" spans="1:8" x14ac:dyDescent="0.3">
      <c r="A67" s="6">
        <v>1</v>
      </c>
      <c r="B67" t="s">
        <v>7</v>
      </c>
      <c r="C67" s="9" t="s">
        <v>1807</v>
      </c>
      <c r="D67" s="9">
        <v>1350</v>
      </c>
      <c r="E67" s="9" t="s">
        <v>1808</v>
      </c>
      <c r="F67" t="s">
        <v>282</v>
      </c>
      <c r="G67" t="s">
        <v>283</v>
      </c>
      <c r="H67" t="s">
        <v>1758</v>
      </c>
    </row>
    <row r="68" spans="1:8" x14ac:dyDescent="0.3">
      <c r="A68" s="6">
        <v>1</v>
      </c>
      <c r="B68" t="s">
        <v>7</v>
      </c>
      <c r="C68" s="9" t="s">
        <v>1807</v>
      </c>
      <c r="D68" s="9">
        <v>1350</v>
      </c>
      <c r="E68" s="9" t="s">
        <v>1808</v>
      </c>
      <c r="F68" t="s">
        <v>285</v>
      </c>
      <c r="G68" t="s">
        <v>286</v>
      </c>
      <c r="H68" t="s">
        <v>1759</v>
      </c>
    </row>
    <row r="69" spans="1:8" x14ac:dyDescent="0.3">
      <c r="A69" s="6">
        <v>1</v>
      </c>
      <c r="B69" t="s">
        <v>7</v>
      </c>
      <c r="C69" s="9" t="s">
        <v>932</v>
      </c>
      <c r="D69" s="9">
        <v>19</v>
      </c>
      <c r="E69" s="9" t="s">
        <v>1804</v>
      </c>
      <c r="F69" t="s">
        <v>920</v>
      </c>
      <c r="G69" t="s">
        <v>792</v>
      </c>
      <c r="H69" t="s">
        <v>1675</v>
      </c>
    </row>
    <row r="70" spans="1:8" x14ac:dyDescent="0.3">
      <c r="A70" s="6">
        <v>1</v>
      </c>
      <c r="B70" t="s">
        <v>7</v>
      </c>
      <c r="C70" s="9" t="s">
        <v>1807</v>
      </c>
      <c r="D70" s="9">
        <v>1050</v>
      </c>
      <c r="E70" s="9" t="s">
        <v>1808</v>
      </c>
      <c r="F70" t="s">
        <v>291</v>
      </c>
      <c r="G70" t="s">
        <v>292</v>
      </c>
      <c r="H70" t="s">
        <v>1678</v>
      </c>
    </row>
    <row r="71" spans="1:8" x14ac:dyDescent="0.3">
      <c r="A71" s="6">
        <v>1</v>
      </c>
      <c r="B71" t="s">
        <v>7</v>
      </c>
      <c r="C71" s="9" t="s">
        <v>932</v>
      </c>
      <c r="D71" s="9">
        <v>12</v>
      </c>
      <c r="E71" s="9" t="s">
        <v>1804</v>
      </c>
      <c r="F71" t="s">
        <v>294</v>
      </c>
      <c r="G71" t="s">
        <v>295</v>
      </c>
      <c r="H71" t="s">
        <v>1680</v>
      </c>
    </row>
    <row r="72" spans="1:8" x14ac:dyDescent="0.3">
      <c r="A72" s="6">
        <v>1</v>
      </c>
      <c r="B72" t="s">
        <v>7</v>
      </c>
      <c r="C72" s="9" t="s">
        <v>932</v>
      </c>
      <c r="D72" s="9">
        <v>15</v>
      </c>
      <c r="E72" s="9" t="s">
        <v>1804</v>
      </c>
      <c r="F72" t="s">
        <v>565</v>
      </c>
      <c r="G72" t="s">
        <v>60</v>
      </c>
      <c r="H72" t="s">
        <v>1077</v>
      </c>
    </row>
    <row r="73" spans="1:8" x14ac:dyDescent="0.3">
      <c r="A73" s="6">
        <v>1</v>
      </c>
      <c r="B73" t="s">
        <v>7</v>
      </c>
      <c r="C73" s="9" t="s">
        <v>932</v>
      </c>
      <c r="D73" s="9">
        <v>22</v>
      </c>
      <c r="E73" s="9" t="s">
        <v>1804</v>
      </c>
      <c r="F73" t="s">
        <v>676</v>
      </c>
      <c r="G73" t="s">
        <v>476</v>
      </c>
      <c r="H73" t="s">
        <v>1108</v>
      </c>
    </row>
    <row r="74" spans="1:8" x14ac:dyDescent="0.3">
      <c r="A74" s="6">
        <v>1</v>
      </c>
      <c r="B74" t="s">
        <v>7</v>
      </c>
      <c r="C74" s="9" t="s">
        <v>932</v>
      </c>
      <c r="D74" s="9">
        <v>15</v>
      </c>
      <c r="E74" s="9" t="s">
        <v>1804</v>
      </c>
      <c r="F74" t="s">
        <v>827</v>
      </c>
      <c r="G74" t="s">
        <v>309</v>
      </c>
      <c r="H74" t="s">
        <v>1789</v>
      </c>
    </row>
    <row r="75" spans="1:8" x14ac:dyDescent="0.3">
      <c r="A75" s="6">
        <v>1</v>
      </c>
      <c r="B75" t="s">
        <v>7</v>
      </c>
      <c r="C75" s="9" t="s">
        <v>932</v>
      </c>
      <c r="D75" s="9">
        <v>18</v>
      </c>
      <c r="E75" s="9" t="s">
        <v>1804</v>
      </c>
      <c r="F75" t="s">
        <v>828</v>
      </c>
      <c r="G75" t="s">
        <v>309</v>
      </c>
      <c r="H75" t="s">
        <v>1790</v>
      </c>
    </row>
    <row r="76" spans="1:8" x14ac:dyDescent="0.3">
      <c r="A76" s="6">
        <v>1</v>
      </c>
      <c r="B76" t="s">
        <v>7</v>
      </c>
      <c r="C76" s="9" t="s">
        <v>1807</v>
      </c>
      <c r="D76" s="9">
        <v>420</v>
      </c>
      <c r="E76" s="9" t="s">
        <v>1808</v>
      </c>
      <c r="F76" t="s">
        <v>68</v>
      </c>
      <c r="G76" t="s">
        <v>69</v>
      </c>
      <c r="H76" t="s">
        <v>1551</v>
      </c>
    </row>
    <row r="77" spans="1:8" x14ac:dyDescent="0.3">
      <c r="A77" s="6">
        <v>1</v>
      </c>
      <c r="B77" t="s">
        <v>7</v>
      </c>
      <c r="C77" s="9" t="s">
        <v>1807</v>
      </c>
      <c r="D77" s="9">
        <v>198</v>
      </c>
      <c r="E77" s="9" t="s">
        <v>1808</v>
      </c>
      <c r="F77" t="s">
        <v>484</v>
      </c>
      <c r="G77" t="s">
        <v>69</v>
      </c>
      <c r="H77" t="s">
        <v>1556</v>
      </c>
    </row>
    <row r="78" spans="1:8" x14ac:dyDescent="0.3">
      <c r="A78" s="6">
        <v>1</v>
      </c>
      <c r="B78" t="s">
        <v>7</v>
      </c>
      <c r="C78" s="9" t="s">
        <v>932</v>
      </c>
      <c r="D78" s="9">
        <v>24</v>
      </c>
      <c r="E78" s="9" t="s">
        <v>1804</v>
      </c>
      <c r="F78" t="s">
        <v>316</v>
      </c>
      <c r="G78" t="s">
        <v>129</v>
      </c>
      <c r="H78" t="s">
        <v>1562</v>
      </c>
    </row>
    <row r="79" spans="1:8" x14ac:dyDescent="0.3">
      <c r="A79" s="6">
        <v>1</v>
      </c>
      <c r="B79" t="s">
        <v>7</v>
      </c>
      <c r="C79" s="9" t="s">
        <v>932</v>
      </c>
      <c r="D79" s="9">
        <v>28</v>
      </c>
      <c r="E79" s="9" t="s">
        <v>1804</v>
      </c>
      <c r="F79" t="s">
        <v>395</v>
      </c>
      <c r="G79" t="s">
        <v>396</v>
      </c>
      <c r="H79" t="s">
        <v>1564</v>
      </c>
    </row>
    <row r="80" spans="1:8" x14ac:dyDescent="0.3">
      <c r="A80" s="6">
        <v>1</v>
      </c>
      <c r="B80" t="s">
        <v>7</v>
      </c>
      <c r="C80" s="9" t="s">
        <v>1807</v>
      </c>
      <c r="D80" s="9">
        <v>770</v>
      </c>
      <c r="E80" s="9" t="s">
        <v>1808</v>
      </c>
      <c r="F80" t="s">
        <v>71</v>
      </c>
      <c r="G80" t="s">
        <v>72</v>
      </c>
      <c r="H80" t="s">
        <v>1565</v>
      </c>
    </row>
    <row r="81" spans="1:8" x14ac:dyDescent="0.3">
      <c r="A81" s="6">
        <v>1</v>
      </c>
      <c r="B81" t="s">
        <v>7</v>
      </c>
      <c r="C81" s="9" t="s">
        <v>1807</v>
      </c>
      <c r="D81" s="9">
        <v>518</v>
      </c>
      <c r="E81" s="9" t="s">
        <v>1808</v>
      </c>
      <c r="F81" t="s">
        <v>74</v>
      </c>
      <c r="G81" t="s">
        <v>72</v>
      </c>
      <c r="H81" t="s">
        <v>1566</v>
      </c>
    </row>
    <row r="82" spans="1:8" x14ac:dyDescent="0.3">
      <c r="A82" s="6">
        <v>1</v>
      </c>
      <c r="B82" t="s">
        <v>7</v>
      </c>
      <c r="C82" s="9" t="s">
        <v>1807</v>
      </c>
      <c r="D82" s="9">
        <v>364</v>
      </c>
      <c r="E82" s="9" t="s">
        <v>1808</v>
      </c>
      <c r="F82" t="s">
        <v>702</v>
      </c>
      <c r="G82" t="s">
        <v>72</v>
      </c>
      <c r="H82" t="s">
        <v>1570</v>
      </c>
    </row>
    <row r="83" spans="1:8" x14ac:dyDescent="0.3">
      <c r="A83" s="6">
        <v>1</v>
      </c>
      <c r="B83" t="s">
        <v>7</v>
      </c>
      <c r="C83" s="9" t="s">
        <v>1807</v>
      </c>
      <c r="D83" s="9">
        <v>398</v>
      </c>
      <c r="E83" s="9" t="s">
        <v>1808</v>
      </c>
      <c r="F83" t="s">
        <v>318</v>
      </c>
      <c r="G83" t="s">
        <v>76</v>
      </c>
      <c r="H83" t="s">
        <v>1578</v>
      </c>
    </row>
    <row r="84" spans="1:8" x14ac:dyDescent="0.3">
      <c r="A84" s="6">
        <v>1</v>
      </c>
      <c r="B84" t="s">
        <v>7</v>
      </c>
      <c r="C84" s="9" t="s">
        <v>1809</v>
      </c>
      <c r="D84" s="9">
        <v>60</v>
      </c>
      <c r="E84" s="9" t="s">
        <v>1804</v>
      </c>
      <c r="F84" t="s">
        <v>78</v>
      </c>
      <c r="G84" t="s">
        <v>1810</v>
      </c>
      <c r="H84" t="s">
        <v>1811</v>
      </c>
    </row>
    <row r="85" spans="1:8" x14ac:dyDescent="0.3">
      <c r="A85" s="6">
        <v>1</v>
      </c>
      <c r="B85" t="s">
        <v>7</v>
      </c>
      <c r="C85" s="9" t="s">
        <v>963</v>
      </c>
      <c r="D85" s="9">
        <v>60</v>
      </c>
      <c r="E85" s="9" t="s">
        <v>1804</v>
      </c>
      <c r="F85" t="s">
        <v>579</v>
      </c>
      <c r="G85" t="s">
        <v>531</v>
      </c>
      <c r="H85" t="s">
        <v>967</v>
      </c>
    </row>
    <row r="86" spans="1:8" x14ac:dyDescent="0.3">
      <c r="A86" s="6">
        <v>1</v>
      </c>
      <c r="B86" t="s">
        <v>7</v>
      </c>
      <c r="C86" s="9" t="s">
        <v>963</v>
      </c>
      <c r="D86" s="9">
        <v>64</v>
      </c>
      <c r="E86" s="9" t="s">
        <v>1804</v>
      </c>
      <c r="F86" t="s">
        <v>82</v>
      </c>
      <c r="G86" t="s">
        <v>83</v>
      </c>
      <c r="H86" t="s">
        <v>1340</v>
      </c>
    </row>
    <row r="87" spans="1:8" x14ac:dyDescent="0.3">
      <c r="A87" s="6">
        <v>1</v>
      </c>
      <c r="B87" t="s">
        <v>7</v>
      </c>
      <c r="C87" s="9" t="s">
        <v>963</v>
      </c>
      <c r="D87" s="9">
        <v>70</v>
      </c>
      <c r="E87" s="9" t="s">
        <v>1804</v>
      </c>
      <c r="F87" t="s">
        <v>525</v>
      </c>
      <c r="G87" t="s">
        <v>526</v>
      </c>
      <c r="H87" t="s">
        <v>1341</v>
      </c>
    </row>
    <row r="88" spans="1:8" x14ac:dyDescent="0.3">
      <c r="A88" s="6">
        <v>1</v>
      </c>
      <c r="B88" t="s">
        <v>7</v>
      </c>
      <c r="C88" s="9" t="s">
        <v>963</v>
      </c>
      <c r="D88" s="9">
        <v>88</v>
      </c>
      <c r="E88" s="9" t="s">
        <v>1804</v>
      </c>
      <c r="F88" t="s">
        <v>84</v>
      </c>
      <c r="G88" t="s">
        <v>85</v>
      </c>
      <c r="H88" t="s">
        <v>1342</v>
      </c>
    </row>
    <row r="89" spans="1:8" x14ac:dyDescent="0.3">
      <c r="A89" s="6">
        <v>1</v>
      </c>
      <c r="B89" t="s">
        <v>7</v>
      </c>
      <c r="C89" s="9" t="s">
        <v>963</v>
      </c>
      <c r="D89" s="9">
        <v>65</v>
      </c>
      <c r="E89" s="9" t="s">
        <v>1804</v>
      </c>
      <c r="F89" t="s">
        <v>326</v>
      </c>
      <c r="G89" t="s">
        <v>200</v>
      </c>
      <c r="H89" t="s">
        <v>1346</v>
      </c>
    </row>
    <row r="90" spans="1:8" x14ac:dyDescent="0.3">
      <c r="A90" s="6">
        <v>1</v>
      </c>
      <c r="B90" t="s">
        <v>7</v>
      </c>
      <c r="C90" s="9" t="s">
        <v>963</v>
      </c>
      <c r="D90" s="9">
        <v>74</v>
      </c>
      <c r="E90" s="9" t="s">
        <v>1804</v>
      </c>
      <c r="F90" t="s">
        <v>87</v>
      </c>
      <c r="G90" t="s">
        <v>88</v>
      </c>
      <c r="H90" t="s">
        <v>1349</v>
      </c>
    </row>
    <row r="91" spans="1:8" x14ac:dyDescent="0.3">
      <c r="A91" s="6">
        <v>1</v>
      </c>
      <c r="B91" t="s">
        <v>7</v>
      </c>
      <c r="C91" s="9" t="s">
        <v>963</v>
      </c>
      <c r="D91" s="9">
        <v>73</v>
      </c>
      <c r="E91" s="9" t="s">
        <v>1804</v>
      </c>
      <c r="F91" t="s">
        <v>679</v>
      </c>
      <c r="G91" t="s">
        <v>680</v>
      </c>
      <c r="H91" t="s">
        <v>972</v>
      </c>
    </row>
    <row r="92" spans="1:8" x14ac:dyDescent="0.3">
      <c r="A92" s="6">
        <v>1</v>
      </c>
      <c r="B92" t="s">
        <v>7</v>
      </c>
      <c r="C92" s="9" t="s">
        <v>963</v>
      </c>
      <c r="D92" s="9">
        <v>73</v>
      </c>
      <c r="E92" s="9" t="s">
        <v>1804</v>
      </c>
      <c r="F92" t="s">
        <v>90</v>
      </c>
      <c r="G92" t="s">
        <v>15</v>
      </c>
      <c r="H92" t="s">
        <v>1351</v>
      </c>
    </row>
    <row r="93" spans="1:8" x14ac:dyDescent="0.3">
      <c r="A93" s="6">
        <v>1</v>
      </c>
      <c r="B93" t="s">
        <v>7</v>
      </c>
      <c r="C93" s="9" t="s">
        <v>963</v>
      </c>
      <c r="D93" s="9">
        <v>77</v>
      </c>
      <c r="E93" s="9" t="s">
        <v>1804</v>
      </c>
      <c r="F93" t="s">
        <v>91</v>
      </c>
      <c r="G93" t="s">
        <v>92</v>
      </c>
      <c r="H93" t="s">
        <v>1353</v>
      </c>
    </row>
    <row r="94" spans="1:8" x14ac:dyDescent="0.3">
      <c r="A94" s="6">
        <v>1</v>
      </c>
      <c r="B94" t="s">
        <v>7</v>
      </c>
      <c r="C94" s="9" t="s">
        <v>963</v>
      </c>
      <c r="D94" s="9">
        <v>76</v>
      </c>
      <c r="E94" s="9" t="s">
        <v>1804</v>
      </c>
      <c r="F94" t="s">
        <v>94</v>
      </c>
      <c r="G94" t="s">
        <v>95</v>
      </c>
      <c r="H94" t="s">
        <v>1355</v>
      </c>
    </row>
    <row r="95" spans="1:8" x14ac:dyDescent="0.3">
      <c r="A95" s="6">
        <v>1</v>
      </c>
      <c r="B95" t="s">
        <v>7</v>
      </c>
      <c r="C95" s="9" t="s">
        <v>963</v>
      </c>
      <c r="D95" s="9">
        <v>77</v>
      </c>
      <c r="E95" s="9" t="s">
        <v>1804</v>
      </c>
      <c r="F95" t="s">
        <v>98</v>
      </c>
      <c r="G95" t="s">
        <v>99</v>
      </c>
      <c r="H95" t="s">
        <v>1357</v>
      </c>
    </row>
    <row r="96" spans="1:8" x14ac:dyDescent="0.3">
      <c r="A96" s="6">
        <v>1</v>
      </c>
      <c r="B96" t="s">
        <v>7</v>
      </c>
      <c r="C96" s="9" t="s">
        <v>963</v>
      </c>
      <c r="D96" s="9">
        <v>76</v>
      </c>
      <c r="E96" s="9" t="s">
        <v>1804</v>
      </c>
      <c r="F96" t="s">
        <v>332</v>
      </c>
      <c r="G96" t="s">
        <v>333</v>
      </c>
      <c r="H96" t="s">
        <v>1358</v>
      </c>
    </row>
    <row r="97" spans="1:8" x14ac:dyDescent="0.3">
      <c r="A97" s="6">
        <v>1</v>
      </c>
      <c r="B97" t="s">
        <v>7</v>
      </c>
      <c r="C97" s="9" t="s">
        <v>963</v>
      </c>
      <c r="D97" s="9">
        <v>60</v>
      </c>
      <c r="E97" s="9" t="s">
        <v>1804</v>
      </c>
      <c r="F97" t="s">
        <v>341</v>
      </c>
      <c r="G97" t="s">
        <v>209</v>
      </c>
      <c r="H97" t="s">
        <v>1363</v>
      </c>
    </row>
    <row r="98" spans="1:8" x14ac:dyDescent="0.3">
      <c r="A98" s="6">
        <v>1</v>
      </c>
      <c r="B98" t="s">
        <v>7</v>
      </c>
      <c r="C98" s="9" t="s">
        <v>963</v>
      </c>
      <c r="D98" s="9">
        <v>72</v>
      </c>
      <c r="E98" s="9" t="s">
        <v>1804</v>
      </c>
      <c r="F98" t="s">
        <v>101</v>
      </c>
      <c r="G98" t="s">
        <v>102</v>
      </c>
      <c r="H98" t="s">
        <v>1365</v>
      </c>
    </row>
    <row r="99" spans="1:8" x14ac:dyDescent="0.3">
      <c r="A99" s="6">
        <v>1</v>
      </c>
      <c r="B99" t="s">
        <v>7</v>
      </c>
      <c r="C99" s="9" t="s">
        <v>963</v>
      </c>
      <c r="D99" s="9">
        <v>60</v>
      </c>
      <c r="E99" s="9" t="s">
        <v>1804</v>
      </c>
      <c r="F99" t="s">
        <v>400</v>
      </c>
      <c r="G99" t="s">
        <v>401</v>
      </c>
      <c r="H99" t="s">
        <v>1185</v>
      </c>
    </row>
    <row r="100" spans="1:8" x14ac:dyDescent="0.3">
      <c r="A100" s="6">
        <v>1</v>
      </c>
      <c r="B100" t="s">
        <v>7</v>
      </c>
      <c r="C100" s="9" t="s">
        <v>963</v>
      </c>
      <c r="D100" s="9">
        <v>60</v>
      </c>
      <c r="E100" s="9" t="s">
        <v>1804</v>
      </c>
      <c r="F100" t="s">
        <v>403</v>
      </c>
      <c r="G100" t="s">
        <v>386</v>
      </c>
      <c r="H100" t="s">
        <v>1432</v>
      </c>
    </row>
    <row r="101" spans="1:8" x14ac:dyDescent="0.3">
      <c r="A101" s="6">
        <v>1</v>
      </c>
      <c r="B101" t="s">
        <v>7</v>
      </c>
      <c r="C101" s="9" t="s">
        <v>963</v>
      </c>
      <c r="D101" s="9">
        <v>60</v>
      </c>
      <c r="E101" s="9" t="s">
        <v>1804</v>
      </c>
      <c r="F101" t="s">
        <v>167</v>
      </c>
      <c r="G101" t="s">
        <v>168</v>
      </c>
      <c r="H101" t="s">
        <v>1533</v>
      </c>
    </row>
    <row r="102" spans="1:8" x14ac:dyDescent="0.3">
      <c r="A102" s="6">
        <v>1</v>
      </c>
      <c r="B102" t="s">
        <v>7</v>
      </c>
      <c r="C102" s="9" t="s">
        <v>963</v>
      </c>
      <c r="D102" s="9">
        <v>60</v>
      </c>
      <c r="E102" s="9" t="s">
        <v>1804</v>
      </c>
      <c r="F102" t="s">
        <v>170</v>
      </c>
      <c r="G102" t="s">
        <v>171</v>
      </c>
      <c r="H102" t="s">
        <v>1535</v>
      </c>
    </row>
    <row r="103" spans="1:8" x14ac:dyDescent="0.3">
      <c r="A103" s="6">
        <v>1</v>
      </c>
      <c r="B103" t="s">
        <v>7</v>
      </c>
      <c r="C103" s="9" t="s">
        <v>963</v>
      </c>
      <c r="D103" s="9">
        <v>60</v>
      </c>
      <c r="E103" s="9" t="s">
        <v>1804</v>
      </c>
      <c r="F103" t="s">
        <v>106</v>
      </c>
      <c r="G103" t="s">
        <v>32</v>
      </c>
      <c r="H103" t="s">
        <v>1537</v>
      </c>
    </row>
    <row r="104" spans="1:8" x14ac:dyDescent="0.3">
      <c r="A104" s="6">
        <v>1</v>
      </c>
      <c r="B104" t="s">
        <v>7</v>
      </c>
      <c r="C104" s="9" t="s">
        <v>963</v>
      </c>
      <c r="D104" s="9">
        <v>60</v>
      </c>
      <c r="E104" s="9" t="s">
        <v>1804</v>
      </c>
      <c r="F104" t="s">
        <v>107</v>
      </c>
      <c r="G104" t="s">
        <v>108</v>
      </c>
      <c r="H104" t="s">
        <v>1140</v>
      </c>
    </row>
    <row r="105" spans="1:8" x14ac:dyDescent="0.3">
      <c r="A105" s="6">
        <v>1</v>
      </c>
      <c r="B105" t="s">
        <v>7</v>
      </c>
      <c r="C105" s="9" t="s">
        <v>963</v>
      </c>
      <c r="D105" s="9">
        <v>60</v>
      </c>
      <c r="E105" s="9" t="s">
        <v>1804</v>
      </c>
      <c r="F105" t="s">
        <v>351</v>
      </c>
      <c r="G105" t="s">
        <v>38</v>
      </c>
      <c r="H105" t="s">
        <v>1142</v>
      </c>
    </row>
    <row r="106" spans="1:8" x14ac:dyDescent="0.3">
      <c r="A106" s="6">
        <v>1</v>
      </c>
      <c r="B106" t="s">
        <v>7</v>
      </c>
      <c r="C106" s="9" t="s">
        <v>963</v>
      </c>
      <c r="D106" s="9">
        <v>60</v>
      </c>
      <c r="E106" s="9" t="s">
        <v>1804</v>
      </c>
      <c r="F106" t="s">
        <v>465</v>
      </c>
      <c r="G106" t="s">
        <v>235</v>
      </c>
      <c r="H106" t="s">
        <v>1117</v>
      </c>
    </row>
    <row r="107" spans="1:8" x14ac:dyDescent="0.3">
      <c r="A107" s="6">
        <v>1</v>
      </c>
      <c r="B107" t="s">
        <v>7</v>
      </c>
      <c r="C107" s="9" t="s">
        <v>963</v>
      </c>
      <c r="D107" s="9">
        <v>64</v>
      </c>
      <c r="E107" s="9" t="s">
        <v>1804</v>
      </c>
      <c r="F107" t="s">
        <v>583</v>
      </c>
      <c r="G107" t="s">
        <v>238</v>
      </c>
      <c r="H107" t="s">
        <v>1122</v>
      </c>
    </row>
    <row r="108" spans="1:8" x14ac:dyDescent="0.3">
      <c r="A108" s="6">
        <v>1</v>
      </c>
      <c r="B108" t="s">
        <v>7</v>
      </c>
      <c r="C108" s="9" t="s">
        <v>963</v>
      </c>
      <c r="D108" s="9">
        <v>60</v>
      </c>
      <c r="E108" s="9" t="s">
        <v>1804</v>
      </c>
      <c r="F108" t="s">
        <v>117</v>
      </c>
      <c r="G108" t="s">
        <v>118</v>
      </c>
      <c r="H108" t="s">
        <v>1419</v>
      </c>
    </row>
    <row r="109" spans="1:8" x14ac:dyDescent="0.3">
      <c r="A109" s="6">
        <v>1</v>
      </c>
      <c r="B109" t="s">
        <v>7</v>
      </c>
      <c r="C109" s="9" t="s">
        <v>963</v>
      </c>
      <c r="D109" s="9">
        <v>60</v>
      </c>
      <c r="E109" s="9" t="s">
        <v>1804</v>
      </c>
      <c r="F109" t="s">
        <v>120</v>
      </c>
      <c r="G109" t="s">
        <v>51</v>
      </c>
      <c r="H109" t="s">
        <v>1590</v>
      </c>
    </row>
    <row r="110" spans="1:8" x14ac:dyDescent="0.3">
      <c r="A110" s="6">
        <v>1</v>
      </c>
      <c r="B110" t="s">
        <v>7</v>
      </c>
      <c r="C110" s="9" t="s">
        <v>963</v>
      </c>
      <c r="D110" s="9">
        <v>64</v>
      </c>
      <c r="E110" s="9" t="s">
        <v>1804</v>
      </c>
      <c r="F110" t="s">
        <v>921</v>
      </c>
      <c r="G110" t="s">
        <v>470</v>
      </c>
      <c r="H110" t="s">
        <v>1684</v>
      </c>
    </row>
    <row r="111" spans="1:8" x14ac:dyDescent="0.3">
      <c r="A111" s="6">
        <v>1</v>
      </c>
      <c r="B111" t="s">
        <v>7</v>
      </c>
      <c r="C111" s="9" t="s">
        <v>963</v>
      </c>
      <c r="D111" s="9">
        <v>62</v>
      </c>
      <c r="E111" s="9" t="s">
        <v>1804</v>
      </c>
      <c r="F111" t="s">
        <v>405</v>
      </c>
      <c r="G111" t="s">
        <v>260</v>
      </c>
      <c r="H111" t="s">
        <v>1022</v>
      </c>
    </row>
    <row r="112" spans="1:8" x14ac:dyDescent="0.3">
      <c r="A112" s="6">
        <v>1</v>
      </c>
      <c r="B112" t="s">
        <v>7</v>
      </c>
      <c r="C112" s="9" t="s">
        <v>963</v>
      </c>
      <c r="D112" s="9">
        <v>64</v>
      </c>
      <c r="E112" s="9" t="s">
        <v>1804</v>
      </c>
      <c r="F112" t="s">
        <v>406</v>
      </c>
      <c r="G112" t="s">
        <v>269</v>
      </c>
      <c r="H112" t="s">
        <v>1687</v>
      </c>
    </row>
    <row r="113" spans="1:8" x14ac:dyDescent="0.3">
      <c r="A113" s="6">
        <v>1</v>
      </c>
      <c r="B113" t="s">
        <v>7</v>
      </c>
      <c r="C113" s="9" t="s">
        <v>963</v>
      </c>
      <c r="D113" s="9">
        <v>64</v>
      </c>
      <c r="E113" s="9" t="s">
        <v>1804</v>
      </c>
      <c r="F113" t="s">
        <v>849</v>
      </c>
      <c r="G113" t="s">
        <v>309</v>
      </c>
      <c r="H113" t="s">
        <v>1798</v>
      </c>
    </row>
    <row r="114" spans="1:8" x14ac:dyDescent="0.3">
      <c r="A114" s="6">
        <v>1</v>
      </c>
      <c r="B114" t="s">
        <v>7</v>
      </c>
      <c r="C114" s="9" t="s">
        <v>963</v>
      </c>
      <c r="D114" s="9">
        <v>60</v>
      </c>
      <c r="E114" s="9" t="s">
        <v>1804</v>
      </c>
      <c r="F114" t="s">
        <v>367</v>
      </c>
      <c r="G114" t="s">
        <v>368</v>
      </c>
      <c r="H114" t="s">
        <v>1688</v>
      </c>
    </row>
    <row r="115" spans="1:8" x14ac:dyDescent="0.3">
      <c r="A115" s="6">
        <v>1</v>
      </c>
      <c r="B115" t="s">
        <v>7</v>
      </c>
      <c r="C115" s="9" t="s">
        <v>963</v>
      </c>
      <c r="D115" s="9">
        <v>60</v>
      </c>
      <c r="E115" s="9" t="s">
        <v>1804</v>
      </c>
      <c r="F115" t="s">
        <v>922</v>
      </c>
      <c r="G115" t="s">
        <v>923</v>
      </c>
      <c r="H115" t="s">
        <v>1195</v>
      </c>
    </row>
    <row r="116" spans="1:8" x14ac:dyDescent="0.3">
      <c r="A116" s="6">
        <v>1</v>
      </c>
      <c r="B116" t="s">
        <v>7</v>
      </c>
      <c r="C116" s="9" t="s">
        <v>963</v>
      </c>
      <c r="D116" s="9">
        <v>64</v>
      </c>
      <c r="E116" s="9" t="s">
        <v>1804</v>
      </c>
      <c r="F116" t="s">
        <v>125</v>
      </c>
      <c r="G116" t="s">
        <v>126</v>
      </c>
      <c r="H116" t="s">
        <v>1581</v>
      </c>
    </row>
    <row r="117" spans="1:8" x14ac:dyDescent="0.3">
      <c r="A117" s="6">
        <v>1</v>
      </c>
      <c r="B117" t="s">
        <v>7</v>
      </c>
      <c r="C117" s="9" t="s">
        <v>963</v>
      </c>
      <c r="D117" s="9">
        <v>60</v>
      </c>
      <c r="E117" s="9" t="s">
        <v>1804</v>
      </c>
      <c r="F117" t="s">
        <v>128</v>
      </c>
      <c r="G117" t="s">
        <v>129</v>
      </c>
      <c r="H117" t="s">
        <v>1582</v>
      </c>
    </row>
    <row r="118" spans="1:8" x14ac:dyDescent="0.3">
      <c r="A118" s="6">
        <v>1</v>
      </c>
      <c r="B118" t="s">
        <v>7</v>
      </c>
      <c r="C118" s="9" t="s">
        <v>963</v>
      </c>
      <c r="D118" s="9">
        <v>60</v>
      </c>
      <c r="E118" s="9" t="s">
        <v>1804</v>
      </c>
      <c r="F118" t="s">
        <v>407</v>
      </c>
      <c r="G118" t="s">
        <v>396</v>
      </c>
      <c r="H118" t="s">
        <v>1583</v>
      </c>
    </row>
    <row r="119" spans="1:8" x14ac:dyDescent="0.3">
      <c r="A119" s="6">
        <v>1</v>
      </c>
      <c r="B119" t="s">
        <v>7</v>
      </c>
      <c r="C119" s="9" t="s">
        <v>963</v>
      </c>
      <c r="D119" s="9">
        <v>60</v>
      </c>
      <c r="E119" s="9" t="s">
        <v>1804</v>
      </c>
      <c r="F119" t="s">
        <v>375</v>
      </c>
      <c r="G119" t="s">
        <v>376</v>
      </c>
      <c r="H119" t="s">
        <v>1586</v>
      </c>
    </row>
    <row r="120" spans="1:8" x14ac:dyDescent="0.3">
      <c r="A120" s="6">
        <v>2</v>
      </c>
      <c r="B120" t="s">
        <v>726</v>
      </c>
      <c r="C120" s="9" t="s">
        <v>932</v>
      </c>
      <c r="D120" s="9">
        <v>12</v>
      </c>
      <c r="E120" s="9" t="s">
        <v>1804</v>
      </c>
      <c r="F120" t="s">
        <v>143</v>
      </c>
      <c r="G120" t="s">
        <v>144</v>
      </c>
      <c r="H120" t="s">
        <v>1694</v>
      </c>
    </row>
    <row r="121" spans="1:8" x14ac:dyDescent="0.3">
      <c r="A121" s="6">
        <v>2</v>
      </c>
      <c r="B121" t="s">
        <v>726</v>
      </c>
      <c r="C121" s="9" t="s">
        <v>932</v>
      </c>
      <c r="D121" s="9">
        <v>30</v>
      </c>
      <c r="E121" s="9" t="s">
        <v>1804</v>
      </c>
      <c r="F121" t="s">
        <v>146</v>
      </c>
      <c r="G121" t="s">
        <v>147</v>
      </c>
      <c r="H121" t="s">
        <v>1377</v>
      </c>
    </row>
    <row r="122" spans="1:8" x14ac:dyDescent="0.3">
      <c r="A122" s="6">
        <v>2</v>
      </c>
      <c r="B122" t="s">
        <v>726</v>
      </c>
      <c r="C122" s="9" t="s">
        <v>932</v>
      </c>
      <c r="D122" s="9">
        <v>15</v>
      </c>
      <c r="E122" s="9" t="s">
        <v>1804</v>
      </c>
      <c r="F122" t="s">
        <v>149</v>
      </c>
      <c r="G122" t="s">
        <v>147</v>
      </c>
      <c r="H122" t="s">
        <v>1378</v>
      </c>
    </row>
    <row r="123" spans="1:8" x14ac:dyDescent="0.3">
      <c r="A123" s="6">
        <v>2</v>
      </c>
      <c r="B123" t="s">
        <v>726</v>
      </c>
      <c r="C123" s="9" t="s">
        <v>932</v>
      </c>
      <c r="D123" s="9">
        <v>30</v>
      </c>
      <c r="E123" s="9" t="s">
        <v>1804</v>
      </c>
      <c r="F123" t="s">
        <v>176</v>
      </c>
      <c r="G123" t="s">
        <v>177</v>
      </c>
      <c r="H123" t="s">
        <v>1381</v>
      </c>
    </row>
    <row r="124" spans="1:8" x14ac:dyDescent="0.3">
      <c r="A124" s="6">
        <v>2</v>
      </c>
      <c r="B124" t="s">
        <v>726</v>
      </c>
      <c r="C124" s="9" t="s">
        <v>932</v>
      </c>
      <c r="D124" s="9">
        <v>24</v>
      </c>
      <c r="E124" s="9" t="s">
        <v>1804</v>
      </c>
      <c r="F124" t="s">
        <v>536</v>
      </c>
      <c r="G124" t="s">
        <v>537</v>
      </c>
      <c r="H124" t="s">
        <v>1384</v>
      </c>
    </row>
    <row r="125" spans="1:8" x14ac:dyDescent="0.3">
      <c r="A125" s="6">
        <v>2</v>
      </c>
      <c r="B125" t="s">
        <v>726</v>
      </c>
      <c r="C125" s="9" t="s">
        <v>932</v>
      </c>
      <c r="D125" s="9">
        <v>30</v>
      </c>
      <c r="E125" s="9" t="s">
        <v>1804</v>
      </c>
      <c r="F125" t="s">
        <v>498</v>
      </c>
      <c r="G125" t="s">
        <v>499</v>
      </c>
      <c r="H125" t="s">
        <v>1695</v>
      </c>
    </row>
    <row r="126" spans="1:8" x14ac:dyDescent="0.3">
      <c r="A126" s="6">
        <v>2</v>
      </c>
      <c r="B126" t="s">
        <v>726</v>
      </c>
      <c r="C126" s="9" t="s">
        <v>1266</v>
      </c>
      <c r="D126" s="9">
        <v>50</v>
      </c>
      <c r="E126" s="9" t="s">
        <v>1804</v>
      </c>
      <c r="F126" t="s">
        <v>8</v>
      </c>
      <c r="G126" t="s">
        <v>526</v>
      </c>
      <c r="H126" t="s">
        <v>1805</v>
      </c>
    </row>
    <row r="127" spans="1:8" x14ac:dyDescent="0.3">
      <c r="A127" s="6">
        <v>2</v>
      </c>
      <c r="B127" t="s">
        <v>726</v>
      </c>
      <c r="C127" s="9" t="s">
        <v>932</v>
      </c>
      <c r="D127" s="9">
        <v>32</v>
      </c>
      <c r="E127" s="9" t="s">
        <v>1804</v>
      </c>
      <c r="F127" t="s">
        <v>619</v>
      </c>
      <c r="G127" t="s">
        <v>620</v>
      </c>
      <c r="H127" t="s">
        <v>1326</v>
      </c>
    </row>
    <row r="128" spans="1:8" x14ac:dyDescent="0.3">
      <c r="A128" s="6">
        <v>2</v>
      </c>
      <c r="B128" t="s">
        <v>726</v>
      </c>
      <c r="C128" s="9" t="s">
        <v>932</v>
      </c>
      <c r="D128" s="9">
        <v>44</v>
      </c>
      <c r="E128" s="9" t="s">
        <v>1804</v>
      </c>
      <c r="F128" t="s">
        <v>202</v>
      </c>
      <c r="G128" t="s">
        <v>200</v>
      </c>
      <c r="H128" t="s">
        <v>1272</v>
      </c>
    </row>
    <row r="129" spans="1:8" x14ac:dyDescent="0.3">
      <c r="A129" s="6">
        <v>2</v>
      </c>
      <c r="B129" t="s">
        <v>726</v>
      </c>
      <c r="C129" s="9" t="s">
        <v>932</v>
      </c>
      <c r="D129" s="9">
        <v>42</v>
      </c>
      <c r="E129" s="9" t="s">
        <v>1804</v>
      </c>
      <c r="F129" t="s">
        <v>14</v>
      </c>
      <c r="G129" t="s">
        <v>15</v>
      </c>
      <c r="H129" t="s">
        <v>1290</v>
      </c>
    </row>
    <row r="130" spans="1:8" x14ac:dyDescent="0.3">
      <c r="A130" s="6">
        <v>2</v>
      </c>
      <c r="B130" t="s">
        <v>726</v>
      </c>
      <c r="C130" s="9" t="s">
        <v>1266</v>
      </c>
      <c r="D130" s="9">
        <v>12</v>
      </c>
      <c r="E130" s="9" t="s">
        <v>1804</v>
      </c>
      <c r="F130" t="s">
        <v>17</v>
      </c>
      <c r="G130" t="s">
        <v>15</v>
      </c>
      <c r="H130" t="s">
        <v>1291</v>
      </c>
    </row>
    <row r="131" spans="1:8" x14ac:dyDescent="0.3">
      <c r="A131" s="6">
        <v>2</v>
      </c>
      <c r="B131" t="s">
        <v>726</v>
      </c>
      <c r="C131" s="9" t="s">
        <v>932</v>
      </c>
      <c r="D131" s="9">
        <v>48</v>
      </c>
      <c r="E131" s="9" t="s">
        <v>1804</v>
      </c>
      <c r="F131" t="s">
        <v>727</v>
      </c>
      <c r="G131" t="s">
        <v>654</v>
      </c>
      <c r="H131" t="s">
        <v>1295</v>
      </c>
    </row>
    <row r="132" spans="1:8" x14ac:dyDescent="0.3">
      <c r="A132" s="6">
        <v>2</v>
      </c>
      <c r="B132" t="s">
        <v>726</v>
      </c>
      <c r="C132" s="9" t="s">
        <v>932</v>
      </c>
      <c r="D132" s="9">
        <v>43</v>
      </c>
      <c r="E132" s="9" t="s">
        <v>1804</v>
      </c>
      <c r="F132" t="s">
        <v>206</v>
      </c>
      <c r="G132" t="s">
        <v>92</v>
      </c>
      <c r="H132" t="s">
        <v>1296</v>
      </c>
    </row>
    <row r="133" spans="1:8" x14ac:dyDescent="0.3">
      <c r="A133" s="6">
        <v>2</v>
      </c>
      <c r="B133" t="s">
        <v>726</v>
      </c>
      <c r="C133" s="9" t="s">
        <v>1807</v>
      </c>
      <c r="D133" s="9">
        <v>750</v>
      </c>
      <c r="E133" s="9" t="s">
        <v>1808</v>
      </c>
      <c r="F133" t="s">
        <v>210</v>
      </c>
      <c r="G133" t="s">
        <v>212</v>
      </c>
      <c r="H133" t="s">
        <v>1331</v>
      </c>
    </row>
    <row r="134" spans="1:8" x14ac:dyDescent="0.3">
      <c r="A134" s="6">
        <v>2</v>
      </c>
      <c r="B134" t="s">
        <v>726</v>
      </c>
      <c r="C134" s="9" t="s">
        <v>932</v>
      </c>
      <c r="D134" s="9">
        <v>36</v>
      </c>
      <c r="E134" s="9" t="s">
        <v>1804</v>
      </c>
      <c r="F134" t="s">
        <v>28</v>
      </c>
      <c r="G134" t="s">
        <v>29</v>
      </c>
      <c r="H134" t="s">
        <v>1180</v>
      </c>
    </row>
    <row r="135" spans="1:8" x14ac:dyDescent="0.3">
      <c r="A135" s="6">
        <v>2</v>
      </c>
      <c r="B135" t="s">
        <v>726</v>
      </c>
      <c r="C135" s="9" t="s">
        <v>932</v>
      </c>
      <c r="D135" s="9">
        <v>12</v>
      </c>
      <c r="E135" s="9" t="s">
        <v>1804</v>
      </c>
      <c r="F135" t="s">
        <v>483</v>
      </c>
      <c r="G135" t="s">
        <v>29</v>
      </c>
      <c r="H135" t="s">
        <v>1182</v>
      </c>
    </row>
    <row r="136" spans="1:8" x14ac:dyDescent="0.3">
      <c r="A136" s="6">
        <v>2</v>
      </c>
      <c r="B136" t="s">
        <v>726</v>
      </c>
      <c r="C136" s="9" t="s">
        <v>932</v>
      </c>
      <c r="D136" s="9">
        <v>12</v>
      </c>
      <c r="E136" s="9" t="s">
        <v>1804</v>
      </c>
      <c r="F136" t="s">
        <v>588</v>
      </c>
      <c r="G136" t="s">
        <v>29</v>
      </c>
      <c r="H136" t="s">
        <v>1183</v>
      </c>
    </row>
    <row r="137" spans="1:8" x14ac:dyDescent="0.3">
      <c r="A137" s="6">
        <v>2</v>
      </c>
      <c r="B137" t="s">
        <v>726</v>
      </c>
      <c r="C137" s="9" t="s">
        <v>932</v>
      </c>
      <c r="D137" s="9">
        <v>12</v>
      </c>
      <c r="E137" s="9" t="s">
        <v>1804</v>
      </c>
      <c r="F137" t="s">
        <v>589</v>
      </c>
      <c r="G137" t="s">
        <v>29</v>
      </c>
      <c r="H137" t="s">
        <v>1184</v>
      </c>
    </row>
    <row r="138" spans="1:8" x14ac:dyDescent="0.3">
      <c r="A138" s="6">
        <v>2</v>
      </c>
      <c r="B138" t="s">
        <v>726</v>
      </c>
      <c r="C138" s="9" t="s">
        <v>932</v>
      </c>
      <c r="D138" s="9">
        <v>18</v>
      </c>
      <c r="E138" s="9" t="s">
        <v>1804</v>
      </c>
      <c r="F138" t="s">
        <v>418</v>
      </c>
      <c r="G138" t="s">
        <v>168</v>
      </c>
      <c r="H138" t="s">
        <v>1440</v>
      </c>
    </row>
    <row r="139" spans="1:8" x14ac:dyDescent="0.3">
      <c r="A139" s="6">
        <v>2</v>
      </c>
      <c r="B139" t="s">
        <v>726</v>
      </c>
      <c r="C139" s="9" t="s">
        <v>932</v>
      </c>
      <c r="D139" s="9">
        <v>18</v>
      </c>
      <c r="E139" s="9" t="s">
        <v>1804</v>
      </c>
      <c r="F139" t="s">
        <v>217</v>
      </c>
      <c r="G139" t="s">
        <v>168</v>
      </c>
      <c r="H139" t="s">
        <v>1442</v>
      </c>
    </row>
    <row r="140" spans="1:8" x14ac:dyDescent="0.3">
      <c r="A140" s="6">
        <v>2</v>
      </c>
      <c r="B140" t="s">
        <v>726</v>
      </c>
      <c r="C140" s="9" t="s">
        <v>932</v>
      </c>
      <c r="D140" s="9">
        <v>27</v>
      </c>
      <c r="E140" s="9" t="s">
        <v>1804</v>
      </c>
      <c r="F140" t="s">
        <v>218</v>
      </c>
      <c r="G140" t="s">
        <v>168</v>
      </c>
      <c r="H140" t="s">
        <v>1443</v>
      </c>
    </row>
    <row r="141" spans="1:8" x14ac:dyDescent="0.3">
      <c r="A141" s="6">
        <v>2</v>
      </c>
      <c r="B141" t="s">
        <v>726</v>
      </c>
      <c r="C141" s="9" t="s">
        <v>1806</v>
      </c>
      <c r="D141" s="9">
        <v>9</v>
      </c>
      <c r="E141" s="9" t="s">
        <v>1804</v>
      </c>
      <c r="F141" t="s">
        <v>419</v>
      </c>
      <c r="G141" t="s">
        <v>168</v>
      </c>
      <c r="H141" t="s">
        <v>1533</v>
      </c>
    </row>
    <row r="142" spans="1:8" x14ac:dyDescent="0.3">
      <c r="A142" s="6">
        <v>2</v>
      </c>
      <c r="B142" t="s">
        <v>726</v>
      </c>
      <c r="C142" s="9" t="s">
        <v>932</v>
      </c>
      <c r="D142" s="9">
        <v>18</v>
      </c>
      <c r="E142" s="9" t="s">
        <v>1804</v>
      </c>
      <c r="F142" t="s">
        <v>389</v>
      </c>
      <c r="G142" t="s">
        <v>171</v>
      </c>
      <c r="H142" t="s">
        <v>1447</v>
      </c>
    </row>
    <row r="143" spans="1:8" x14ac:dyDescent="0.3">
      <c r="A143" s="6">
        <v>2</v>
      </c>
      <c r="B143" t="s">
        <v>726</v>
      </c>
      <c r="C143" s="9" t="s">
        <v>932</v>
      </c>
      <c r="D143" s="9">
        <v>33</v>
      </c>
      <c r="E143" s="9" t="s">
        <v>1804</v>
      </c>
      <c r="F143" t="s">
        <v>390</v>
      </c>
      <c r="G143" t="s">
        <v>391</v>
      </c>
      <c r="H143" t="s">
        <v>1449</v>
      </c>
    </row>
    <row r="144" spans="1:8" x14ac:dyDescent="0.3">
      <c r="A144" s="6">
        <v>2</v>
      </c>
      <c r="B144" t="s">
        <v>726</v>
      </c>
      <c r="C144" s="9" t="s">
        <v>932</v>
      </c>
      <c r="D144" s="9">
        <v>35</v>
      </c>
      <c r="E144" s="9" t="s">
        <v>1804</v>
      </c>
      <c r="F144" t="s">
        <v>421</v>
      </c>
      <c r="G144" t="s">
        <v>115</v>
      </c>
      <c r="H144" t="s">
        <v>1464</v>
      </c>
    </row>
    <row r="145" spans="1:8" x14ac:dyDescent="0.3">
      <c r="A145" s="6">
        <v>2</v>
      </c>
      <c r="B145" t="s">
        <v>726</v>
      </c>
      <c r="C145" s="9" t="s">
        <v>1806</v>
      </c>
      <c r="D145" s="9">
        <v>9</v>
      </c>
      <c r="E145" s="9" t="s">
        <v>1804</v>
      </c>
      <c r="F145" t="s">
        <v>728</v>
      </c>
      <c r="G145" t="s">
        <v>115</v>
      </c>
      <c r="H145" t="s">
        <v>1536</v>
      </c>
    </row>
    <row r="146" spans="1:8" x14ac:dyDescent="0.3">
      <c r="A146" s="6">
        <v>2</v>
      </c>
      <c r="B146" t="s">
        <v>726</v>
      </c>
      <c r="C146" s="9" t="s">
        <v>932</v>
      </c>
      <c r="D146" s="9">
        <v>24</v>
      </c>
      <c r="E146" s="9" t="s">
        <v>1804</v>
      </c>
      <c r="F146" t="s">
        <v>31</v>
      </c>
      <c r="G146" t="s">
        <v>32</v>
      </c>
      <c r="H146" t="s">
        <v>1483</v>
      </c>
    </row>
    <row r="147" spans="1:8" x14ac:dyDescent="0.3">
      <c r="A147" s="6">
        <v>2</v>
      </c>
      <c r="B147" t="s">
        <v>726</v>
      </c>
      <c r="C147" s="9" t="s">
        <v>932</v>
      </c>
      <c r="D147" s="9">
        <v>21</v>
      </c>
      <c r="E147" s="9" t="s">
        <v>1804</v>
      </c>
      <c r="F147" t="s">
        <v>34</v>
      </c>
      <c r="G147" t="s">
        <v>32</v>
      </c>
      <c r="H147" t="s">
        <v>1485</v>
      </c>
    </row>
    <row r="148" spans="1:8" x14ac:dyDescent="0.3">
      <c r="A148" s="6">
        <v>2</v>
      </c>
      <c r="B148" t="s">
        <v>726</v>
      </c>
      <c r="C148" s="9" t="s">
        <v>932</v>
      </c>
      <c r="D148" s="9">
        <v>24</v>
      </c>
      <c r="E148" s="9" t="s">
        <v>1804</v>
      </c>
      <c r="F148" t="s">
        <v>542</v>
      </c>
      <c r="G148" t="s">
        <v>32</v>
      </c>
      <c r="H148" t="s">
        <v>1487</v>
      </c>
    </row>
    <row r="149" spans="1:8" x14ac:dyDescent="0.3">
      <c r="A149" s="6">
        <v>2</v>
      </c>
      <c r="B149" t="s">
        <v>726</v>
      </c>
      <c r="C149" s="9" t="s">
        <v>932</v>
      </c>
      <c r="D149" s="9">
        <v>30</v>
      </c>
      <c r="E149" s="9" t="s">
        <v>1804</v>
      </c>
      <c r="F149" t="s">
        <v>35</v>
      </c>
      <c r="G149" t="s">
        <v>32</v>
      </c>
      <c r="H149" t="s">
        <v>1489</v>
      </c>
    </row>
    <row r="150" spans="1:8" x14ac:dyDescent="0.3">
      <c r="A150" s="6">
        <v>2</v>
      </c>
      <c r="B150" t="s">
        <v>726</v>
      </c>
      <c r="C150" s="9" t="s">
        <v>1806</v>
      </c>
      <c r="D150" s="9">
        <v>9</v>
      </c>
      <c r="E150" s="9" t="s">
        <v>1804</v>
      </c>
      <c r="F150" t="s">
        <v>729</v>
      </c>
      <c r="G150" t="s">
        <v>32</v>
      </c>
      <c r="H150" t="s">
        <v>1537</v>
      </c>
    </row>
    <row r="151" spans="1:8" x14ac:dyDescent="0.3">
      <c r="A151" s="6">
        <v>2</v>
      </c>
      <c r="B151" t="s">
        <v>726</v>
      </c>
      <c r="C151" s="9" t="s">
        <v>1806</v>
      </c>
      <c r="D151" s="9">
        <v>9</v>
      </c>
      <c r="E151" s="9" t="s">
        <v>1804</v>
      </c>
      <c r="F151" t="s">
        <v>506</v>
      </c>
      <c r="G151" t="s">
        <v>504</v>
      </c>
      <c r="H151" t="s">
        <v>1538</v>
      </c>
    </row>
    <row r="152" spans="1:8" x14ac:dyDescent="0.3">
      <c r="A152" s="6">
        <v>2</v>
      </c>
      <c r="B152" t="s">
        <v>726</v>
      </c>
      <c r="C152" s="9" t="s">
        <v>1806</v>
      </c>
      <c r="D152" s="9">
        <v>9</v>
      </c>
      <c r="E152" s="9" t="s">
        <v>1804</v>
      </c>
      <c r="F152" t="s">
        <v>730</v>
      </c>
      <c r="G152" t="s">
        <v>752</v>
      </c>
      <c r="H152" t="s">
        <v>1540</v>
      </c>
    </row>
    <row r="153" spans="1:8" x14ac:dyDescent="0.3">
      <c r="A153" s="6">
        <v>2</v>
      </c>
      <c r="B153" t="s">
        <v>726</v>
      </c>
      <c r="C153" s="9" t="s">
        <v>932</v>
      </c>
      <c r="D153" s="9">
        <v>21</v>
      </c>
      <c r="E153" s="9" t="s">
        <v>1804</v>
      </c>
      <c r="F153" t="s">
        <v>223</v>
      </c>
      <c r="G153" t="s">
        <v>224</v>
      </c>
      <c r="H153" t="s">
        <v>1510</v>
      </c>
    </row>
    <row r="154" spans="1:8" x14ac:dyDescent="0.3">
      <c r="A154" s="6">
        <v>2</v>
      </c>
      <c r="B154" t="s">
        <v>726</v>
      </c>
      <c r="C154" s="9" t="s">
        <v>932</v>
      </c>
      <c r="D154" s="9">
        <v>34</v>
      </c>
      <c r="E154" s="9" t="s">
        <v>1804</v>
      </c>
      <c r="F154" t="s">
        <v>422</v>
      </c>
      <c r="G154" t="s">
        <v>423</v>
      </c>
      <c r="H154" t="s">
        <v>1149</v>
      </c>
    </row>
    <row r="155" spans="1:8" x14ac:dyDescent="0.3">
      <c r="A155" s="6">
        <v>2</v>
      </c>
      <c r="B155" t="s">
        <v>726</v>
      </c>
      <c r="C155" s="9" t="s">
        <v>932</v>
      </c>
      <c r="D155" s="9">
        <v>12</v>
      </c>
      <c r="E155" s="9" t="s">
        <v>1804</v>
      </c>
      <c r="F155" t="s">
        <v>153</v>
      </c>
      <c r="G155" t="s">
        <v>108</v>
      </c>
      <c r="H155" t="s">
        <v>1150</v>
      </c>
    </row>
    <row r="156" spans="1:8" x14ac:dyDescent="0.3">
      <c r="A156" s="6">
        <v>2</v>
      </c>
      <c r="B156" t="s">
        <v>726</v>
      </c>
      <c r="C156" s="9" t="s">
        <v>932</v>
      </c>
      <c r="D156" s="9">
        <v>18</v>
      </c>
      <c r="E156" s="9" t="s">
        <v>1804</v>
      </c>
      <c r="F156" t="s">
        <v>154</v>
      </c>
      <c r="G156" t="s">
        <v>108</v>
      </c>
      <c r="H156" t="s">
        <v>1151</v>
      </c>
    </row>
    <row r="157" spans="1:8" x14ac:dyDescent="0.3">
      <c r="A157" s="6">
        <v>2</v>
      </c>
      <c r="B157" t="s">
        <v>726</v>
      </c>
      <c r="C157" s="9" t="s">
        <v>932</v>
      </c>
      <c r="D157" s="9">
        <v>18</v>
      </c>
      <c r="E157" s="9" t="s">
        <v>1804</v>
      </c>
      <c r="F157" t="s">
        <v>697</v>
      </c>
      <c r="G157" t="s">
        <v>108</v>
      </c>
      <c r="H157" t="s">
        <v>1155</v>
      </c>
    </row>
    <row r="158" spans="1:8" x14ac:dyDescent="0.3">
      <c r="A158" s="6">
        <v>2</v>
      </c>
      <c r="B158" t="s">
        <v>726</v>
      </c>
      <c r="C158" s="9" t="s">
        <v>932</v>
      </c>
      <c r="D158" s="9">
        <v>24</v>
      </c>
      <c r="E158" s="9" t="s">
        <v>1804</v>
      </c>
      <c r="F158" t="s">
        <v>393</v>
      </c>
      <c r="G158" t="s">
        <v>108</v>
      </c>
      <c r="H158" t="s">
        <v>1156</v>
      </c>
    </row>
    <row r="159" spans="1:8" x14ac:dyDescent="0.3">
      <c r="A159" s="6">
        <v>2</v>
      </c>
      <c r="B159" t="s">
        <v>726</v>
      </c>
      <c r="C159" s="9" t="s">
        <v>932</v>
      </c>
      <c r="D159" s="9">
        <v>27</v>
      </c>
      <c r="E159" s="9" t="s">
        <v>1804</v>
      </c>
      <c r="F159" t="s">
        <v>37</v>
      </c>
      <c r="G159" t="s">
        <v>38</v>
      </c>
      <c r="H159" t="s">
        <v>1164</v>
      </c>
    </row>
    <row r="160" spans="1:8" x14ac:dyDescent="0.3">
      <c r="A160" s="6">
        <v>2</v>
      </c>
      <c r="B160" t="s">
        <v>726</v>
      </c>
      <c r="C160" s="9" t="s">
        <v>932</v>
      </c>
      <c r="D160" s="9">
        <v>12</v>
      </c>
      <c r="E160" s="9" t="s">
        <v>1804</v>
      </c>
      <c r="F160" t="s">
        <v>226</v>
      </c>
      <c r="G160" t="s">
        <v>38</v>
      </c>
      <c r="H160" t="s">
        <v>1165</v>
      </c>
    </row>
    <row r="161" spans="1:8" x14ac:dyDescent="0.3">
      <c r="A161" s="6">
        <v>2</v>
      </c>
      <c r="B161" t="s">
        <v>726</v>
      </c>
      <c r="C161" s="9" t="s">
        <v>932</v>
      </c>
      <c r="D161" s="9">
        <v>18</v>
      </c>
      <c r="E161" s="9" t="s">
        <v>1804</v>
      </c>
      <c r="F161" t="s">
        <v>227</v>
      </c>
      <c r="G161" t="s">
        <v>41</v>
      </c>
      <c r="H161" t="s">
        <v>1167</v>
      </c>
    </row>
    <row r="162" spans="1:8" x14ac:dyDescent="0.3">
      <c r="A162" s="6">
        <v>2</v>
      </c>
      <c r="B162" t="s">
        <v>726</v>
      </c>
      <c r="C162" s="9" t="s">
        <v>932</v>
      </c>
      <c r="D162" s="9">
        <v>12</v>
      </c>
      <c r="E162" s="9" t="s">
        <v>1804</v>
      </c>
      <c r="F162" t="s">
        <v>228</v>
      </c>
      <c r="G162" t="s">
        <v>41</v>
      </c>
      <c r="H162" t="s">
        <v>1168</v>
      </c>
    </row>
    <row r="163" spans="1:8" x14ac:dyDescent="0.3">
      <c r="A163" s="6">
        <v>2</v>
      </c>
      <c r="B163" t="s">
        <v>726</v>
      </c>
      <c r="C163" s="9" t="s">
        <v>932</v>
      </c>
      <c r="D163" s="9">
        <v>27</v>
      </c>
      <c r="E163" s="9" t="s">
        <v>1804</v>
      </c>
      <c r="F163" t="s">
        <v>40</v>
      </c>
      <c r="G163" t="s">
        <v>41</v>
      </c>
      <c r="H163" t="s">
        <v>1169</v>
      </c>
    </row>
    <row r="164" spans="1:8" x14ac:dyDescent="0.3">
      <c r="A164" s="6">
        <v>2</v>
      </c>
      <c r="B164" t="s">
        <v>726</v>
      </c>
      <c r="C164" s="9" t="s">
        <v>932</v>
      </c>
      <c r="D164" s="9">
        <v>18</v>
      </c>
      <c r="E164" s="9" t="s">
        <v>1804</v>
      </c>
      <c r="F164" t="s">
        <v>229</v>
      </c>
      <c r="G164" t="s">
        <v>230</v>
      </c>
      <c r="H164" t="s">
        <v>1170</v>
      </c>
    </row>
    <row r="165" spans="1:8" x14ac:dyDescent="0.3">
      <c r="A165" s="6">
        <v>2</v>
      </c>
      <c r="B165" t="s">
        <v>726</v>
      </c>
      <c r="C165" s="9" t="s">
        <v>932</v>
      </c>
      <c r="D165" s="9">
        <v>24</v>
      </c>
      <c r="E165" s="9" t="s">
        <v>1804</v>
      </c>
      <c r="F165" t="s">
        <v>232</v>
      </c>
      <c r="G165" t="s">
        <v>144</v>
      </c>
      <c r="H165" t="s">
        <v>1171</v>
      </c>
    </row>
    <row r="166" spans="1:8" x14ac:dyDescent="0.3">
      <c r="A166" s="6">
        <v>2</v>
      </c>
      <c r="B166" t="s">
        <v>726</v>
      </c>
      <c r="C166" s="9" t="s">
        <v>932</v>
      </c>
      <c r="D166" s="9">
        <v>25</v>
      </c>
      <c r="E166" s="9" t="s">
        <v>1804</v>
      </c>
      <c r="F166" t="s">
        <v>394</v>
      </c>
      <c r="G166" t="s">
        <v>112</v>
      </c>
      <c r="H166" t="s">
        <v>1172</v>
      </c>
    </row>
    <row r="167" spans="1:8" x14ac:dyDescent="0.3">
      <c r="A167" s="6">
        <v>2</v>
      </c>
      <c r="B167" t="s">
        <v>726</v>
      </c>
      <c r="C167" s="9" t="s">
        <v>1806</v>
      </c>
      <c r="D167" s="9">
        <v>9</v>
      </c>
      <c r="E167" s="9" t="s">
        <v>1804</v>
      </c>
      <c r="F167" t="s">
        <v>731</v>
      </c>
      <c r="G167" t="s">
        <v>509</v>
      </c>
      <c r="H167" t="s">
        <v>1542</v>
      </c>
    </row>
    <row r="168" spans="1:8" x14ac:dyDescent="0.3">
      <c r="A168" s="6">
        <v>2</v>
      </c>
      <c r="B168" t="s">
        <v>726</v>
      </c>
      <c r="C168" s="9" t="s">
        <v>1806</v>
      </c>
      <c r="D168" s="9">
        <v>9</v>
      </c>
      <c r="E168" s="9" t="s">
        <v>1804</v>
      </c>
      <c r="F168" t="s">
        <v>732</v>
      </c>
      <c r="G168" t="s">
        <v>819</v>
      </c>
      <c r="H168" t="s">
        <v>1543</v>
      </c>
    </row>
    <row r="169" spans="1:8" x14ac:dyDescent="0.3">
      <c r="A169" s="6">
        <v>2</v>
      </c>
      <c r="B169" t="s">
        <v>726</v>
      </c>
      <c r="C169" s="9" t="s">
        <v>932</v>
      </c>
      <c r="D169" s="9">
        <v>15</v>
      </c>
      <c r="E169" s="9" t="s">
        <v>1804</v>
      </c>
      <c r="F169" t="s">
        <v>515</v>
      </c>
      <c r="G169" t="s">
        <v>238</v>
      </c>
      <c r="H169" t="s">
        <v>1064</v>
      </c>
    </row>
    <row r="170" spans="1:8" x14ac:dyDescent="0.3">
      <c r="A170" s="6">
        <v>2</v>
      </c>
      <c r="B170" t="s">
        <v>726</v>
      </c>
      <c r="C170" s="9" t="s">
        <v>932</v>
      </c>
      <c r="D170" s="9">
        <v>24</v>
      </c>
      <c r="E170" s="9" t="s">
        <v>1804</v>
      </c>
      <c r="F170" t="s">
        <v>237</v>
      </c>
      <c r="G170" t="s">
        <v>238</v>
      </c>
      <c r="H170" t="s">
        <v>1065</v>
      </c>
    </row>
    <row r="171" spans="1:8" x14ac:dyDescent="0.3">
      <c r="A171" s="6">
        <v>2</v>
      </c>
      <c r="B171" t="s">
        <v>726</v>
      </c>
      <c r="C171" s="9" t="s">
        <v>932</v>
      </c>
      <c r="D171" s="9">
        <v>18</v>
      </c>
      <c r="E171" s="9" t="s">
        <v>1804</v>
      </c>
      <c r="F171" t="s">
        <v>246</v>
      </c>
      <c r="G171" t="s">
        <v>51</v>
      </c>
      <c r="H171" t="s">
        <v>1596</v>
      </c>
    </row>
    <row r="172" spans="1:8" x14ac:dyDescent="0.3">
      <c r="A172" s="6">
        <v>2</v>
      </c>
      <c r="B172" t="s">
        <v>726</v>
      </c>
      <c r="C172" s="9" t="s">
        <v>932</v>
      </c>
      <c r="D172" s="9">
        <v>12</v>
      </c>
      <c r="E172" s="9" t="s">
        <v>1804</v>
      </c>
      <c r="F172" t="s">
        <v>719</v>
      </c>
      <c r="G172" t="s">
        <v>51</v>
      </c>
      <c r="H172" t="s">
        <v>1600</v>
      </c>
    </row>
    <row r="173" spans="1:8" x14ac:dyDescent="0.3">
      <c r="A173" s="6">
        <v>2</v>
      </c>
      <c r="B173" t="s">
        <v>726</v>
      </c>
      <c r="C173" s="9" t="s">
        <v>932</v>
      </c>
      <c r="D173" s="9">
        <v>12</v>
      </c>
      <c r="E173" s="9" t="s">
        <v>1804</v>
      </c>
      <c r="F173" t="s">
        <v>53</v>
      </c>
      <c r="G173" t="s">
        <v>54</v>
      </c>
      <c r="H173" t="s">
        <v>1603</v>
      </c>
    </row>
    <row r="174" spans="1:8" x14ac:dyDescent="0.3">
      <c r="A174" s="6">
        <v>2</v>
      </c>
      <c r="B174" t="s">
        <v>726</v>
      </c>
      <c r="C174" s="9" t="s">
        <v>932</v>
      </c>
      <c r="D174" s="9">
        <v>18</v>
      </c>
      <c r="E174" s="9" t="s">
        <v>1804</v>
      </c>
      <c r="F174" t="s">
        <v>733</v>
      </c>
      <c r="G174" t="s">
        <v>630</v>
      </c>
      <c r="H174" t="s">
        <v>1629</v>
      </c>
    </row>
    <row r="175" spans="1:8" x14ac:dyDescent="0.3">
      <c r="A175" s="6">
        <v>2</v>
      </c>
      <c r="B175" t="s">
        <v>726</v>
      </c>
      <c r="C175" s="9" t="s">
        <v>976</v>
      </c>
      <c r="D175" s="9">
        <v>68</v>
      </c>
      <c r="E175" s="9" t="s">
        <v>1804</v>
      </c>
      <c r="F175" t="s">
        <v>255</v>
      </c>
      <c r="G175" t="s">
        <v>256</v>
      </c>
      <c r="H175" t="s">
        <v>1715</v>
      </c>
    </row>
    <row r="176" spans="1:8" x14ac:dyDescent="0.3">
      <c r="A176" s="6">
        <v>2</v>
      </c>
      <c r="B176" t="s">
        <v>726</v>
      </c>
      <c r="C176" s="9" t="s">
        <v>932</v>
      </c>
      <c r="D176" s="9">
        <v>24</v>
      </c>
      <c r="E176" s="9" t="s">
        <v>1804</v>
      </c>
      <c r="F176" t="s">
        <v>258</v>
      </c>
      <c r="G176" t="s">
        <v>256</v>
      </c>
      <c r="H176" t="s">
        <v>1716</v>
      </c>
    </row>
    <row r="177" spans="1:8" x14ac:dyDescent="0.3">
      <c r="A177" s="6">
        <v>2</v>
      </c>
      <c r="B177" t="s">
        <v>726</v>
      </c>
      <c r="C177" s="9" t="s">
        <v>932</v>
      </c>
      <c r="D177" s="9">
        <v>44</v>
      </c>
      <c r="E177" s="9" t="s">
        <v>1804</v>
      </c>
      <c r="F177" t="s">
        <v>633</v>
      </c>
      <c r="G177" t="s">
        <v>256</v>
      </c>
      <c r="H177" t="s">
        <v>1717</v>
      </c>
    </row>
    <row r="178" spans="1:8" x14ac:dyDescent="0.3">
      <c r="A178" s="6">
        <v>2</v>
      </c>
      <c r="B178" t="s">
        <v>726</v>
      </c>
      <c r="C178" s="9" t="s">
        <v>932</v>
      </c>
      <c r="D178" s="9">
        <v>18</v>
      </c>
      <c r="E178" s="9" t="s">
        <v>1804</v>
      </c>
      <c r="F178" t="s">
        <v>564</v>
      </c>
      <c r="G178" t="s">
        <v>359</v>
      </c>
      <c r="H178" t="s">
        <v>983</v>
      </c>
    </row>
    <row r="179" spans="1:8" x14ac:dyDescent="0.3">
      <c r="A179" s="6">
        <v>2</v>
      </c>
      <c r="B179" t="s">
        <v>726</v>
      </c>
      <c r="C179" s="9" t="s">
        <v>932</v>
      </c>
      <c r="D179" s="9">
        <v>26</v>
      </c>
      <c r="E179" s="9" t="s">
        <v>1804</v>
      </c>
      <c r="F179" t="s">
        <v>271</v>
      </c>
      <c r="G179" t="s">
        <v>269</v>
      </c>
      <c r="H179" t="s">
        <v>1646</v>
      </c>
    </row>
    <row r="180" spans="1:8" x14ac:dyDescent="0.3">
      <c r="A180" s="6">
        <v>2</v>
      </c>
      <c r="B180" t="s">
        <v>726</v>
      </c>
      <c r="C180" s="9" t="s">
        <v>932</v>
      </c>
      <c r="D180" s="9">
        <v>53</v>
      </c>
      <c r="E180" s="9" t="s">
        <v>1804</v>
      </c>
      <c r="F180" t="s">
        <v>734</v>
      </c>
      <c r="G180" t="s">
        <v>450</v>
      </c>
      <c r="H180" t="s">
        <v>1729</v>
      </c>
    </row>
    <row r="181" spans="1:8" x14ac:dyDescent="0.3">
      <c r="A181" s="6">
        <v>2</v>
      </c>
      <c r="B181" t="s">
        <v>726</v>
      </c>
      <c r="C181" s="9" t="s">
        <v>932</v>
      </c>
      <c r="D181" s="9">
        <v>27</v>
      </c>
      <c r="E181" s="9" t="s">
        <v>1804</v>
      </c>
      <c r="F181" t="s">
        <v>735</v>
      </c>
      <c r="G181" t="s">
        <v>450</v>
      </c>
      <c r="H181" t="s">
        <v>1730</v>
      </c>
    </row>
    <row r="182" spans="1:8" x14ac:dyDescent="0.3">
      <c r="A182" s="6">
        <v>2</v>
      </c>
      <c r="B182" t="s">
        <v>726</v>
      </c>
      <c r="C182" s="9" t="s">
        <v>976</v>
      </c>
      <c r="D182" s="9">
        <v>66</v>
      </c>
      <c r="E182" s="9" t="s">
        <v>1804</v>
      </c>
      <c r="F182" t="s">
        <v>156</v>
      </c>
      <c r="G182" t="s">
        <v>157</v>
      </c>
      <c r="H182" t="s">
        <v>1746</v>
      </c>
    </row>
    <row r="183" spans="1:8" x14ac:dyDescent="0.3">
      <c r="A183" s="6">
        <v>2</v>
      </c>
      <c r="B183" t="s">
        <v>726</v>
      </c>
      <c r="C183" s="9" t="s">
        <v>932</v>
      </c>
      <c r="D183" s="9">
        <v>24</v>
      </c>
      <c r="E183" s="9" t="s">
        <v>1804</v>
      </c>
      <c r="F183" t="s">
        <v>736</v>
      </c>
      <c r="G183" t="s">
        <v>157</v>
      </c>
      <c r="H183" t="s">
        <v>1747</v>
      </c>
    </row>
    <row r="184" spans="1:8" x14ac:dyDescent="0.3">
      <c r="A184" s="6">
        <v>2</v>
      </c>
      <c r="B184" t="s">
        <v>726</v>
      </c>
      <c r="C184" s="9" t="s">
        <v>932</v>
      </c>
      <c r="D184" s="9">
        <v>12</v>
      </c>
      <c r="E184" s="9" t="s">
        <v>1804</v>
      </c>
      <c r="F184" t="s">
        <v>737</v>
      </c>
      <c r="G184" t="s">
        <v>157</v>
      </c>
      <c r="H184" t="s">
        <v>1748</v>
      </c>
    </row>
    <row r="185" spans="1:8" x14ac:dyDescent="0.3">
      <c r="A185" s="6">
        <v>2</v>
      </c>
      <c r="B185" t="s">
        <v>726</v>
      </c>
      <c r="C185" s="9" t="s">
        <v>932</v>
      </c>
      <c r="D185" s="9">
        <v>34</v>
      </c>
      <c r="E185" s="9" t="s">
        <v>1804</v>
      </c>
      <c r="F185" t="s">
        <v>159</v>
      </c>
      <c r="G185" t="s">
        <v>157</v>
      </c>
      <c r="H185" t="s">
        <v>1749</v>
      </c>
    </row>
    <row r="186" spans="1:8" x14ac:dyDescent="0.3">
      <c r="A186" s="6">
        <v>2</v>
      </c>
      <c r="B186" t="s">
        <v>726</v>
      </c>
      <c r="C186" s="9" t="s">
        <v>932</v>
      </c>
      <c r="D186" s="9">
        <v>24</v>
      </c>
      <c r="E186" s="9" t="s">
        <v>1804</v>
      </c>
      <c r="F186" t="s">
        <v>738</v>
      </c>
      <c r="G186" t="s">
        <v>157</v>
      </c>
      <c r="H186" t="s">
        <v>1750</v>
      </c>
    </row>
    <row r="187" spans="1:8" x14ac:dyDescent="0.3">
      <c r="A187" s="6">
        <v>2</v>
      </c>
      <c r="B187" t="s">
        <v>726</v>
      </c>
      <c r="C187" s="9" t="s">
        <v>1807</v>
      </c>
      <c r="D187" s="9">
        <v>1350</v>
      </c>
      <c r="E187" s="9" t="s">
        <v>1808</v>
      </c>
      <c r="F187" t="s">
        <v>282</v>
      </c>
      <c r="G187" t="s">
        <v>283</v>
      </c>
      <c r="H187" t="s">
        <v>1758</v>
      </c>
    </row>
    <row r="188" spans="1:8" x14ac:dyDescent="0.3">
      <c r="A188" s="6">
        <v>2</v>
      </c>
      <c r="B188" t="s">
        <v>726</v>
      </c>
      <c r="C188" s="9" t="s">
        <v>1807</v>
      </c>
      <c r="D188" s="9">
        <v>1350</v>
      </c>
      <c r="E188" s="9" t="s">
        <v>1808</v>
      </c>
      <c r="F188" t="s">
        <v>285</v>
      </c>
      <c r="G188" t="s">
        <v>286</v>
      </c>
      <c r="H188" t="s">
        <v>1759</v>
      </c>
    </row>
    <row r="189" spans="1:8" x14ac:dyDescent="0.3">
      <c r="A189" s="6">
        <v>2</v>
      </c>
      <c r="B189" t="s">
        <v>726</v>
      </c>
      <c r="C189" s="9" t="s">
        <v>932</v>
      </c>
      <c r="D189" s="9">
        <v>33</v>
      </c>
      <c r="E189" s="9" t="s">
        <v>1804</v>
      </c>
      <c r="F189" t="s">
        <v>739</v>
      </c>
      <c r="G189" t="s">
        <v>740</v>
      </c>
      <c r="H189" t="s">
        <v>1710</v>
      </c>
    </row>
    <row r="190" spans="1:8" x14ac:dyDescent="0.3">
      <c r="A190" s="6">
        <v>2</v>
      </c>
      <c r="B190" t="s">
        <v>726</v>
      </c>
      <c r="C190" s="9" t="s">
        <v>932</v>
      </c>
      <c r="D190" s="9">
        <v>24</v>
      </c>
      <c r="E190" s="9" t="s">
        <v>1804</v>
      </c>
      <c r="F190" t="s">
        <v>297</v>
      </c>
      <c r="G190" t="s">
        <v>298</v>
      </c>
      <c r="H190" t="s">
        <v>1771</v>
      </c>
    </row>
    <row r="191" spans="1:8" x14ac:dyDescent="0.3">
      <c r="A191" s="6">
        <v>2</v>
      </c>
      <c r="B191" t="s">
        <v>726</v>
      </c>
      <c r="C191" s="9" t="s">
        <v>932</v>
      </c>
      <c r="D191" s="9">
        <v>16</v>
      </c>
      <c r="E191" s="9" t="s">
        <v>1804</v>
      </c>
      <c r="F191" t="s">
        <v>742</v>
      </c>
      <c r="G191" t="s">
        <v>301</v>
      </c>
      <c r="H191" t="s">
        <v>1774</v>
      </c>
    </row>
    <row r="192" spans="1:8" x14ac:dyDescent="0.3">
      <c r="A192" s="6">
        <v>2</v>
      </c>
      <c r="B192" t="s">
        <v>726</v>
      </c>
      <c r="C192" s="9" t="s">
        <v>932</v>
      </c>
      <c r="D192" s="9">
        <v>24</v>
      </c>
      <c r="E192" s="9" t="s">
        <v>1804</v>
      </c>
      <c r="F192" t="s">
        <v>303</v>
      </c>
      <c r="G192" t="s">
        <v>301</v>
      </c>
      <c r="H192" t="s">
        <v>1758</v>
      </c>
    </row>
    <row r="193" spans="1:8" x14ac:dyDescent="0.3">
      <c r="A193" s="6">
        <v>2</v>
      </c>
      <c r="B193" t="s">
        <v>726</v>
      </c>
      <c r="C193" s="9" t="s">
        <v>932</v>
      </c>
      <c r="D193" s="9">
        <v>24</v>
      </c>
      <c r="E193" s="9" t="s">
        <v>1804</v>
      </c>
      <c r="F193" t="s">
        <v>743</v>
      </c>
      <c r="G193" t="s">
        <v>301</v>
      </c>
      <c r="H193" t="s">
        <v>1759</v>
      </c>
    </row>
    <row r="194" spans="1:8" x14ac:dyDescent="0.3">
      <c r="A194" s="6">
        <v>2</v>
      </c>
      <c r="B194" t="s">
        <v>726</v>
      </c>
      <c r="C194" s="9" t="s">
        <v>932</v>
      </c>
      <c r="D194" s="9">
        <v>24</v>
      </c>
      <c r="E194" s="9" t="s">
        <v>1804</v>
      </c>
      <c r="F194" t="s">
        <v>567</v>
      </c>
      <c r="G194" t="s">
        <v>63</v>
      </c>
      <c r="H194" t="s">
        <v>1099</v>
      </c>
    </row>
    <row r="195" spans="1:8" x14ac:dyDescent="0.3">
      <c r="A195" s="6">
        <v>2</v>
      </c>
      <c r="B195" t="s">
        <v>726</v>
      </c>
      <c r="C195" s="9" t="s">
        <v>932</v>
      </c>
      <c r="D195" s="9">
        <v>16</v>
      </c>
      <c r="E195" s="9" t="s">
        <v>1804</v>
      </c>
      <c r="F195" t="s">
        <v>744</v>
      </c>
      <c r="G195" t="s">
        <v>63</v>
      </c>
      <c r="H195" t="s">
        <v>1100</v>
      </c>
    </row>
    <row r="196" spans="1:8" x14ac:dyDescent="0.3">
      <c r="A196" s="6">
        <v>2</v>
      </c>
      <c r="B196" t="s">
        <v>726</v>
      </c>
      <c r="C196" s="9" t="s">
        <v>932</v>
      </c>
      <c r="D196" s="9">
        <v>16</v>
      </c>
      <c r="E196" s="9" t="s">
        <v>1804</v>
      </c>
      <c r="F196" t="s">
        <v>745</v>
      </c>
      <c r="G196" t="s">
        <v>63</v>
      </c>
      <c r="H196" t="s">
        <v>1101</v>
      </c>
    </row>
    <row r="197" spans="1:8" x14ac:dyDescent="0.3">
      <c r="A197" s="6">
        <v>2</v>
      </c>
      <c r="B197" t="s">
        <v>726</v>
      </c>
      <c r="C197" s="9" t="s">
        <v>932</v>
      </c>
      <c r="D197" s="9">
        <v>16</v>
      </c>
      <c r="E197" s="9" t="s">
        <v>1804</v>
      </c>
      <c r="F197" t="s">
        <v>746</v>
      </c>
      <c r="G197" t="s">
        <v>63</v>
      </c>
      <c r="H197" t="s">
        <v>1102</v>
      </c>
    </row>
    <row r="198" spans="1:8" x14ac:dyDescent="0.3">
      <c r="A198" s="6">
        <v>2</v>
      </c>
      <c r="B198" t="s">
        <v>726</v>
      </c>
      <c r="C198" s="9" t="s">
        <v>932</v>
      </c>
      <c r="D198" s="9">
        <v>15</v>
      </c>
      <c r="E198" s="9" t="s">
        <v>1804</v>
      </c>
      <c r="F198" t="s">
        <v>62</v>
      </c>
      <c r="G198" t="s">
        <v>63</v>
      </c>
      <c r="H198" t="s">
        <v>1103</v>
      </c>
    </row>
    <row r="199" spans="1:8" x14ac:dyDescent="0.3">
      <c r="A199" s="6">
        <v>2</v>
      </c>
      <c r="B199" t="s">
        <v>726</v>
      </c>
      <c r="C199" s="9" t="s">
        <v>932</v>
      </c>
      <c r="D199" s="9">
        <v>18</v>
      </c>
      <c r="E199" s="9" t="s">
        <v>1804</v>
      </c>
      <c r="F199" t="s">
        <v>65</v>
      </c>
      <c r="G199" t="s">
        <v>66</v>
      </c>
      <c r="H199" t="s">
        <v>1791</v>
      </c>
    </row>
    <row r="200" spans="1:8" x14ac:dyDescent="0.3">
      <c r="A200" s="6">
        <v>2</v>
      </c>
      <c r="B200" t="s">
        <v>726</v>
      </c>
      <c r="C200" s="9" t="s">
        <v>1806</v>
      </c>
      <c r="D200" s="9">
        <v>9</v>
      </c>
      <c r="E200" s="9" t="s">
        <v>1804</v>
      </c>
      <c r="F200" t="s">
        <v>747</v>
      </c>
      <c r="G200" t="s">
        <v>312</v>
      </c>
      <c r="H200" t="s">
        <v>973</v>
      </c>
    </row>
    <row r="201" spans="1:8" x14ac:dyDescent="0.3">
      <c r="A201" s="6">
        <v>2</v>
      </c>
      <c r="B201" t="s">
        <v>726</v>
      </c>
      <c r="C201" s="9" t="s">
        <v>1807</v>
      </c>
      <c r="D201" s="9">
        <v>420</v>
      </c>
      <c r="E201" s="9" t="s">
        <v>1808</v>
      </c>
      <c r="F201" t="s">
        <v>68</v>
      </c>
      <c r="G201" t="s">
        <v>69</v>
      </c>
      <c r="H201" t="s">
        <v>1551</v>
      </c>
    </row>
    <row r="202" spans="1:8" x14ac:dyDescent="0.3">
      <c r="A202" s="6">
        <v>2</v>
      </c>
      <c r="B202" t="s">
        <v>726</v>
      </c>
      <c r="C202" s="9" t="s">
        <v>932</v>
      </c>
      <c r="D202" s="9">
        <v>24</v>
      </c>
      <c r="E202" s="9" t="s">
        <v>1804</v>
      </c>
      <c r="F202" t="s">
        <v>316</v>
      </c>
      <c r="G202" t="s">
        <v>129</v>
      </c>
      <c r="H202" t="s">
        <v>1562</v>
      </c>
    </row>
    <row r="203" spans="1:8" x14ac:dyDescent="0.3">
      <c r="A203" s="6">
        <v>2</v>
      </c>
      <c r="B203" t="s">
        <v>726</v>
      </c>
      <c r="C203" s="9" t="s">
        <v>932</v>
      </c>
      <c r="D203" s="9">
        <v>9</v>
      </c>
      <c r="E203" s="9" t="s">
        <v>1804</v>
      </c>
      <c r="F203" t="s">
        <v>574</v>
      </c>
      <c r="G203" t="s">
        <v>129</v>
      </c>
      <c r="H203" t="s">
        <v>1563</v>
      </c>
    </row>
    <row r="204" spans="1:8" x14ac:dyDescent="0.3">
      <c r="A204" s="6">
        <v>2</v>
      </c>
      <c r="B204" t="s">
        <v>726</v>
      </c>
      <c r="C204" s="9" t="s">
        <v>932</v>
      </c>
      <c r="D204" s="9">
        <v>28</v>
      </c>
      <c r="E204" s="9" t="s">
        <v>1804</v>
      </c>
      <c r="F204" t="s">
        <v>395</v>
      </c>
      <c r="G204" t="s">
        <v>396</v>
      </c>
      <c r="H204" t="s">
        <v>1564</v>
      </c>
    </row>
    <row r="205" spans="1:8" x14ac:dyDescent="0.3">
      <c r="A205" s="6">
        <v>2</v>
      </c>
      <c r="B205" t="s">
        <v>726</v>
      </c>
      <c r="C205" s="9" t="s">
        <v>1807</v>
      </c>
      <c r="D205" s="9">
        <v>770</v>
      </c>
      <c r="E205" s="9" t="s">
        <v>1808</v>
      </c>
      <c r="F205" t="s">
        <v>71</v>
      </c>
      <c r="G205" t="s">
        <v>72</v>
      </c>
      <c r="H205" t="s">
        <v>1565</v>
      </c>
    </row>
    <row r="206" spans="1:8" x14ac:dyDescent="0.3">
      <c r="A206" s="6">
        <v>2</v>
      </c>
      <c r="B206" t="s">
        <v>726</v>
      </c>
      <c r="C206" s="9" t="s">
        <v>1807</v>
      </c>
      <c r="D206" s="9">
        <v>518</v>
      </c>
      <c r="E206" s="9" t="s">
        <v>1808</v>
      </c>
      <c r="F206" t="s">
        <v>74</v>
      </c>
      <c r="G206" t="s">
        <v>72</v>
      </c>
      <c r="H206" t="s">
        <v>1566</v>
      </c>
    </row>
    <row r="207" spans="1:8" x14ac:dyDescent="0.3">
      <c r="A207" s="6">
        <v>2</v>
      </c>
      <c r="B207" t="s">
        <v>726</v>
      </c>
      <c r="C207" s="9" t="s">
        <v>1807</v>
      </c>
      <c r="D207" s="9">
        <v>206</v>
      </c>
      <c r="E207" s="9" t="s">
        <v>1808</v>
      </c>
      <c r="F207" t="s">
        <v>748</v>
      </c>
      <c r="G207" t="s">
        <v>749</v>
      </c>
      <c r="H207" t="s">
        <v>1576</v>
      </c>
    </row>
    <row r="208" spans="1:8" x14ac:dyDescent="0.3">
      <c r="A208" s="6">
        <v>2</v>
      </c>
      <c r="B208" t="s">
        <v>726</v>
      </c>
      <c r="C208" s="9" t="s">
        <v>1809</v>
      </c>
      <c r="D208" s="9">
        <v>60</v>
      </c>
      <c r="E208" s="9" t="s">
        <v>1804</v>
      </c>
      <c r="F208" t="s">
        <v>78</v>
      </c>
      <c r="G208" t="s">
        <v>1810</v>
      </c>
      <c r="H208" t="s">
        <v>1811</v>
      </c>
    </row>
    <row r="209" spans="1:8" x14ac:dyDescent="0.3">
      <c r="A209" s="6">
        <v>2</v>
      </c>
      <c r="B209" t="s">
        <v>726</v>
      </c>
      <c r="C209" s="9" t="s">
        <v>963</v>
      </c>
      <c r="D209" s="9">
        <v>64</v>
      </c>
      <c r="E209" s="9" t="s">
        <v>1804</v>
      </c>
      <c r="F209" t="s">
        <v>166</v>
      </c>
      <c r="G209" t="s">
        <v>80</v>
      </c>
      <c r="H209" t="s">
        <v>1416</v>
      </c>
    </row>
    <row r="210" spans="1:8" x14ac:dyDescent="0.3">
      <c r="A210" s="6">
        <v>2</v>
      </c>
      <c r="B210" t="s">
        <v>726</v>
      </c>
      <c r="C210" s="9" t="s">
        <v>963</v>
      </c>
      <c r="D210" s="9">
        <v>60</v>
      </c>
      <c r="E210" s="9" t="s">
        <v>1804</v>
      </c>
      <c r="F210" t="s">
        <v>79</v>
      </c>
      <c r="G210" t="s">
        <v>80</v>
      </c>
      <c r="H210" t="s">
        <v>1416</v>
      </c>
    </row>
    <row r="211" spans="1:8" x14ac:dyDescent="0.3">
      <c r="A211" s="6">
        <v>2</v>
      </c>
      <c r="B211" t="s">
        <v>726</v>
      </c>
      <c r="C211" s="9" t="s">
        <v>963</v>
      </c>
      <c r="D211" s="9">
        <v>60</v>
      </c>
      <c r="E211" s="9" t="s">
        <v>1804</v>
      </c>
      <c r="F211" t="s">
        <v>643</v>
      </c>
      <c r="G211" t="s">
        <v>499</v>
      </c>
      <c r="H211" t="s">
        <v>1703</v>
      </c>
    </row>
    <row r="212" spans="1:8" x14ac:dyDescent="0.3">
      <c r="A212" s="6">
        <v>2</v>
      </c>
      <c r="B212" t="s">
        <v>726</v>
      </c>
      <c r="C212" s="9" t="s">
        <v>963</v>
      </c>
      <c r="D212" s="9">
        <v>70</v>
      </c>
      <c r="E212" s="9" t="s">
        <v>1804</v>
      </c>
      <c r="F212" t="s">
        <v>525</v>
      </c>
      <c r="G212" t="s">
        <v>526</v>
      </c>
      <c r="H212" t="s">
        <v>1341</v>
      </c>
    </row>
    <row r="213" spans="1:8" x14ac:dyDescent="0.3">
      <c r="A213" s="6">
        <v>2</v>
      </c>
      <c r="B213" t="s">
        <v>726</v>
      </c>
      <c r="C213" s="9" t="s">
        <v>963</v>
      </c>
      <c r="D213" s="9">
        <v>88</v>
      </c>
      <c r="E213" s="9" t="s">
        <v>1804</v>
      </c>
      <c r="F213" t="s">
        <v>84</v>
      </c>
      <c r="G213" t="s">
        <v>85</v>
      </c>
      <c r="H213" t="s">
        <v>1342</v>
      </c>
    </row>
    <row r="214" spans="1:8" x14ac:dyDescent="0.3">
      <c r="A214" s="6">
        <v>2</v>
      </c>
      <c r="B214" t="s">
        <v>726</v>
      </c>
      <c r="C214" s="9" t="s">
        <v>963</v>
      </c>
      <c r="D214" s="9">
        <v>60</v>
      </c>
      <c r="E214" s="9" t="s">
        <v>1804</v>
      </c>
      <c r="F214" t="s">
        <v>612</v>
      </c>
      <c r="G214" t="s">
        <v>613</v>
      </c>
      <c r="H214" t="s">
        <v>1343</v>
      </c>
    </row>
    <row r="215" spans="1:8" x14ac:dyDescent="0.3">
      <c r="A215" s="6">
        <v>2</v>
      </c>
      <c r="B215" t="s">
        <v>726</v>
      </c>
      <c r="C215" s="9" t="s">
        <v>963</v>
      </c>
      <c r="D215" s="9">
        <v>70</v>
      </c>
      <c r="E215" s="9" t="s">
        <v>1804</v>
      </c>
      <c r="F215" t="s">
        <v>325</v>
      </c>
      <c r="G215" t="s">
        <v>196</v>
      </c>
      <c r="H215" t="s">
        <v>1344</v>
      </c>
    </row>
    <row r="216" spans="1:8" x14ac:dyDescent="0.3">
      <c r="A216" s="6">
        <v>2</v>
      </c>
      <c r="B216" t="s">
        <v>726</v>
      </c>
      <c r="C216" s="9" t="s">
        <v>963</v>
      </c>
      <c r="D216" s="9">
        <v>65</v>
      </c>
      <c r="E216" s="9" t="s">
        <v>1804</v>
      </c>
      <c r="F216" t="s">
        <v>326</v>
      </c>
      <c r="G216" t="s">
        <v>200</v>
      </c>
      <c r="H216" t="s">
        <v>1346</v>
      </c>
    </row>
    <row r="217" spans="1:8" x14ac:dyDescent="0.3">
      <c r="A217" s="6">
        <v>2</v>
      </c>
      <c r="B217" t="s">
        <v>726</v>
      </c>
      <c r="C217" s="9" t="s">
        <v>963</v>
      </c>
      <c r="D217" s="9">
        <v>74</v>
      </c>
      <c r="E217" s="9" t="s">
        <v>1804</v>
      </c>
      <c r="F217" t="s">
        <v>87</v>
      </c>
      <c r="G217" t="s">
        <v>88</v>
      </c>
      <c r="H217" t="s">
        <v>1349</v>
      </c>
    </row>
    <row r="218" spans="1:8" x14ac:dyDescent="0.3">
      <c r="A218" s="6">
        <v>2</v>
      </c>
      <c r="B218" t="s">
        <v>726</v>
      </c>
      <c r="C218" s="9" t="s">
        <v>963</v>
      </c>
      <c r="D218" s="9">
        <v>73</v>
      </c>
      <c r="E218" s="9" t="s">
        <v>1804</v>
      </c>
      <c r="F218" t="s">
        <v>90</v>
      </c>
      <c r="G218" t="s">
        <v>15</v>
      </c>
      <c r="H218" t="s">
        <v>1351</v>
      </c>
    </row>
    <row r="219" spans="1:8" x14ac:dyDescent="0.3">
      <c r="A219" s="6">
        <v>2</v>
      </c>
      <c r="B219" t="s">
        <v>726</v>
      </c>
      <c r="C219" s="9" t="s">
        <v>963</v>
      </c>
      <c r="D219" s="9">
        <v>75</v>
      </c>
      <c r="E219" s="9" t="s">
        <v>1804</v>
      </c>
      <c r="F219" t="s">
        <v>653</v>
      </c>
      <c r="G219" t="s">
        <v>654</v>
      </c>
      <c r="H219" t="s">
        <v>1352</v>
      </c>
    </row>
    <row r="220" spans="1:8" x14ac:dyDescent="0.3">
      <c r="A220" s="6">
        <v>2</v>
      </c>
      <c r="B220" t="s">
        <v>726</v>
      </c>
      <c r="C220" s="9" t="s">
        <v>963</v>
      </c>
      <c r="D220" s="9">
        <v>77</v>
      </c>
      <c r="E220" s="9" t="s">
        <v>1804</v>
      </c>
      <c r="F220" t="s">
        <v>91</v>
      </c>
      <c r="G220" t="s">
        <v>92</v>
      </c>
      <c r="H220" t="s">
        <v>1353</v>
      </c>
    </row>
    <row r="221" spans="1:8" x14ac:dyDescent="0.3">
      <c r="A221" s="6">
        <v>2</v>
      </c>
      <c r="B221" t="s">
        <v>726</v>
      </c>
      <c r="C221" s="9" t="s">
        <v>963</v>
      </c>
      <c r="D221" s="9">
        <v>77</v>
      </c>
      <c r="E221" s="9" t="s">
        <v>1804</v>
      </c>
      <c r="F221" t="s">
        <v>331</v>
      </c>
      <c r="G221" t="s">
        <v>92</v>
      </c>
      <c r="H221" t="s">
        <v>1354</v>
      </c>
    </row>
    <row r="222" spans="1:8" x14ac:dyDescent="0.3">
      <c r="A222" s="6">
        <v>2</v>
      </c>
      <c r="B222" t="s">
        <v>726</v>
      </c>
      <c r="C222" s="9" t="s">
        <v>963</v>
      </c>
      <c r="D222" s="9">
        <v>76</v>
      </c>
      <c r="E222" s="9" t="s">
        <v>1804</v>
      </c>
      <c r="F222" t="s">
        <v>94</v>
      </c>
      <c r="G222" t="s">
        <v>95</v>
      </c>
      <c r="H222" t="s">
        <v>1355</v>
      </c>
    </row>
    <row r="223" spans="1:8" x14ac:dyDescent="0.3">
      <c r="A223" s="6">
        <v>2</v>
      </c>
      <c r="B223" t="s">
        <v>726</v>
      </c>
      <c r="C223" s="9" t="s">
        <v>963</v>
      </c>
      <c r="D223" s="9">
        <v>77</v>
      </c>
      <c r="E223" s="9" t="s">
        <v>1804</v>
      </c>
      <c r="F223" t="s">
        <v>98</v>
      </c>
      <c r="G223" t="s">
        <v>99</v>
      </c>
      <c r="H223" t="s">
        <v>1357</v>
      </c>
    </row>
    <row r="224" spans="1:8" x14ac:dyDescent="0.3">
      <c r="A224" s="6">
        <v>2</v>
      </c>
      <c r="B224" t="s">
        <v>726</v>
      </c>
      <c r="C224" s="9" t="s">
        <v>963</v>
      </c>
      <c r="D224" s="9">
        <v>76</v>
      </c>
      <c r="E224" s="9" t="s">
        <v>1804</v>
      </c>
      <c r="F224" t="s">
        <v>332</v>
      </c>
      <c r="G224" t="s">
        <v>333</v>
      </c>
      <c r="H224" t="s">
        <v>1358</v>
      </c>
    </row>
    <row r="225" spans="1:8" x14ac:dyDescent="0.3">
      <c r="A225" s="6">
        <v>2</v>
      </c>
      <c r="B225" t="s">
        <v>726</v>
      </c>
      <c r="C225" s="9" t="s">
        <v>963</v>
      </c>
      <c r="D225" s="9">
        <v>72</v>
      </c>
      <c r="E225" s="9" t="s">
        <v>1804</v>
      </c>
      <c r="F225" t="s">
        <v>461</v>
      </c>
      <c r="G225" t="s">
        <v>462</v>
      </c>
      <c r="H225" t="s">
        <v>1360</v>
      </c>
    </row>
    <row r="226" spans="1:8" x14ac:dyDescent="0.3">
      <c r="A226" s="6">
        <v>2</v>
      </c>
      <c r="B226" t="s">
        <v>726</v>
      </c>
      <c r="C226" s="9" t="s">
        <v>963</v>
      </c>
      <c r="D226" s="9">
        <v>60</v>
      </c>
      <c r="E226" s="9" t="s">
        <v>1804</v>
      </c>
      <c r="F226" t="s">
        <v>341</v>
      </c>
      <c r="G226" t="s">
        <v>209</v>
      </c>
      <c r="H226" t="s">
        <v>1363</v>
      </c>
    </row>
    <row r="227" spans="1:8" x14ac:dyDescent="0.3">
      <c r="A227" s="6">
        <v>2</v>
      </c>
      <c r="B227" t="s">
        <v>726</v>
      </c>
      <c r="C227" s="9" t="s">
        <v>963</v>
      </c>
      <c r="D227" s="9">
        <v>72</v>
      </c>
      <c r="E227" s="9" t="s">
        <v>1804</v>
      </c>
      <c r="F227" t="s">
        <v>101</v>
      </c>
      <c r="G227" t="s">
        <v>102</v>
      </c>
      <c r="H227" t="s">
        <v>1365</v>
      </c>
    </row>
    <row r="228" spans="1:8" x14ac:dyDescent="0.3">
      <c r="A228" s="6">
        <v>2</v>
      </c>
      <c r="B228" t="s">
        <v>726</v>
      </c>
      <c r="C228" s="9" t="s">
        <v>963</v>
      </c>
      <c r="D228" s="9">
        <v>60</v>
      </c>
      <c r="E228" s="9" t="s">
        <v>1804</v>
      </c>
      <c r="F228" t="s">
        <v>400</v>
      </c>
      <c r="G228" t="s">
        <v>401</v>
      </c>
      <c r="H228" t="s">
        <v>1185</v>
      </c>
    </row>
    <row r="229" spans="1:8" x14ac:dyDescent="0.3">
      <c r="A229" s="6">
        <v>2</v>
      </c>
      <c r="B229" t="s">
        <v>726</v>
      </c>
      <c r="C229" s="9" t="s">
        <v>963</v>
      </c>
      <c r="D229" s="9">
        <v>60</v>
      </c>
      <c r="E229" s="9" t="s">
        <v>1804</v>
      </c>
      <c r="F229" t="s">
        <v>403</v>
      </c>
      <c r="G229" t="s">
        <v>386</v>
      </c>
      <c r="H229" t="s">
        <v>1432</v>
      </c>
    </row>
    <row r="230" spans="1:8" x14ac:dyDescent="0.3">
      <c r="A230" s="6">
        <v>2</v>
      </c>
      <c r="B230" t="s">
        <v>726</v>
      </c>
      <c r="C230" s="9" t="s">
        <v>963</v>
      </c>
      <c r="D230" s="9">
        <v>63</v>
      </c>
      <c r="E230" s="9" t="s">
        <v>1804</v>
      </c>
      <c r="F230" t="s">
        <v>348</v>
      </c>
      <c r="G230" t="s">
        <v>168</v>
      </c>
      <c r="H230" t="s">
        <v>1533</v>
      </c>
    </row>
    <row r="231" spans="1:8" x14ac:dyDescent="0.3">
      <c r="A231" s="6">
        <v>2</v>
      </c>
      <c r="B231" t="s">
        <v>726</v>
      </c>
      <c r="C231" s="9" t="s">
        <v>963</v>
      </c>
      <c r="D231" s="9">
        <v>60</v>
      </c>
      <c r="E231" s="9" t="s">
        <v>1804</v>
      </c>
      <c r="F231" t="s">
        <v>167</v>
      </c>
      <c r="G231" t="s">
        <v>168</v>
      </c>
      <c r="H231" t="s">
        <v>1533</v>
      </c>
    </row>
    <row r="232" spans="1:8" x14ac:dyDescent="0.3">
      <c r="A232" s="6">
        <v>2</v>
      </c>
      <c r="B232" t="s">
        <v>726</v>
      </c>
      <c r="C232" s="9" t="s">
        <v>963</v>
      </c>
      <c r="D232" s="9">
        <v>60</v>
      </c>
      <c r="E232" s="9" t="s">
        <v>1804</v>
      </c>
      <c r="F232" t="s">
        <v>170</v>
      </c>
      <c r="G232" t="s">
        <v>171</v>
      </c>
      <c r="H232" t="s">
        <v>1535</v>
      </c>
    </row>
    <row r="233" spans="1:8" x14ac:dyDescent="0.3">
      <c r="A233" s="6">
        <v>2</v>
      </c>
      <c r="B233" t="s">
        <v>726</v>
      </c>
      <c r="C233" s="9" t="s">
        <v>963</v>
      </c>
      <c r="D233" s="9">
        <v>63</v>
      </c>
      <c r="E233" s="9" t="s">
        <v>1804</v>
      </c>
      <c r="F233" t="s">
        <v>404</v>
      </c>
      <c r="G233" t="s">
        <v>115</v>
      </c>
      <c r="H233" t="s">
        <v>1536</v>
      </c>
    </row>
    <row r="234" spans="1:8" x14ac:dyDescent="0.3">
      <c r="A234" s="6">
        <v>2</v>
      </c>
      <c r="B234" t="s">
        <v>726</v>
      </c>
      <c r="C234" s="9" t="s">
        <v>963</v>
      </c>
      <c r="D234" s="9">
        <v>60</v>
      </c>
      <c r="E234" s="9" t="s">
        <v>1804</v>
      </c>
      <c r="F234" t="s">
        <v>106</v>
      </c>
      <c r="G234" t="s">
        <v>32</v>
      </c>
      <c r="H234" t="s">
        <v>1537</v>
      </c>
    </row>
    <row r="235" spans="1:8" x14ac:dyDescent="0.3">
      <c r="A235" s="6">
        <v>2</v>
      </c>
      <c r="B235" t="s">
        <v>726</v>
      </c>
      <c r="C235" s="9" t="s">
        <v>963</v>
      </c>
      <c r="D235" s="9">
        <v>60</v>
      </c>
      <c r="E235" s="9" t="s">
        <v>1804</v>
      </c>
      <c r="F235" t="s">
        <v>656</v>
      </c>
      <c r="G235" t="s">
        <v>504</v>
      </c>
      <c r="H235" t="s">
        <v>1538</v>
      </c>
    </row>
    <row r="236" spans="1:8" x14ac:dyDescent="0.3">
      <c r="A236" s="6">
        <v>2</v>
      </c>
      <c r="B236" t="s">
        <v>726</v>
      </c>
      <c r="C236" s="9" t="s">
        <v>963</v>
      </c>
      <c r="D236" s="9">
        <v>60</v>
      </c>
      <c r="E236" s="9" t="s">
        <v>1804</v>
      </c>
      <c r="F236" t="s">
        <v>751</v>
      </c>
      <c r="G236" t="s">
        <v>752</v>
      </c>
      <c r="H236" t="s">
        <v>1540</v>
      </c>
    </row>
    <row r="237" spans="1:8" x14ac:dyDescent="0.3">
      <c r="A237" s="6">
        <v>2</v>
      </c>
      <c r="B237" t="s">
        <v>726</v>
      </c>
      <c r="C237" s="9" t="s">
        <v>963</v>
      </c>
      <c r="D237" s="9">
        <v>60</v>
      </c>
      <c r="E237" s="9" t="s">
        <v>1804</v>
      </c>
      <c r="F237" t="s">
        <v>107</v>
      </c>
      <c r="G237" t="s">
        <v>108</v>
      </c>
      <c r="H237" t="s">
        <v>1140</v>
      </c>
    </row>
    <row r="238" spans="1:8" x14ac:dyDescent="0.3">
      <c r="A238" s="6">
        <v>2</v>
      </c>
      <c r="B238" t="s">
        <v>726</v>
      </c>
      <c r="C238" s="9" t="s">
        <v>963</v>
      </c>
      <c r="D238" s="9">
        <v>63</v>
      </c>
      <c r="E238" s="9" t="s">
        <v>1804</v>
      </c>
      <c r="F238" t="s">
        <v>598</v>
      </c>
      <c r="G238" t="s">
        <v>38</v>
      </c>
      <c r="H238" t="s">
        <v>1142</v>
      </c>
    </row>
    <row r="239" spans="1:8" x14ac:dyDescent="0.3">
      <c r="A239" s="6">
        <v>2</v>
      </c>
      <c r="B239" t="s">
        <v>726</v>
      </c>
      <c r="C239" s="9" t="s">
        <v>963</v>
      </c>
      <c r="D239" s="9">
        <v>60</v>
      </c>
      <c r="E239" s="9" t="s">
        <v>1804</v>
      </c>
      <c r="F239" t="s">
        <v>351</v>
      </c>
      <c r="G239" t="s">
        <v>38</v>
      </c>
      <c r="H239" t="s">
        <v>1142</v>
      </c>
    </row>
    <row r="240" spans="1:8" x14ac:dyDescent="0.3">
      <c r="A240" s="6">
        <v>2</v>
      </c>
      <c r="B240" t="s">
        <v>726</v>
      </c>
      <c r="C240" s="9" t="s">
        <v>963</v>
      </c>
      <c r="D240" s="9">
        <v>60</v>
      </c>
      <c r="E240" s="9" t="s">
        <v>1804</v>
      </c>
      <c r="F240" t="s">
        <v>528</v>
      </c>
      <c r="G240" t="s">
        <v>38</v>
      </c>
      <c r="H240" t="s">
        <v>1143</v>
      </c>
    </row>
    <row r="241" spans="1:8" x14ac:dyDescent="0.3">
      <c r="A241" s="6">
        <v>2</v>
      </c>
      <c r="B241" t="s">
        <v>726</v>
      </c>
      <c r="C241" s="9" t="s">
        <v>963</v>
      </c>
      <c r="D241" s="9">
        <v>64</v>
      </c>
      <c r="E241" s="9" t="s">
        <v>1804</v>
      </c>
      <c r="F241" t="s">
        <v>352</v>
      </c>
      <c r="G241" t="s">
        <v>41</v>
      </c>
      <c r="H241" t="s">
        <v>1144</v>
      </c>
    </row>
    <row r="242" spans="1:8" x14ac:dyDescent="0.3">
      <c r="A242" s="6">
        <v>2</v>
      </c>
      <c r="B242" t="s">
        <v>726</v>
      </c>
      <c r="C242" s="9" t="s">
        <v>963</v>
      </c>
      <c r="D242" s="9">
        <v>60</v>
      </c>
      <c r="E242" s="9" t="s">
        <v>1804</v>
      </c>
      <c r="F242" t="s">
        <v>110</v>
      </c>
      <c r="G242" t="s">
        <v>41</v>
      </c>
      <c r="H242" t="s">
        <v>1144</v>
      </c>
    </row>
    <row r="243" spans="1:8" x14ac:dyDescent="0.3">
      <c r="A243" s="6">
        <v>2</v>
      </c>
      <c r="B243" t="s">
        <v>726</v>
      </c>
      <c r="C243" s="9" t="s">
        <v>963</v>
      </c>
      <c r="D243" s="9">
        <v>60</v>
      </c>
      <c r="E243" s="9" t="s">
        <v>1804</v>
      </c>
      <c r="F243" t="s">
        <v>754</v>
      </c>
      <c r="G243" t="s">
        <v>509</v>
      </c>
      <c r="H243" t="s">
        <v>1147</v>
      </c>
    </row>
    <row r="244" spans="1:8" x14ac:dyDescent="0.3">
      <c r="A244" s="6">
        <v>2</v>
      </c>
      <c r="B244" t="s">
        <v>726</v>
      </c>
      <c r="C244" s="9" t="s">
        <v>963</v>
      </c>
      <c r="D244" s="9">
        <v>60</v>
      </c>
      <c r="E244" s="9" t="s">
        <v>1804</v>
      </c>
      <c r="F244" t="s">
        <v>582</v>
      </c>
      <c r="G244" t="s">
        <v>548</v>
      </c>
      <c r="H244" t="s">
        <v>1116</v>
      </c>
    </row>
    <row r="245" spans="1:8" x14ac:dyDescent="0.3">
      <c r="A245" s="6">
        <v>2</v>
      </c>
      <c r="B245" t="s">
        <v>726</v>
      </c>
      <c r="C245" s="9" t="s">
        <v>963</v>
      </c>
      <c r="D245" s="9">
        <v>64</v>
      </c>
      <c r="E245" s="9" t="s">
        <v>1804</v>
      </c>
      <c r="F245" t="s">
        <v>356</v>
      </c>
      <c r="G245" t="s">
        <v>115</v>
      </c>
      <c r="H245" t="s">
        <v>1121</v>
      </c>
    </row>
    <row r="246" spans="1:8" x14ac:dyDescent="0.3">
      <c r="A246" s="6">
        <v>2</v>
      </c>
      <c r="B246" t="s">
        <v>726</v>
      </c>
      <c r="C246" s="9" t="s">
        <v>963</v>
      </c>
      <c r="D246" s="9">
        <v>64</v>
      </c>
      <c r="E246" s="9" t="s">
        <v>1804</v>
      </c>
      <c r="F246" t="s">
        <v>583</v>
      </c>
      <c r="G246" t="s">
        <v>238</v>
      </c>
      <c r="H246" t="s">
        <v>1122</v>
      </c>
    </row>
    <row r="247" spans="1:8" x14ac:dyDescent="0.3">
      <c r="A247" s="6">
        <v>2</v>
      </c>
      <c r="B247" t="s">
        <v>726</v>
      </c>
      <c r="C247" s="9" t="s">
        <v>963</v>
      </c>
      <c r="D247" s="9">
        <v>64</v>
      </c>
      <c r="E247" s="9" t="s">
        <v>1804</v>
      </c>
      <c r="F247" t="s">
        <v>173</v>
      </c>
      <c r="G247" t="s">
        <v>118</v>
      </c>
      <c r="H247" t="s">
        <v>1419</v>
      </c>
    </row>
    <row r="248" spans="1:8" x14ac:dyDescent="0.3">
      <c r="A248" s="6">
        <v>2</v>
      </c>
      <c r="B248" t="s">
        <v>726</v>
      </c>
      <c r="C248" s="9" t="s">
        <v>963</v>
      </c>
      <c r="D248" s="9">
        <v>60</v>
      </c>
      <c r="E248" s="9" t="s">
        <v>1804</v>
      </c>
      <c r="F248" t="s">
        <v>117</v>
      </c>
      <c r="G248" t="s">
        <v>118</v>
      </c>
      <c r="H248" t="s">
        <v>1419</v>
      </c>
    </row>
    <row r="249" spans="1:8" x14ac:dyDescent="0.3">
      <c r="A249" s="6">
        <v>2</v>
      </c>
      <c r="B249" t="s">
        <v>726</v>
      </c>
      <c r="C249" s="9" t="s">
        <v>963</v>
      </c>
      <c r="D249" s="9">
        <v>60</v>
      </c>
      <c r="E249" s="9" t="s">
        <v>1804</v>
      </c>
      <c r="F249" t="s">
        <v>120</v>
      </c>
      <c r="G249" t="s">
        <v>51</v>
      </c>
      <c r="H249" t="s">
        <v>1590</v>
      </c>
    </row>
    <row r="250" spans="1:8" x14ac:dyDescent="0.3">
      <c r="A250" s="6">
        <v>2</v>
      </c>
      <c r="B250" t="s">
        <v>726</v>
      </c>
      <c r="C250" s="9" t="s">
        <v>963</v>
      </c>
      <c r="D250" s="9">
        <v>60</v>
      </c>
      <c r="E250" s="9" t="s">
        <v>1804</v>
      </c>
      <c r="F250" t="s">
        <v>358</v>
      </c>
      <c r="G250" t="s">
        <v>359</v>
      </c>
      <c r="H250" t="s">
        <v>1021</v>
      </c>
    </row>
    <row r="251" spans="1:8" x14ac:dyDescent="0.3">
      <c r="A251" s="6">
        <v>2</v>
      </c>
      <c r="B251" t="s">
        <v>726</v>
      </c>
      <c r="C251" s="9" t="s">
        <v>963</v>
      </c>
      <c r="D251" s="9">
        <v>60</v>
      </c>
      <c r="E251" s="9" t="s">
        <v>1804</v>
      </c>
      <c r="F251" t="s">
        <v>755</v>
      </c>
      <c r="G251" t="s">
        <v>740</v>
      </c>
      <c r="H251" t="s">
        <v>1709</v>
      </c>
    </row>
    <row r="252" spans="1:8" x14ac:dyDescent="0.3">
      <c r="A252" s="6">
        <v>2</v>
      </c>
      <c r="B252" t="s">
        <v>726</v>
      </c>
      <c r="C252" s="9" t="s">
        <v>963</v>
      </c>
      <c r="D252" s="9">
        <v>64</v>
      </c>
      <c r="E252" s="9" t="s">
        <v>1804</v>
      </c>
      <c r="F252" t="s">
        <v>362</v>
      </c>
      <c r="G252" t="s">
        <v>298</v>
      </c>
      <c r="H252" t="s">
        <v>1794</v>
      </c>
    </row>
    <row r="253" spans="1:8" x14ac:dyDescent="0.3">
      <c r="A253" s="6">
        <v>2</v>
      </c>
      <c r="B253" t="s">
        <v>726</v>
      </c>
      <c r="C253" s="9" t="s">
        <v>963</v>
      </c>
      <c r="D253" s="9">
        <v>64</v>
      </c>
      <c r="E253" s="9" t="s">
        <v>1804</v>
      </c>
      <c r="F253" t="s">
        <v>363</v>
      </c>
      <c r="G253" t="s">
        <v>301</v>
      </c>
      <c r="H253" t="s">
        <v>1797</v>
      </c>
    </row>
    <row r="254" spans="1:8" x14ac:dyDescent="0.3">
      <c r="A254" s="6">
        <v>2</v>
      </c>
      <c r="B254" t="s">
        <v>726</v>
      </c>
      <c r="C254" s="9" t="s">
        <v>963</v>
      </c>
      <c r="D254" s="9">
        <v>83</v>
      </c>
      <c r="E254" s="9" t="s">
        <v>1804</v>
      </c>
      <c r="F254" t="s">
        <v>364</v>
      </c>
      <c r="G254" t="s">
        <v>301</v>
      </c>
      <c r="H254" t="s">
        <v>1795</v>
      </c>
    </row>
    <row r="255" spans="1:8" x14ac:dyDescent="0.3">
      <c r="A255" s="6">
        <v>2</v>
      </c>
      <c r="B255" t="s">
        <v>726</v>
      </c>
      <c r="C255" s="9" t="s">
        <v>963</v>
      </c>
      <c r="D255" s="9">
        <v>60</v>
      </c>
      <c r="E255" s="9" t="s">
        <v>1804</v>
      </c>
      <c r="F255" t="s">
        <v>365</v>
      </c>
      <c r="G255" t="s">
        <v>301</v>
      </c>
      <c r="H255" t="s">
        <v>1796</v>
      </c>
    </row>
    <row r="256" spans="1:8" x14ac:dyDescent="0.3">
      <c r="A256" s="6">
        <v>2</v>
      </c>
      <c r="B256" t="s">
        <v>726</v>
      </c>
      <c r="C256" s="9" t="s">
        <v>963</v>
      </c>
      <c r="D256" s="9">
        <v>64</v>
      </c>
      <c r="E256" s="9" t="s">
        <v>1804</v>
      </c>
      <c r="F256" t="s">
        <v>586</v>
      </c>
      <c r="G256" t="s">
        <v>63</v>
      </c>
      <c r="H256" t="s">
        <v>1126</v>
      </c>
    </row>
    <row r="257" spans="1:8" x14ac:dyDescent="0.3">
      <c r="A257" s="6">
        <v>2</v>
      </c>
      <c r="B257" t="s">
        <v>726</v>
      </c>
      <c r="C257" s="9" t="s">
        <v>963</v>
      </c>
      <c r="D257" s="9">
        <v>64</v>
      </c>
      <c r="E257" s="9" t="s">
        <v>1804</v>
      </c>
      <c r="F257" t="s">
        <v>478</v>
      </c>
      <c r="G257" t="s">
        <v>479</v>
      </c>
      <c r="H257" t="s">
        <v>1128</v>
      </c>
    </row>
    <row r="258" spans="1:8" x14ac:dyDescent="0.3">
      <c r="A258" s="6">
        <v>2</v>
      </c>
      <c r="B258" t="s">
        <v>726</v>
      </c>
      <c r="C258" s="9" t="s">
        <v>963</v>
      </c>
      <c r="D258" s="9">
        <v>60</v>
      </c>
      <c r="E258" s="9" t="s">
        <v>1804</v>
      </c>
      <c r="F258" t="s">
        <v>367</v>
      </c>
      <c r="G258" t="s">
        <v>368</v>
      </c>
      <c r="H258" t="s">
        <v>1688</v>
      </c>
    </row>
    <row r="259" spans="1:8" x14ac:dyDescent="0.3">
      <c r="A259" s="6">
        <v>2</v>
      </c>
      <c r="B259" t="s">
        <v>726</v>
      </c>
      <c r="C259" s="9" t="s">
        <v>963</v>
      </c>
      <c r="D259" s="9">
        <v>60</v>
      </c>
      <c r="E259" s="9" t="s">
        <v>1804</v>
      </c>
      <c r="F259" t="s">
        <v>371</v>
      </c>
      <c r="G259" t="s">
        <v>66</v>
      </c>
      <c r="H259" t="s">
        <v>1799</v>
      </c>
    </row>
    <row r="260" spans="1:8" x14ac:dyDescent="0.3">
      <c r="A260" s="6">
        <v>2</v>
      </c>
      <c r="B260" t="s">
        <v>726</v>
      </c>
      <c r="C260" s="9" t="s">
        <v>963</v>
      </c>
      <c r="D260" s="9">
        <v>64</v>
      </c>
      <c r="E260" s="9" t="s">
        <v>1804</v>
      </c>
      <c r="F260" t="s">
        <v>372</v>
      </c>
      <c r="G260" t="s">
        <v>312</v>
      </c>
      <c r="H260" t="s">
        <v>973</v>
      </c>
    </row>
    <row r="261" spans="1:8" x14ac:dyDescent="0.3">
      <c r="A261" s="6">
        <v>2</v>
      </c>
      <c r="B261" t="s">
        <v>726</v>
      </c>
      <c r="C261" s="9" t="s">
        <v>963</v>
      </c>
      <c r="D261" s="9">
        <v>64</v>
      </c>
      <c r="E261" s="9" t="s">
        <v>1804</v>
      </c>
      <c r="F261" t="s">
        <v>125</v>
      </c>
      <c r="G261" t="s">
        <v>126</v>
      </c>
      <c r="H261" t="s">
        <v>1581</v>
      </c>
    </row>
    <row r="262" spans="1:8" x14ac:dyDescent="0.3">
      <c r="A262" s="6">
        <v>2</v>
      </c>
      <c r="B262" t="s">
        <v>726</v>
      </c>
      <c r="C262" s="9" t="s">
        <v>963</v>
      </c>
      <c r="D262" s="9">
        <v>60</v>
      </c>
      <c r="E262" s="9" t="s">
        <v>1804</v>
      </c>
      <c r="F262" t="s">
        <v>486</v>
      </c>
      <c r="G262" t="s">
        <v>487</v>
      </c>
      <c r="H262" t="s">
        <v>1196</v>
      </c>
    </row>
    <row r="263" spans="1:8" x14ac:dyDescent="0.3">
      <c r="A263" s="6">
        <v>2</v>
      </c>
      <c r="B263" t="s">
        <v>726</v>
      </c>
      <c r="C263" s="9" t="s">
        <v>963</v>
      </c>
      <c r="D263" s="9">
        <v>60</v>
      </c>
      <c r="E263" s="9" t="s">
        <v>1804</v>
      </c>
      <c r="F263" t="s">
        <v>128</v>
      </c>
      <c r="G263" t="s">
        <v>129</v>
      </c>
      <c r="H263" t="s">
        <v>1582</v>
      </c>
    </row>
    <row r="264" spans="1:8" x14ac:dyDescent="0.3">
      <c r="A264" s="6">
        <v>2</v>
      </c>
      <c r="B264" t="s">
        <v>726</v>
      </c>
      <c r="C264" s="9" t="s">
        <v>963</v>
      </c>
      <c r="D264" s="9">
        <v>60</v>
      </c>
      <c r="E264" s="9" t="s">
        <v>1804</v>
      </c>
      <c r="F264" t="s">
        <v>375</v>
      </c>
      <c r="G264" t="s">
        <v>376</v>
      </c>
      <c r="H264" t="s">
        <v>1586</v>
      </c>
    </row>
    <row r="265" spans="1:8" x14ac:dyDescent="0.3">
      <c r="A265" s="6">
        <v>2</v>
      </c>
      <c r="B265" t="s">
        <v>726</v>
      </c>
      <c r="C265" s="9" t="s">
        <v>963</v>
      </c>
      <c r="D265" s="9">
        <v>60</v>
      </c>
      <c r="E265" s="9" t="s">
        <v>1804</v>
      </c>
      <c r="F265" t="s">
        <v>378</v>
      </c>
      <c r="G265" t="s">
        <v>320</v>
      </c>
      <c r="H265" t="s">
        <v>1247</v>
      </c>
    </row>
    <row r="266" spans="1:8" x14ac:dyDescent="0.3">
      <c r="A266" s="6">
        <v>3</v>
      </c>
      <c r="B266" t="s">
        <v>490</v>
      </c>
      <c r="C266" s="9" t="s">
        <v>932</v>
      </c>
      <c r="D266" s="9">
        <v>15</v>
      </c>
      <c r="E266" s="9" t="s">
        <v>1804</v>
      </c>
      <c r="F266" t="s">
        <v>491</v>
      </c>
      <c r="G266" t="s">
        <v>492</v>
      </c>
      <c r="H266" t="s">
        <v>934</v>
      </c>
    </row>
    <row r="267" spans="1:8" x14ac:dyDescent="0.3">
      <c r="A267" s="6">
        <v>3</v>
      </c>
      <c r="B267" t="s">
        <v>490</v>
      </c>
      <c r="C267" s="9" t="s">
        <v>932</v>
      </c>
      <c r="D267" s="9">
        <v>24</v>
      </c>
      <c r="E267" s="9" t="s">
        <v>1804</v>
      </c>
      <c r="F267" t="s">
        <v>494</v>
      </c>
      <c r="G267" t="s">
        <v>495</v>
      </c>
      <c r="H267" t="s">
        <v>936</v>
      </c>
    </row>
    <row r="268" spans="1:8" x14ac:dyDescent="0.3">
      <c r="A268" s="6">
        <v>3</v>
      </c>
      <c r="B268" t="s">
        <v>490</v>
      </c>
      <c r="C268" s="9" t="s">
        <v>932</v>
      </c>
      <c r="D268" s="9">
        <v>15</v>
      </c>
      <c r="E268" s="9" t="s">
        <v>1804</v>
      </c>
      <c r="F268" t="s">
        <v>497</v>
      </c>
      <c r="G268" t="s">
        <v>495</v>
      </c>
      <c r="H268" t="s">
        <v>937</v>
      </c>
    </row>
    <row r="269" spans="1:8" x14ac:dyDescent="0.3">
      <c r="A269" s="6">
        <v>3</v>
      </c>
      <c r="B269" t="s">
        <v>490</v>
      </c>
      <c r="C269" s="9" t="s">
        <v>932</v>
      </c>
      <c r="D269" s="9">
        <v>30</v>
      </c>
      <c r="E269" s="9" t="s">
        <v>1804</v>
      </c>
      <c r="F269" t="s">
        <v>498</v>
      </c>
      <c r="G269" t="s">
        <v>499</v>
      </c>
      <c r="H269" t="s">
        <v>1695</v>
      </c>
    </row>
    <row r="270" spans="1:8" x14ac:dyDescent="0.3">
      <c r="A270" s="6">
        <v>3</v>
      </c>
      <c r="B270" t="s">
        <v>490</v>
      </c>
      <c r="C270" s="9" t="s">
        <v>1266</v>
      </c>
      <c r="D270" s="9">
        <v>50</v>
      </c>
      <c r="E270" s="9" t="s">
        <v>1804</v>
      </c>
      <c r="F270" t="s">
        <v>8</v>
      </c>
      <c r="G270" t="s">
        <v>526</v>
      </c>
      <c r="H270" t="s">
        <v>1805</v>
      </c>
    </row>
    <row r="271" spans="1:8" x14ac:dyDescent="0.3">
      <c r="A271" s="6">
        <v>3</v>
      </c>
      <c r="B271" t="s">
        <v>490</v>
      </c>
      <c r="C271" s="9" t="s">
        <v>1806</v>
      </c>
      <c r="D271" s="9">
        <v>9</v>
      </c>
      <c r="E271" s="9" t="s">
        <v>1804</v>
      </c>
      <c r="F271" t="s">
        <v>501</v>
      </c>
      <c r="G271" t="s">
        <v>613</v>
      </c>
      <c r="H271" t="s">
        <v>1343</v>
      </c>
    </row>
    <row r="272" spans="1:8" x14ac:dyDescent="0.3">
      <c r="A272" s="6">
        <v>3</v>
      </c>
      <c r="B272" t="s">
        <v>490</v>
      </c>
      <c r="C272" s="9" t="s">
        <v>932</v>
      </c>
      <c r="D272" s="9">
        <v>37</v>
      </c>
      <c r="E272" s="9" t="s">
        <v>1804</v>
      </c>
      <c r="F272" t="s">
        <v>198</v>
      </c>
      <c r="G272" t="s">
        <v>196</v>
      </c>
      <c r="H272" t="s">
        <v>1267</v>
      </c>
    </row>
    <row r="273" spans="1:8" x14ac:dyDescent="0.3">
      <c r="A273" s="6">
        <v>3</v>
      </c>
      <c r="B273" t="s">
        <v>490</v>
      </c>
      <c r="C273" s="9" t="s">
        <v>932</v>
      </c>
      <c r="D273" s="9">
        <v>42</v>
      </c>
      <c r="E273" s="9" t="s">
        <v>1804</v>
      </c>
      <c r="F273" t="s">
        <v>14</v>
      </c>
      <c r="G273" t="s">
        <v>15</v>
      </c>
      <c r="H273" t="s">
        <v>1290</v>
      </c>
    </row>
    <row r="274" spans="1:8" x14ac:dyDescent="0.3">
      <c r="A274" s="6">
        <v>3</v>
      </c>
      <c r="B274" t="s">
        <v>490</v>
      </c>
      <c r="C274" s="9" t="s">
        <v>932</v>
      </c>
      <c r="D274" s="9">
        <v>12</v>
      </c>
      <c r="E274" s="9" t="s">
        <v>1804</v>
      </c>
      <c r="F274" t="s">
        <v>204</v>
      </c>
      <c r="G274" t="s">
        <v>15</v>
      </c>
      <c r="H274" t="s">
        <v>1292</v>
      </c>
    </row>
    <row r="275" spans="1:8" x14ac:dyDescent="0.3">
      <c r="A275" s="6">
        <v>3</v>
      </c>
      <c r="B275" t="s">
        <v>490</v>
      </c>
      <c r="C275" s="9" t="s">
        <v>1807</v>
      </c>
      <c r="D275" s="9">
        <v>1330</v>
      </c>
      <c r="E275" s="9" t="s">
        <v>1808</v>
      </c>
      <c r="F275" t="s">
        <v>207</v>
      </c>
      <c r="G275" t="s">
        <v>19</v>
      </c>
      <c r="H275" t="s">
        <v>1301</v>
      </c>
    </row>
    <row r="276" spans="1:8" x14ac:dyDescent="0.3">
      <c r="A276" s="6">
        <v>3</v>
      </c>
      <c r="B276" t="s">
        <v>490</v>
      </c>
      <c r="C276" s="9" t="s">
        <v>932</v>
      </c>
      <c r="D276" s="9">
        <v>36</v>
      </c>
      <c r="E276" s="9" t="s">
        <v>1804</v>
      </c>
      <c r="F276" t="s">
        <v>28</v>
      </c>
      <c r="G276" t="s">
        <v>29</v>
      </c>
      <c r="H276" t="s">
        <v>1180</v>
      </c>
    </row>
    <row r="277" spans="1:8" x14ac:dyDescent="0.3">
      <c r="A277" s="6">
        <v>3</v>
      </c>
      <c r="B277" t="s">
        <v>490</v>
      </c>
      <c r="C277" s="9" t="s">
        <v>932</v>
      </c>
      <c r="D277" s="9">
        <v>12</v>
      </c>
      <c r="E277" s="9" t="s">
        <v>1804</v>
      </c>
      <c r="F277" t="s">
        <v>483</v>
      </c>
      <c r="G277" t="s">
        <v>29</v>
      </c>
      <c r="H277" t="s">
        <v>1182</v>
      </c>
    </row>
    <row r="278" spans="1:8" x14ac:dyDescent="0.3">
      <c r="A278" s="6">
        <v>3</v>
      </c>
      <c r="B278" t="s">
        <v>490</v>
      </c>
      <c r="C278" s="9" t="s">
        <v>932</v>
      </c>
      <c r="D278" s="9">
        <v>18</v>
      </c>
      <c r="E278" s="9" t="s">
        <v>1804</v>
      </c>
      <c r="F278" t="s">
        <v>217</v>
      </c>
      <c r="G278" t="s">
        <v>168</v>
      </c>
      <c r="H278" t="s">
        <v>1442</v>
      </c>
    </row>
    <row r="279" spans="1:8" x14ac:dyDescent="0.3">
      <c r="A279" s="6">
        <v>3</v>
      </c>
      <c r="B279" t="s">
        <v>490</v>
      </c>
      <c r="C279" s="9" t="s">
        <v>932</v>
      </c>
      <c r="D279" s="9">
        <v>27</v>
      </c>
      <c r="E279" s="9" t="s">
        <v>1804</v>
      </c>
      <c r="F279" t="s">
        <v>218</v>
      </c>
      <c r="G279" t="s">
        <v>168</v>
      </c>
      <c r="H279" t="s">
        <v>1443</v>
      </c>
    </row>
    <row r="280" spans="1:8" x14ac:dyDescent="0.3">
      <c r="A280" s="6">
        <v>3</v>
      </c>
      <c r="B280" t="s">
        <v>490</v>
      </c>
      <c r="C280" s="9" t="s">
        <v>932</v>
      </c>
      <c r="D280" s="9">
        <v>16</v>
      </c>
      <c r="E280" s="9" t="s">
        <v>1804</v>
      </c>
      <c r="F280" t="s">
        <v>502</v>
      </c>
      <c r="G280" t="s">
        <v>168</v>
      </c>
      <c r="H280" t="s">
        <v>1444</v>
      </c>
    </row>
    <row r="281" spans="1:8" x14ac:dyDescent="0.3">
      <c r="A281" s="6">
        <v>3</v>
      </c>
      <c r="B281" t="s">
        <v>490</v>
      </c>
      <c r="C281" s="9" t="s">
        <v>932</v>
      </c>
      <c r="D281" s="9">
        <v>18</v>
      </c>
      <c r="E281" s="9" t="s">
        <v>1804</v>
      </c>
      <c r="F281" t="s">
        <v>389</v>
      </c>
      <c r="G281" t="s">
        <v>171</v>
      </c>
      <c r="H281" t="s">
        <v>1447</v>
      </c>
    </row>
    <row r="282" spans="1:8" x14ac:dyDescent="0.3">
      <c r="A282" s="6">
        <v>3</v>
      </c>
      <c r="B282" t="s">
        <v>490</v>
      </c>
      <c r="C282" s="9" t="s">
        <v>932</v>
      </c>
      <c r="D282" s="9">
        <v>18</v>
      </c>
      <c r="E282" s="9" t="s">
        <v>1804</v>
      </c>
      <c r="F282" t="s">
        <v>503</v>
      </c>
      <c r="G282" t="s">
        <v>504</v>
      </c>
      <c r="H282" t="s">
        <v>1501</v>
      </c>
    </row>
    <row r="283" spans="1:8" x14ac:dyDescent="0.3">
      <c r="A283" s="6">
        <v>3</v>
      </c>
      <c r="B283" t="s">
        <v>490</v>
      </c>
      <c r="C283" s="9" t="s">
        <v>1806</v>
      </c>
      <c r="D283" s="9">
        <v>9</v>
      </c>
      <c r="E283" s="9" t="s">
        <v>1804</v>
      </c>
      <c r="F283" t="s">
        <v>506</v>
      </c>
      <c r="G283" t="s">
        <v>504</v>
      </c>
      <c r="H283" t="s">
        <v>1538</v>
      </c>
    </row>
    <row r="284" spans="1:8" x14ac:dyDescent="0.3">
      <c r="A284" s="6">
        <v>3</v>
      </c>
      <c r="B284" t="s">
        <v>490</v>
      </c>
      <c r="C284" s="9" t="s">
        <v>932</v>
      </c>
      <c r="D284" s="9">
        <v>12</v>
      </c>
      <c r="E284" s="9" t="s">
        <v>1804</v>
      </c>
      <c r="F284" t="s">
        <v>153</v>
      </c>
      <c r="G284" t="s">
        <v>108</v>
      </c>
      <c r="H284" t="s">
        <v>1150</v>
      </c>
    </row>
    <row r="285" spans="1:8" x14ac:dyDescent="0.3">
      <c r="A285" s="6">
        <v>3</v>
      </c>
      <c r="B285" t="s">
        <v>490</v>
      </c>
      <c r="C285" s="9" t="s">
        <v>932</v>
      </c>
      <c r="D285" s="9">
        <v>18</v>
      </c>
      <c r="E285" s="9" t="s">
        <v>1804</v>
      </c>
      <c r="F285" t="s">
        <v>154</v>
      </c>
      <c r="G285" t="s">
        <v>108</v>
      </c>
      <c r="H285" t="s">
        <v>1151</v>
      </c>
    </row>
    <row r="286" spans="1:8" x14ac:dyDescent="0.3">
      <c r="A286" s="6">
        <v>3</v>
      </c>
      <c r="B286" t="s">
        <v>490</v>
      </c>
      <c r="C286" s="9" t="s">
        <v>932</v>
      </c>
      <c r="D286" s="9">
        <v>21</v>
      </c>
      <c r="E286" s="9" t="s">
        <v>1804</v>
      </c>
      <c r="F286" t="s">
        <v>507</v>
      </c>
      <c r="G286" t="s">
        <v>108</v>
      </c>
      <c r="H286" t="s">
        <v>1154</v>
      </c>
    </row>
    <row r="287" spans="1:8" x14ac:dyDescent="0.3">
      <c r="A287" s="6">
        <v>3</v>
      </c>
      <c r="B287" t="s">
        <v>490</v>
      </c>
      <c r="C287" s="9" t="s">
        <v>932</v>
      </c>
      <c r="D287" s="9">
        <v>27</v>
      </c>
      <c r="E287" s="9" t="s">
        <v>1804</v>
      </c>
      <c r="F287" t="s">
        <v>37</v>
      </c>
      <c r="G287" t="s">
        <v>38</v>
      </c>
      <c r="H287" t="s">
        <v>1164</v>
      </c>
    </row>
    <row r="288" spans="1:8" x14ac:dyDescent="0.3">
      <c r="A288" s="6">
        <v>3</v>
      </c>
      <c r="B288" t="s">
        <v>490</v>
      </c>
      <c r="C288" s="9" t="s">
        <v>932</v>
      </c>
      <c r="D288" s="9">
        <v>12</v>
      </c>
      <c r="E288" s="9" t="s">
        <v>1804</v>
      </c>
      <c r="F288" t="s">
        <v>226</v>
      </c>
      <c r="G288" t="s">
        <v>38</v>
      </c>
      <c r="H288" t="s">
        <v>1165</v>
      </c>
    </row>
    <row r="289" spans="1:8" x14ac:dyDescent="0.3">
      <c r="A289" s="6">
        <v>3</v>
      </c>
      <c r="B289" t="s">
        <v>490</v>
      </c>
      <c r="C289" s="9" t="s">
        <v>932</v>
      </c>
      <c r="D289" s="9">
        <v>18</v>
      </c>
      <c r="E289" s="9" t="s">
        <v>1804</v>
      </c>
      <c r="F289" t="s">
        <v>227</v>
      </c>
      <c r="G289" t="s">
        <v>41</v>
      </c>
      <c r="H289" t="s">
        <v>1167</v>
      </c>
    </row>
    <row r="290" spans="1:8" x14ac:dyDescent="0.3">
      <c r="A290" s="6">
        <v>3</v>
      </c>
      <c r="B290" t="s">
        <v>490</v>
      </c>
      <c r="C290" s="9" t="s">
        <v>932</v>
      </c>
      <c r="D290" s="9">
        <v>12</v>
      </c>
      <c r="E290" s="9" t="s">
        <v>1804</v>
      </c>
      <c r="F290" t="s">
        <v>228</v>
      </c>
      <c r="G290" t="s">
        <v>41</v>
      </c>
      <c r="H290" t="s">
        <v>1168</v>
      </c>
    </row>
    <row r="291" spans="1:8" x14ac:dyDescent="0.3">
      <c r="A291" s="6">
        <v>3</v>
      </c>
      <c r="B291" t="s">
        <v>490</v>
      </c>
      <c r="C291" s="9" t="s">
        <v>932</v>
      </c>
      <c r="D291" s="9">
        <v>27</v>
      </c>
      <c r="E291" s="9" t="s">
        <v>1804</v>
      </c>
      <c r="F291" t="s">
        <v>40</v>
      </c>
      <c r="G291" t="s">
        <v>41</v>
      </c>
      <c r="H291" t="s">
        <v>1169</v>
      </c>
    </row>
    <row r="292" spans="1:8" x14ac:dyDescent="0.3">
      <c r="A292" s="6">
        <v>3</v>
      </c>
      <c r="B292" t="s">
        <v>490</v>
      </c>
      <c r="C292" s="9" t="s">
        <v>932</v>
      </c>
      <c r="D292" s="9">
        <v>18</v>
      </c>
      <c r="E292" s="9" t="s">
        <v>1804</v>
      </c>
      <c r="F292" t="s">
        <v>229</v>
      </c>
      <c r="G292" t="s">
        <v>230</v>
      </c>
      <c r="H292" t="s">
        <v>1170</v>
      </c>
    </row>
    <row r="293" spans="1:8" x14ac:dyDescent="0.3">
      <c r="A293" s="6">
        <v>3</v>
      </c>
      <c r="B293" t="s">
        <v>490</v>
      </c>
      <c r="C293" s="9" t="s">
        <v>932</v>
      </c>
      <c r="D293" s="9">
        <v>24</v>
      </c>
      <c r="E293" s="9" t="s">
        <v>1804</v>
      </c>
      <c r="F293" t="s">
        <v>232</v>
      </c>
      <c r="G293" t="s">
        <v>144</v>
      </c>
      <c r="H293" t="s">
        <v>1171</v>
      </c>
    </row>
    <row r="294" spans="1:8" x14ac:dyDescent="0.3">
      <c r="A294" s="6">
        <v>3</v>
      </c>
      <c r="B294" t="s">
        <v>490</v>
      </c>
      <c r="C294" s="9" t="s">
        <v>932</v>
      </c>
      <c r="D294" s="9">
        <v>12</v>
      </c>
      <c r="E294" s="9" t="s">
        <v>1804</v>
      </c>
      <c r="F294" t="s">
        <v>233</v>
      </c>
      <c r="G294" t="s">
        <v>112</v>
      </c>
      <c r="H294" t="s">
        <v>1146</v>
      </c>
    </row>
    <row r="295" spans="1:8" x14ac:dyDescent="0.3">
      <c r="A295" s="6">
        <v>3</v>
      </c>
      <c r="B295" t="s">
        <v>490</v>
      </c>
      <c r="C295" s="9" t="s">
        <v>932</v>
      </c>
      <c r="D295" s="9">
        <v>24</v>
      </c>
      <c r="E295" s="9" t="s">
        <v>1804</v>
      </c>
      <c r="F295" t="s">
        <v>508</v>
      </c>
      <c r="G295" t="s">
        <v>509</v>
      </c>
      <c r="H295" t="s">
        <v>1529</v>
      </c>
    </row>
    <row r="296" spans="1:8" x14ac:dyDescent="0.3">
      <c r="A296" s="6">
        <v>3</v>
      </c>
      <c r="B296" t="s">
        <v>490</v>
      </c>
      <c r="C296" s="9" t="s">
        <v>932</v>
      </c>
      <c r="D296" s="9">
        <v>12</v>
      </c>
      <c r="E296" s="9" t="s">
        <v>1804</v>
      </c>
      <c r="F296" t="s">
        <v>511</v>
      </c>
      <c r="G296" t="s">
        <v>235</v>
      </c>
      <c r="H296" t="s">
        <v>1046</v>
      </c>
    </row>
    <row r="297" spans="1:8" x14ac:dyDescent="0.3">
      <c r="A297" s="6">
        <v>3</v>
      </c>
      <c r="B297" t="s">
        <v>490</v>
      </c>
      <c r="C297" s="9" t="s">
        <v>932</v>
      </c>
      <c r="D297" s="9">
        <v>9</v>
      </c>
      <c r="E297" s="9" t="s">
        <v>1804</v>
      </c>
      <c r="F297" t="s">
        <v>512</v>
      </c>
      <c r="G297" t="s">
        <v>513</v>
      </c>
      <c r="H297" t="s">
        <v>1531</v>
      </c>
    </row>
    <row r="298" spans="1:8" x14ac:dyDescent="0.3">
      <c r="A298" s="6">
        <v>3</v>
      </c>
      <c r="B298" t="s">
        <v>490</v>
      </c>
      <c r="C298" s="9" t="s">
        <v>932</v>
      </c>
      <c r="D298" s="9">
        <v>15</v>
      </c>
      <c r="E298" s="9" t="s">
        <v>1804</v>
      </c>
      <c r="F298" t="s">
        <v>515</v>
      </c>
      <c r="G298" t="s">
        <v>238</v>
      </c>
      <c r="H298" t="s">
        <v>1064</v>
      </c>
    </row>
    <row r="299" spans="1:8" x14ac:dyDescent="0.3">
      <c r="A299" s="6">
        <v>3</v>
      </c>
      <c r="B299" t="s">
        <v>490</v>
      </c>
      <c r="C299" s="9" t="s">
        <v>932</v>
      </c>
      <c r="D299" s="9">
        <v>18</v>
      </c>
      <c r="E299" s="9" t="s">
        <v>1804</v>
      </c>
      <c r="F299" t="s">
        <v>246</v>
      </c>
      <c r="G299" t="s">
        <v>51</v>
      </c>
      <c r="H299" t="s">
        <v>1596</v>
      </c>
    </row>
    <row r="300" spans="1:8" x14ac:dyDescent="0.3">
      <c r="A300" s="6">
        <v>3</v>
      </c>
      <c r="B300" t="s">
        <v>490</v>
      </c>
      <c r="C300" s="9" t="s">
        <v>932</v>
      </c>
      <c r="D300" s="9">
        <v>30</v>
      </c>
      <c r="E300" s="9" t="s">
        <v>1804</v>
      </c>
      <c r="F300" t="s">
        <v>247</v>
      </c>
      <c r="G300" t="s">
        <v>51</v>
      </c>
      <c r="H300" t="s">
        <v>1599</v>
      </c>
    </row>
    <row r="301" spans="1:8" x14ac:dyDescent="0.3">
      <c r="A301" s="6">
        <v>3</v>
      </c>
      <c r="B301" t="s">
        <v>490</v>
      </c>
      <c r="C301" s="9" t="s">
        <v>932</v>
      </c>
      <c r="D301" s="9">
        <v>12</v>
      </c>
      <c r="E301" s="9" t="s">
        <v>1804</v>
      </c>
      <c r="F301" t="s">
        <v>56</v>
      </c>
      <c r="G301" t="s">
        <v>57</v>
      </c>
      <c r="H301" t="s">
        <v>1623</v>
      </c>
    </row>
    <row r="302" spans="1:8" x14ac:dyDescent="0.3">
      <c r="A302" s="6">
        <v>3</v>
      </c>
      <c r="B302" t="s">
        <v>490</v>
      </c>
      <c r="C302" s="9" t="s">
        <v>932</v>
      </c>
      <c r="D302" s="9">
        <v>12</v>
      </c>
      <c r="E302" s="9" t="s">
        <v>1804</v>
      </c>
      <c r="F302" t="s">
        <v>252</v>
      </c>
      <c r="G302" t="s">
        <v>253</v>
      </c>
      <c r="H302" t="s">
        <v>1635</v>
      </c>
    </row>
    <row r="303" spans="1:8" x14ac:dyDescent="0.3">
      <c r="A303" s="6">
        <v>3</v>
      </c>
      <c r="B303" t="s">
        <v>490</v>
      </c>
      <c r="C303" s="9" t="s">
        <v>932</v>
      </c>
      <c r="D303" s="9">
        <v>12</v>
      </c>
      <c r="E303" s="9" t="s">
        <v>1804</v>
      </c>
      <c r="F303" t="s">
        <v>516</v>
      </c>
      <c r="G303" t="s">
        <v>517</v>
      </c>
      <c r="H303" t="s">
        <v>1637</v>
      </c>
    </row>
    <row r="304" spans="1:8" x14ac:dyDescent="0.3">
      <c r="A304" s="6">
        <v>3</v>
      </c>
      <c r="B304" t="s">
        <v>490</v>
      </c>
      <c r="C304" s="9" t="s">
        <v>932</v>
      </c>
      <c r="D304" s="9">
        <v>12</v>
      </c>
      <c r="E304" s="9" t="s">
        <v>1804</v>
      </c>
      <c r="F304" t="s">
        <v>519</v>
      </c>
      <c r="G304" t="s">
        <v>520</v>
      </c>
      <c r="H304" t="s">
        <v>1641</v>
      </c>
    </row>
    <row r="305" spans="1:8" x14ac:dyDescent="0.3">
      <c r="A305" s="6">
        <v>3</v>
      </c>
      <c r="B305" t="s">
        <v>490</v>
      </c>
      <c r="C305" s="9" t="s">
        <v>932</v>
      </c>
      <c r="D305" s="9">
        <v>26</v>
      </c>
      <c r="E305" s="9" t="s">
        <v>1804</v>
      </c>
      <c r="F305" t="s">
        <v>271</v>
      </c>
      <c r="G305" t="s">
        <v>269</v>
      </c>
      <c r="H305" t="s">
        <v>1646</v>
      </c>
    </row>
    <row r="306" spans="1:8" x14ac:dyDescent="0.3">
      <c r="A306" s="6">
        <v>3</v>
      </c>
      <c r="B306" t="s">
        <v>490</v>
      </c>
      <c r="C306" s="9" t="s">
        <v>1807</v>
      </c>
      <c r="D306" s="9">
        <v>1050</v>
      </c>
      <c r="E306" s="9" t="s">
        <v>1808</v>
      </c>
      <c r="F306" t="s">
        <v>291</v>
      </c>
      <c r="G306" t="s">
        <v>292</v>
      </c>
      <c r="H306" t="s">
        <v>1678</v>
      </c>
    </row>
    <row r="307" spans="1:8" x14ac:dyDescent="0.3">
      <c r="A307" s="6">
        <v>3</v>
      </c>
      <c r="B307" t="s">
        <v>490</v>
      </c>
      <c r="C307" s="9" t="s">
        <v>1807</v>
      </c>
      <c r="D307" s="9">
        <v>750</v>
      </c>
      <c r="E307" s="9" t="s">
        <v>1808</v>
      </c>
      <c r="F307" t="s">
        <v>456</v>
      </c>
      <c r="G307" t="s">
        <v>292</v>
      </c>
      <c r="H307" t="s">
        <v>1679</v>
      </c>
    </row>
    <row r="308" spans="1:8" x14ac:dyDescent="0.3">
      <c r="A308" s="6">
        <v>3</v>
      </c>
      <c r="B308" t="s">
        <v>490</v>
      </c>
      <c r="C308" s="9" t="s">
        <v>932</v>
      </c>
      <c r="D308" s="9">
        <v>15</v>
      </c>
      <c r="E308" s="9" t="s">
        <v>1804</v>
      </c>
      <c r="F308" t="s">
        <v>59</v>
      </c>
      <c r="G308" t="s">
        <v>60</v>
      </c>
      <c r="H308" t="s">
        <v>1078</v>
      </c>
    </row>
    <row r="309" spans="1:8" x14ac:dyDescent="0.3">
      <c r="A309" s="6">
        <v>3</v>
      </c>
      <c r="B309" t="s">
        <v>490</v>
      </c>
      <c r="C309" s="9" t="s">
        <v>932</v>
      </c>
      <c r="D309" s="9">
        <v>18</v>
      </c>
      <c r="E309" s="9" t="s">
        <v>1804</v>
      </c>
      <c r="F309" t="s">
        <v>65</v>
      </c>
      <c r="G309" t="s">
        <v>66</v>
      </c>
      <c r="H309" t="s">
        <v>1791</v>
      </c>
    </row>
    <row r="310" spans="1:8" x14ac:dyDescent="0.3">
      <c r="A310" s="6">
        <v>3</v>
      </c>
      <c r="B310" t="s">
        <v>490</v>
      </c>
      <c r="C310" s="9" t="s">
        <v>1806</v>
      </c>
      <c r="D310" s="9">
        <v>9</v>
      </c>
      <c r="E310" s="9" t="s">
        <v>1804</v>
      </c>
      <c r="F310" t="s">
        <v>522</v>
      </c>
      <c r="G310" t="s">
        <v>66</v>
      </c>
      <c r="H310" t="s">
        <v>1799</v>
      </c>
    </row>
    <row r="311" spans="1:8" x14ac:dyDescent="0.3">
      <c r="A311" s="6">
        <v>3</v>
      </c>
      <c r="B311" t="s">
        <v>490</v>
      </c>
      <c r="C311" s="9" t="s">
        <v>1807</v>
      </c>
      <c r="D311" s="9">
        <v>420</v>
      </c>
      <c r="E311" s="9" t="s">
        <v>1808</v>
      </c>
      <c r="F311" t="s">
        <v>68</v>
      </c>
      <c r="G311" t="s">
        <v>69</v>
      </c>
      <c r="H311" t="s">
        <v>1551</v>
      </c>
    </row>
    <row r="312" spans="1:8" x14ac:dyDescent="0.3">
      <c r="A312" s="6">
        <v>3</v>
      </c>
      <c r="B312" t="s">
        <v>490</v>
      </c>
      <c r="C312" s="9" t="s">
        <v>932</v>
      </c>
      <c r="D312" s="9">
        <v>24</v>
      </c>
      <c r="E312" s="9" t="s">
        <v>1804</v>
      </c>
      <c r="F312" t="s">
        <v>316</v>
      </c>
      <c r="G312" t="s">
        <v>129</v>
      </c>
      <c r="H312" t="s">
        <v>1562</v>
      </c>
    </row>
    <row r="313" spans="1:8" x14ac:dyDescent="0.3">
      <c r="A313" s="6">
        <v>3</v>
      </c>
      <c r="B313" t="s">
        <v>490</v>
      </c>
      <c r="C313" s="9" t="s">
        <v>1807</v>
      </c>
      <c r="D313" s="9">
        <v>770</v>
      </c>
      <c r="E313" s="9" t="s">
        <v>1808</v>
      </c>
      <c r="F313" t="s">
        <v>71</v>
      </c>
      <c r="G313" t="s">
        <v>72</v>
      </c>
      <c r="H313" t="s">
        <v>1565</v>
      </c>
    </row>
    <row r="314" spans="1:8" x14ac:dyDescent="0.3">
      <c r="A314" s="6">
        <v>3</v>
      </c>
      <c r="B314" t="s">
        <v>490</v>
      </c>
      <c r="C314" s="9" t="s">
        <v>1807</v>
      </c>
      <c r="D314" s="9">
        <v>518</v>
      </c>
      <c r="E314" s="9" t="s">
        <v>1808</v>
      </c>
      <c r="F314" t="s">
        <v>74</v>
      </c>
      <c r="G314" t="s">
        <v>72</v>
      </c>
      <c r="H314" t="s">
        <v>1566</v>
      </c>
    </row>
    <row r="315" spans="1:8" x14ac:dyDescent="0.3">
      <c r="A315" s="6">
        <v>3</v>
      </c>
      <c r="B315" t="s">
        <v>490</v>
      </c>
      <c r="C315" s="9" t="s">
        <v>1809</v>
      </c>
      <c r="D315" s="9">
        <v>60</v>
      </c>
      <c r="E315" s="9" t="s">
        <v>1804</v>
      </c>
      <c r="F315" t="s">
        <v>78</v>
      </c>
      <c r="G315" t="s">
        <v>1810</v>
      </c>
      <c r="H315" t="s">
        <v>1811</v>
      </c>
    </row>
    <row r="316" spans="1:8" x14ac:dyDescent="0.3">
      <c r="A316" s="6">
        <v>3</v>
      </c>
      <c r="B316" t="s">
        <v>490</v>
      </c>
      <c r="C316" s="9" t="s">
        <v>963</v>
      </c>
      <c r="D316" s="9">
        <v>60</v>
      </c>
      <c r="E316" s="9" t="s">
        <v>1804</v>
      </c>
      <c r="F316" t="s">
        <v>523</v>
      </c>
      <c r="G316" t="s">
        <v>492</v>
      </c>
      <c r="H316" t="s">
        <v>964</v>
      </c>
    </row>
    <row r="317" spans="1:8" x14ac:dyDescent="0.3">
      <c r="A317" s="6">
        <v>3</v>
      </c>
      <c r="B317" t="s">
        <v>490</v>
      </c>
      <c r="C317" s="9" t="s">
        <v>963</v>
      </c>
      <c r="D317" s="9">
        <v>60</v>
      </c>
      <c r="E317" s="9" t="s">
        <v>1804</v>
      </c>
      <c r="F317" t="s">
        <v>524</v>
      </c>
      <c r="G317" t="s">
        <v>495</v>
      </c>
      <c r="H317" t="s">
        <v>966</v>
      </c>
    </row>
    <row r="318" spans="1:8" x14ac:dyDescent="0.3">
      <c r="A318" s="6">
        <v>3</v>
      </c>
      <c r="B318" t="s">
        <v>490</v>
      </c>
      <c r="C318" s="9" t="s">
        <v>963</v>
      </c>
      <c r="D318" s="9">
        <v>70</v>
      </c>
      <c r="E318" s="9" t="s">
        <v>1804</v>
      </c>
      <c r="F318" t="s">
        <v>525</v>
      </c>
      <c r="G318" t="s">
        <v>526</v>
      </c>
      <c r="H318" t="s">
        <v>1341</v>
      </c>
    </row>
    <row r="319" spans="1:8" x14ac:dyDescent="0.3">
      <c r="A319" s="6">
        <v>3</v>
      </c>
      <c r="B319" t="s">
        <v>490</v>
      </c>
      <c r="C319" s="9" t="s">
        <v>963</v>
      </c>
      <c r="D319" s="9">
        <v>70</v>
      </c>
      <c r="E319" s="9" t="s">
        <v>1804</v>
      </c>
      <c r="F319" t="s">
        <v>325</v>
      </c>
      <c r="G319" t="s">
        <v>196</v>
      </c>
      <c r="H319" t="s">
        <v>1344</v>
      </c>
    </row>
    <row r="320" spans="1:8" x14ac:dyDescent="0.3">
      <c r="A320" s="6">
        <v>3</v>
      </c>
      <c r="B320" t="s">
        <v>490</v>
      </c>
      <c r="C320" s="9" t="s">
        <v>963</v>
      </c>
      <c r="D320" s="9">
        <v>74</v>
      </c>
      <c r="E320" s="9" t="s">
        <v>1804</v>
      </c>
      <c r="F320" t="s">
        <v>87</v>
      </c>
      <c r="G320" t="s">
        <v>88</v>
      </c>
      <c r="H320" t="s">
        <v>1349</v>
      </c>
    </row>
    <row r="321" spans="1:8" x14ac:dyDescent="0.3">
      <c r="A321" s="6">
        <v>3</v>
      </c>
      <c r="B321" t="s">
        <v>490</v>
      </c>
      <c r="C321" s="9" t="s">
        <v>963</v>
      </c>
      <c r="D321" s="9">
        <v>73</v>
      </c>
      <c r="E321" s="9" t="s">
        <v>1804</v>
      </c>
      <c r="F321" t="s">
        <v>90</v>
      </c>
      <c r="G321" t="s">
        <v>15</v>
      </c>
      <c r="H321" t="s">
        <v>1351</v>
      </c>
    </row>
    <row r="322" spans="1:8" x14ac:dyDescent="0.3">
      <c r="A322" s="6">
        <v>3</v>
      </c>
      <c r="B322" t="s">
        <v>490</v>
      </c>
      <c r="C322" s="9" t="s">
        <v>963</v>
      </c>
      <c r="D322" s="9">
        <v>77</v>
      </c>
      <c r="E322" s="9" t="s">
        <v>1804</v>
      </c>
      <c r="F322" t="s">
        <v>91</v>
      </c>
      <c r="G322" t="s">
        <v>92</v>
      </c>
      <c r="H322" t="s">
        <v>1353</v>
      </c>
    </row>
    <row r="323" spans="1:8" x14ac:dyDescent="0.3">
      <c r="A323" s="6">
        <v>3</v>
      </c>
      <c r="B323" t="s">
        <v>490</v>
      </c>
      <c r="C323" s="9" t="s">
        <v>963</v>
      </c>
      <c r="D323" s="9">
        <v>72</v>
      </c>
      <c r="E323" s="9" t="s">
        <v>1804</v>
      </c>
      <c r="F323" t="s">
        <v>101</v>
      </c>
      <c r="G323" t="s">
        <v>102</v>
      </c>
      <c r="H323" t="s">
        <v>1365</v>
      </c>
    </row>
    <row r="324" spans="1:8" x14ac:dyDescent="0.3">
      <c r="A324" s="6">
        <v>3</v>
      </c>
      <c r="B324" t="s">
        <v>490</v>
      </c>
      <c r="C324" s="9" t="s">
        <v>963</v>
      </c>
      <c r="D324" s="9">
        <v>60</v>
      </c>
      <c r="E324" s="9" t="s">
        <v>1804</v>
      </c>
      <c r="F324" t="s">
        <v>400</v>
      </c>
      <c r="G324" t="s">
        <v>401</v>
      </c>
      <c r="H324" t="s">
        <v>1185</v>
      </c>
    </row>
    <row r="325" spans="1:8" x14ac:dyDescent="0.3">
      <c r="A325" s="6">
        <v>3</v>
      </c>
      <c r="B325" t="s">
        <v>490</v>
      </c>
      <c r="C325" s="9" t="s">
        <v>963</v>
      </c>
      <c r="D325" s="9">
        <v>60</v>
      </c>
      <c r="E325" s="9" t="s">
        <v>1804</v>
      </c>
      <c r="F325" t="s">
        <v>167</v>
      </c>
      <c r="G325" t="s">
        <v>168</v>
      </c>
      <c r="H325" t="s">
        <v>1533</v>
      </c>
    </row>
    <row r="326" spans="1:8" x14ac:dyDescent="0.3">
      <c r="A326" s="6">
        <v>3</v>
      </c>
      <c r="B326" t="s">
        <v>490</v>
      </c>
      <c r="C326" s="9" t="s">
        <v>963</v>
      </c>
      <c r="D326" s="9">
        <v>60</v>
      </c>
      <c r="E326" s="9" t="s">
        <v>1804</v>
      </c>
      <c r="F326" t="s">
        <v>107</v>
      </c>
      <c r="G326" t="s">
        <v>108</v>
      </c>
      <c r="H326" t="s">
        <v>1140</v>
      </c>
    </row>
    <row r="327" spans="1:8" x14ac:dyDescent="0.3">
      <c r="A327" s="6">
        <v>3</v>
      </c>
      <c r="B327" t="s">
        <v>490</v>
      </c>
      <c r="C327" s="9" t="s">
        <v>963</v>
      </c>
      <c r="D327" s="9">
        <v>60</v>
      </c>
      <c r="E327" s="9" t="s">
        <v>1804</v>
      </c>
      <c r="F327" t="s">
        <v>351</v>
      </c>
      <c r="G327" t="s">
        <v>38</v>
      </c>
      <c r="H327" t="s">
        <v>1142</v>
      </c>
    </row>
    <row r="328" spans="1:8" x14ac:dyDescent="0.3">
      <c r="A328" s="6">
        <v>3</v>
      </c>
      <c r="B328" t="s">
        <v>490</v>
      </c>
      <c r="C328" s="9" t="s">
        <v>963</v>
      </c>
      <c r="D328" s="9">
        <v>60</v>
      </c>
      <c r="E328" s="9" t="s">
        <v>1804</v>
      </c>
      <c r="F328" t="s">
        <v>528</v>
      </c>
      <c r="G328" t="s">
        <v>38</v>
      </c>
      <c r="H328" t="s">
        <v>1143</v>
      </c>
    </row>
    <row r="329" spans="1:8" x14ac:dyDescent="0.3">
      <c r="A329" s="6">
        <v>3</v>
      </c>
      <c r="B329" t="s">
        <v>490</v>
      </c>
      <c r="C329" s="9" t="s">
        <v>963</v>
      </c>
      <c r="D329" s="9">
        <v>60</v>
      </c>
      <c r="E329" s="9" t="s">
        <v>1804</v>
      </c>
      <c r="F329" t="s">
        <v>110</v>
      </c>
      <c r="G329" t="s">
        <v>41</v>
      </c>
      <c r="H329" t="s">
        <v>1144</v>
      </c>
    </row>
    <row r="330" spans="1:8" x14ac:dyDescent="0.3">
      <c r="A330" s="6">
        <v>3</v>
      </c>
      <c r="B330" t="s">
        <v>490</v>
      </c>
      <c r="C330" s="9" t="s">
        <v>963</v>
      </c>
      <c r="D330" s="9">
        <v>60</v>
      </c>
      <c r="E330" s="9" t="s">
        <v>1804</v>
      </c>
      <c r="F330" t="s">
        <v>114</v>
      </c>
      <c r="G330" t="s">
        <v>115</v>
      </c>
      <c r="H330" t="s">
        <v>1121</v>
      </c>
    </row>
    <row r="331" spans="1:8" x14ac:dyDescent="0.3">
      <c r="A331" s="6">
        <v>3</v>
      </c>
      <c r="B331" t="s">
        <v>490</v>
      </c>
      <c r="C331" s="9" t="s">
        <v>963</v>
      </c>
      <c r="D331" s="9">
        <v>60</v>
      </c>
      <c r="E331" s="9" t="s">
        <v>1804</v>
      </c>
      <c r="F331" t="s">
        <v>120</v>
      </c>
      <c r="G331" t="s">
        <v>51</v>
      </c>
      <c r="H331" t="s">
        <v>1590</v>
      </c>
    </row>
    <row r="332" spans="1:8" x14ac:dyDescent="0.3">
      <c r="A332" s="6">
        <v>3</v>
      </c>
      <c r="B332" t="s">
        <v>490</v>
      </c>
      <c r="C332" s="9" t="s">
        <v>963</v>
      </c>
      <c r="D332" s="9">
        <v>60</v>
      </c>
      <c r="E332" s="9" t="s">
        <v>1804</v>
      </c>
      <c r="F332" t="s">
        <v>371</v>
      </c>
      <c r="G332" t="s">
        <v>66</v>
      </c>
      <c r="H332" t="s">
        <v>1799</v>
      </c>
    </row>
    <row r="333" spans="1:8" x14ac:dyDescent="0.3">
      <c r="A333" s="6">
        <v>3</v>
      </c>
      <c r="B333" t="s">
        <v>490</v>
      </c>
      <c r="C333" s="9" t="s">
        <v>963</v>
      </c>
      <c r="D333" s="9">
        <v>64</v>
      </c>
      <c r="E333" s="9" t="s">
        <v>1804</v>
      </c>
      <c r="F333" t="s">
        <v>125</v>
      </c>
      <c r="G333" t="s">
        <v>126</v>
      </c>
      <c r="H333" t="s">
        <v>1581</v>
      </c>
    </row>
    <row r="334" spans="1:8" x14ac:dyDescent="0.3">
      <c r="A334" s="6">
        <v>3</v>
      </c>
      <c r="B334" t="s">
        <v>490</v>
      </c>
      <c r="C334" s="9" t="s">
        <v>963</v>
      </c>
      <c r="D334" s="9">
        <v>60</v>
      </c>
      <c r="E334" s="9" t="s">
        <v>1804</v>
      </c>
      <c r="F334" t="s">
        <v>128</v>
      </c>
      <c r="G334" t="s">
        <v>129</v>
      </c>
      <c r="H334" t="s">
        <v>1582</v>
      </c>
    </row>
    <row r="335" spans="1:8" x14ac:dyDescent="0.3">
      <c r="A335" s="6">
        <v>4</v>
      </c>
      <c r="B335" t="s">
        <v>481</v>
      </c>
      <c r="C335" s="9" t="s">
        <v>932</v>
      </c>
      <c r="D335" s="9">
        <v>42</v>
      </c>
      <c r="E335" s="9" t="s">
        <v>1804</v>
      </c>
      <c r="F335" t="s">
        <v>14</v>
      </c>
      <c r="G335" t="s">
        <v>15</v>
      </c>
      <c r="H335" t="s">
        <v>1290</v>
      </c>
    </row>
    <row r="336" spans="1:8" x14ac:dyDescent="0.3">
      <c r="A336" s="6">
        <v>4</v>
      </c>
      <c r="B336" t="s">
        <v>481</v>
      </c>
      <c r="C336" s="9" t="s">
        <v>1266</v>
      </c>
      <c r="D336" s="9">
        <v>300</v>
      </c>
      <c r="E336" s="9" t="s">
        <v>1808</v>
      </c>
      <c r="F336" t="s">
        <v>482</v>
      </c>
      <c r="G336" t="s">
        <v>15</v>
      </c>
      <c r="H336" t="s">
        <v>1291</v>
      </c>
    </row>
    <row r="337" spans="1:8" x14ac:dyDescent="0.3">
      <c r="A337" s="6">
        <v>4</v>
      </c>
      <c r="B337" t="s">
        <v>481</v>
      </c>
      <c r="C337" s="9" t="s">
        <v>932</v>
      </c>
      <c r="D337" s="9">
        <v>12</v>
      </c>
      <c r="E337" s="9" t="s">
        <v>1804</v>
      </c>
      <c r="F337" t="s">
        <v>204</v>
      </c>
      <c r="G337" t="s">
        <v>15</v>
      </c>
      <c r="H337" t="s">
        <v>1292</v>
      </c>
    </row>
    <row r="338" spans="1:8" x14ac:dyDescent="0.3">
      <c r="A338" s="6">
        <v>4</v>
      </c>
      <c r="B338" t="s">
        <v>481</v>
      </c>
      <c r="C338" s="9" t="s">
        <v>1807</v>
      </c>
      <c r="D338" s="9">
        <v>120</v>
      </c>
      <c r="E338" s="9" t="s">
        <v>1808</v>
      </c>
      <c r="F338" t="s">
        <v>25</v>
      </c>
      <c r="G338" t="s">
        <v>26</v>
      </c>
      <c r="H338" t="s">
        <v>1333</v>
      </c>
    </row>
    <row r="339" spans="1:8" x14ac:dyDescent="0.3">
      <c r="A339" s="6">
        <v>4</v>
      </c>
      <c r="B339" t="s">
        <v>481</v>
      </c>
      <c r="C339" s="9" t="s">
        <v>932</v>
      </c>
      <c r="D339" s="9">
        <v>12</v>
      </c>
      <c r="E339" s="9" t="s">
        <v>1804</v>
      </c>
      <c r="F339" t="s">
        <v>483</v>
      </c>
      <c r="G339" t="s">
        <v>29</v>
      </c>
      <c r="H339" t="s">
        <v>1182</v>
      </c>
    </row>
    <row r="340" spans="1:8" x14ac:dyDescent="0.3">
      <c r="A340" s="6">
        <v>4</v>
      </c>
      <c r="B340" t="s">
        <v>481</v>
      </c>
      <c r="C340" s="9" t="s">
        <v>932</v>
      </c>
      <c r="D340" s="9">
        <v>18</v>
      </c>
      <c r="E340" s="9" t="s">
        <v>1804</v>
      </c>
      <c r="F340" t="s">
        <v>217</v>
      </c>
      <c r="G340" t="s">
        <v>168</v>
      </c>
      <c r="H340" t="s">
        <v>1442</v>
      </c>
    </row>
    <row r="341" spans="1:8" x14ac:dyDescent="0.3">
      <c r="A341" s="6">
        <v>4</v>
      </c>
      <c r="B341" t="s">
        <v>481</v>
      </c>
      <c r="C341" s="9" t="s">
        <v>932</v>
      </c>
      <c r="D341" s="9">
        <v>30</v>
      </c>
      <c r="E341" s="9" t="s">
        <v>1804</v>
      </c>
      <c r="F341" t="s">
        <v>35</v>
      </c>
      <c r="G341" t="s">
        <v>32</v>
      </c>
      <c r="H341" t="s">
        <v>1489</v>
      </c>
    </row>
    <row r="342" spans="1:8" x14ac:dyDescent="0.3">
      <c r="A342" s="6">
        <v>4</v>
      </c>
      <c r="B342" t="s">
        <v>481</v>
      </c>
      <c r="C342" s="9" t="s">
        <v>932</v>
      </c>
      <c r="D342" s="9">
        <v>21</v>
      </c>
      <c r="E342" s="9" t="s">
        <v>1804</v>
      </c>
      <c r="F342" t="s">
        <v>36</v>
      </c>
      <c r="G342" t="s">
        <v>32</v>
      </c>
      <c r="H342" t="s">
        <v>1492</v>
      </c>
    </row>
    <row r="343" spans="1:8" x14ac:dyDescent="0.3">
      <c r="A343" s="6">
        <v>4</v>
      </c>
      <c r="B343" t="s">
        <v>481</v>
      </c>
      <c r="C343" s="9" t="s">
        <v>1807</v>
      </c>
      <c r="D343" s="9">
        <v>1200</v>
      </c>
      <c r="E343" s="9" t="s">
        <v>1808</v>
      </c>
      <c r="F343" t="s">
        <v>240</v>
      </c>
      <c r="G343" t="s">
        <v>241</v>
      </c>
      <c r="H343" t="s">
        <v>1427</v>
      </c>
    </row>
    <row r="344" spans="1:8" x14ac:dyDescent="0.3">
      <c r="A344" s="6">
        <v>4</v>
      </c>
      <c r="B344" t="s">
        <v>481</v>
      </c>
      <c r="C344" s="9" t="s">
        <v>932</v>
      </c>
      <c r="D344" s="9">
        <v>18</v>
      </c>
      <c r="E344" s="9" t="s">
        <v>1804</v>
      </c>
      <c r="F344" t="s">
        <v>246</v>
      </c>
      <c r="G344" t="s">
        <v>51</v>
      </c>
      <c r="H344" t="s">
        <v>1596</v>
      </c>
    </row>
    <row r="345" spans="1:8" x14ac:dyDescent="0.3">
      <c r="A345" s="6">
        <v>4</v>
      </c>
      <c r="B345" t="s">
        <v>481</v>
      </c>
      <c r="C345" s="9" t="s">
        <v>932</v>
      </c>
      <c r="D345" s="9">
        <v>12</v>
      </c>
      <c r="E345" s="9" t="s">
        <v>1804</v>
      </c>
      <c r="F345" t="s">
        <v>252</v>
      </c>
      <c r="G345" t="s">
        <v>253</v>
      </c>
      <c r="H345" t="s">
        <v>1635</v>
      </c>
    </row>
    <row r="346" spans="1:8" x14ac:dyDescent="0.3">
      <c r="A346" s="6">
        <v>4</v>
      </c>
      <c r="B346" t="s">
        <v>481</v>
      </c>
      <c r="C346" s="9" t="s">
        <v>1807</v>
      </c>
      <c r="D346" s="9">
        <v>1800</v>
      </c>
      <c r="E346" s="9" t="s">
        <v>1808</v>
      </c>
      <c r="F346" t="s">
        <v>449</v>
      </c>
      <c r="G346" t="s">
        <v>450</v>
      </c>
      <c r="H346" t="s">
        <v>1711</v>
      </c>
    </row>
    <row r="347" spans="1:8" x14ac:dyDescent="0.3">
      <c r="A347" s="6">
        <v>4</v>
      </c>
      <c r="B347" t="s">
        <v>481</v>
      </c>
      <c r="C347" s="9" t="s">
        <v>1807</v>
      </c>
      <c r="D347" s="9">
        <v>1050</v>
      </c>
      <c r="E347" s="9" t="s">
        <v>1808</v>
      </c>
      <c r="F347" t="s">
        <v>291</v>
      </c>
      <c r="G347" t="s">
        <v>292</v>
      </c>
      <c r="H347" t="s">
        <v>1678</v>
      </c>
    </row>
    <row r="348" spans="1:8" x14ac:dyDescent="0.3">
      <c r="A348" s="6">
        <v>4</v>
      </c>
      <c r="B348" t="s">
        <v>481</v>
      </c>
      <c r="C348" s="9" t="s">
        <v>1807</v>
      </c>
      <c r="D348" s="9">
        <v>750</v>
      </c>
      <c r="E348" s="9" t="s">
        <v>1808</v>
      </c>
      <c r="F348" t="s">
        <v>456</v>
      </c>
      <c r="G348" t="s">
        <v>292</v>
      </c>
      <c r="H348" t="s">
        <v>1679</v>
      </c>
    </row>
    <row r="349" spans="1:8" x14ac:dyDescent="0.3">
      <c r="A349" s="6">
        <v>4</v>
      </c>
      <c r="B349" t="s">
        <v>481</v>
      </c>
      <c r="C349" s="9" t="s">
        <v>1807</v>
      </c>
      <c r="D349" s="9">
        <v>420</v>
      </c>
      <c r="E349" s="9" t="s">
        <v>1808</v>
      </c>
      <c r="F349" t="s">
        <v>68</v>
      </c>
      <c r="G349" t="s">
        <v>69</v>
      </c>
      <c r="H349" t="s">
        <v>1551</v>
      </c>
    </row>
    <row r="350" spans="1:8" x14ac:dyDescent="0.3">
      <c r="A350" s="6">
        <v>4</v>
      </c>
      <c r="B350" t="s">
        <v>481</v>
      </c>
      <c r="C350" s="9" t="s">
        <v>1807</v>
      </c>
      <c r="D350" s="9">
        <v>198</v>
      </c>
      <c r="E350" s="9" t="s">
        <v>1808</v>
      </c>
      <c r="F350" t="s">
        <v>484</v>
      </c>
      <c r="G350" t="s">
        <v>69</v>
      </c>
      <c r="H350" t="s">
        <v>1556</v>
      </c>
    </row>
    <row r="351" spans="1:8" x14ac:dyDescent="0.3">
      <c r="A351" s="6">
        <v>4</v>
      </c>
      <c r="B351" t="s">
        <v>481</v>
      </c>
      <c r="C351" s="9" t="s">
        <v>1807</v>
      </c>
      <c r="D351" s="9">
        <v>770</v>
      </c>
      <c r="E351" s="9" t="s">
        <v>1808</v>
      </c>
      <c r="F351" t="s">
        <v>71</v>
      </c>
      <c r="G351" t="s">
        <v>72</v>
      </c>
      <c r="H351" t="s">
        <v>1565</v>
      </c>
    </row>
    <row r="352" spans="1:8" x14ac:dyDescent="0.3">
      <c r="A352" s="6">
        <v>4</v>
      </c>
      <c r="B352" t="s">
        <v>481</v>
      </c>
      <c r="C352" s="9" t="s">
        <v>1807</v>
      </c>
      <c r="D352" s="9">
        <v>518</v>
      </c>
      <c r="E352" s="9" t="s">
        <v>1808</v>
      </c>
      <c r="F352" t="s">
        <v>74</v>
      </c>
      <c r="G352" t="s">
        <v>72</v>
      </c>
      <c r="H352" t="s">
        <v>1566</v>
      </c>
    </row>
    <row r="353" spans="1:8" x14ac:dyDescent="0.3">
      <c r="A353" s="6">
        <v>4</v>
      </c>
      <c r="B353" t="s">
        <v>481</v>
      </c>
      <c r="C353" s="9" t="s">
        <v>1807</v>
      </c>
      <c r="D353" s="9">
        <v>398</v>
      </c>
      <c r="E353" s="9" t="s">
        <v>1808</v>
      </c>
      <c r="F353" t="s">
        <v>318</v>
      </c>
      <c r="G353" t="s">
        <v>76</v>
      </c>
      <c r="H353" t="s">
        <v>1578</v>
      </c>
    </row>
    <row r="354" spans="1:8" x14ac:dyDescent="0.3">
      <c r="A354" s="6">
        <v>4</v>
      </c>
      <c r="B354" t="s">
        <v>481</v>
      </c>
      <c r="C354" s="9" t="s">
        <v>1807</v>
      </c>
      <c r="D354" s="9">
        <v>698</v>
      </c>
      <c r="E354" s="9" t="s">
        <v>1808</v>
      </c>
      <c r="F354" t="s">
        <v>485</v>
      </c>
      <c r="G354" t="s">
        <v>76</v>
      </c>
      <c r="H354" t="s">
        <v>1579</v>
      </c>
    </row>
    <row r="355" spans="1:8" x14ac:dyDescent="0.3">
      <c r="A355" s="6">
        <v>4</v>
      </c>
      <c r="B355" t="s">
        <v>481</v>
      </c>
      <c r="C355" s="9" t="s">
        <v>1809</v>
      </c>
      <c r="D355" s="9">
        <v>60</v>
      </c>
      <c r="E355" s="9" t="s">
        <v>1804</v>
      </c>
      <c r="F355" t="s">
        <v>78</v>
      </c>
      <c r="G355" t="s">
        <v>1810</v>
      </c>
      <c r="H355" t="s">
        <v>1811</v>
      </c>
    </row>
    <row r="356" spans="1:8" x14ac:dyDescent="0.3">
      <c r="A356" s="6">
        <v>4</v>
      </c>
      <c r="B356" t="s">
        <v>481</v>
      </c>
      <c r="C356" s="9" t="s">
        <v>963</v>
      </c>
      <c r="D356" s="9">
        <v>72</v>
      </c>
      <c r="E356" s="9" t="s">
        <v>1804</v>
      </c>
      <c r="F356" t="s">
        <v>101</v>
      </c>
      <c r="G356" t="s">
        <v>102</v>
      </c>
      <c r="H356" t="s">
        <v>1365</v>
      </c>
    </row>
    <row r="357" spans="1:8" x14ac:dyDescent="0.3">
      <c r="A357" s="6">
        <v>4</v>
      </c>
      <c r="B357" t="s">
        <v>481</v>
      </c>
      <c r="C357" s="9" t="s">
        <v>963</v>
      </c>
      <c r="D357" s="9">
        <v>60</v>
      </c>
      <c r="E357" s="9" t="s">
        <v>1804</v>
      </c>
      <c r="F357" t="s">
        <v>400</v>
      </c>
      <c r="G357" t="s">
        <v>401</v>
      </c>
      <c r="H357" t="s">
        <v>1185</v>
      </c>
    </row>
    <row r="358" spans="1:8" x14ac:dyDescent="0.3">
      <c r="A358" s="6">
        <v>4</v>
      </c>
      <c r="B358" t="s">
        <v>481</v>
      </c>
      <c r="C358" s="9" t="s">
        <v>963</v>
      </c>
      <c r="D358" s="9">
        <v>60</v>
      </c>
      <c r="E358" s="9" t="s">
        <v>1804</v>
      </c>
      <c r="F358" t="s">
        <v>167</v>
      </c>
      <c r="G358" t="s">
        <v>168</v>
      </c>
      <c r="H358" t="s">
        <v>1533</v>
      </c>
    </row>
    <row r="359" spans="1:8" x14ac:dyDescent="0.3">
      <c r="A359" s="6">
        <v>4</v>
      </c>
      <c r="B359" t="s">
        <v>481</v>
      </c>
      <c r="C359" s="9" t="s">
        <v>963</v>
      </c>
      <c r="D359" s="9">
        <v>60</v>
      </c>
      <c r="E359" s="9" t="s">
        <v>1804</v>
      </c>
      <c r="F359" t="s">
        <v>106</v>
      </c>
      <c r="G359" t="s">
        <v>32</v>
      </c>
      <c r="H359" t="s">
        <v>1537</v>
      </c>
    </row>
    <row r="360" spans="1:8" x14ac:dyDescent="0.3">
      <c r="A360" s="6">
        <v>4</v>
      </c>
      <c r="B360" t="s">
        <v>481</v>
      </c>
      <c r="C360" s="9" t="s">
        <v>963</v>
      </c>
      <c r="D360" s="9">
        <v>60</v>
      </c>
      <c r="E360" s="9" t="s">
        <v>1804</v>
      </c>
      <c r="F360" t="s">
        <v>107</v>
      </c>
      <c r="G360" t="s">
        <v>108</v>
      </c>
      <c r="H360" t="s">
        <v>1140</v>
      </c>
    </row>
    <row r="361" spans="1:8" x14ac:dyDescent="0.3">
      <c r="A361" s="6">
        <v>4</v>
      </c>
      <c r="B361" t="s">
        <v>481</v>
      </c>
      <c r="C361" s="9" t="s">
        <v>963</v>
      </c>
      <c r="D361" s="9">
        <v>60</v>
      </c>
      <c r="E361" s="9" t="s">
        <v>1804</v>
      </c>
      <c r="F361" t="s">
        <v>120</v>
      </c>
      <c r="G361" t="s">
        <v>51</v>
      </c>
      <c r="H361" t="s">
        <v>1590</v>
      </c>
    </row>
    <row r="362" spans="1:8" x14ac:dyDescent="0.3">
      <c r="A362" s="6">
        <v>4</v>
      </c>
      <c r="B362" t="s">
        <v>481</v>
      </c>
      <c r="C362" s="9" t="s">
        <v>963</v>
      </c>
      <c r="D362" s="9">
        <v>64</v>
      </c>
      <c r="E362" s="9" t="s">
        <v>1804</v>
      </c>
      <c r="F362" t="s">
        <v>121</v>
      </c>
      <c r="G362" t="s">
        <v>122</v>
      </c>
      <c r="H362" t="s">
        <v>1125</v>
      </c>
    </row>
    <row r="363" spans="1:8" x14ac:dyDescent="0.3">
      <c r="A363" s="6">
        <v>4</v>
      </c>
      <c r="B363" t="s">
        <v>481</v>
      </c>
      <c r="C363" s="9" t="s">
        <v>963</v>
      </c>
      <c r="D363" s="9">
        <v>60</v>
      </c>
      <c r="E363" s="9" t="s">
        <v>1804</v>
      </c>
      <c r="F363" t="s">
        <v>367</v>
      </c>
      <c r="G363" t="s">
        <v>368</v>
      </c>
      <c r="H363" t="s">
        <v>1688</v>
      </c>
    </row>
    <row r="364" spans="1:8" x14ac:dyDescent="0.3">
      <c r="A364" s="6">
        <v>4</v>
      </c>
      <c r="B364" t="s">
        <v>481</v>
      </c>
      <c r="C364" s="9" t="s">
        <v>963</v>
      </c>
      <c r="D364" s="9">
        <v>63</v>
      </c>
      <c r="E364" s="9" t="s">
        <v>1804</v>
      </c>
      <c r="F364" t="s">
        <v>124</v>
      </c>
      <c r="G364" t="s">
        <v>572</v>
      </c>
      <c r="H364" t="s">
        <v>1024</v>
      </c>
    </row>
    <row r="365" spans="1:8" x14ac:dyDescent="0.3">
      <c r="A365" s="6">
        <v>4</v>
      </c>
      <c r="B365" t="s">
        <v>481</v>
      </c>
      <c r="C365" s="9" t="s">
        <v>963</v>
      </c>
      <c r="D365" s="9">
        <v>60</v>
      </c>
      <c r="E365" s="9" t="s">
        <v>1804</v>
      </c>
      <c r="F365" t="s">
        <v>486</v>
      </c>
      <c r="G365" t="s">
        <v>487</v>
      </c>
      <c r="H365" t="s">
        <v>1196</v>
      </c>
    </row>
    <row r="366" spans="1:8" x14ac:dyDescent="0.3">
      <c r="A366" s="6">
        <v>4</v>
      </c>
      <c r="B366" t="s">
        <v>481</v>
      </c>
      <c r="C366" s="9" t="s">
        <v>963</v>
      </c>
      <c r="D366" s="9">
        <v>60</v>
      </c>
      <c r="E366" s="9" t="s">
        <v>1804</v>
      </c>
      <c r="F366" t="s">
        <v>128</v>
      </c>
      <c r="G366" t="s">
        <v>129</v>
      </c>
      <c r="H366" t="s">
        <v>1582</v>
      </c>
    </row>
    <row r="367" spans="1:8" x14ac:dyDescent="0.3">
      <c r="A367" s="6">
        <v>5</v>
      </c>
      <c r="B367" t="s">
        <v>408</v>
      </c>
      <c r="C367" s="9" t="s">
        <v>932</v>
      </c>
      <c r="D367" s="9">
        <v>12</v>
      </c>
      <c r="E367" s="9" t="s">
        <v>1804</v>
      </c>
      <c r="F367" t="s">
        <v>143</v>
      </c>
      <c r="G367" t="s">
        <v>144</v>
      </c>
      <c r="H367" t="s">
        <v>1694</v>
      </c>
    </row>
    <row r="368" spans="1:8" x14ac:dyDescent="0.3">
      <c r="A368" s="6">
        <v>5</v>
      </c>
      <c r="B368" t="s">
        <v>408</v>
      </c>
      <c r="C368" s="9" t="s">
        <v>932</v>
      </c>
      <c r="D368" s="9">
        <v>30</v>
      </c>
      <c r="E368" s="9" t="s">
        <v>1804</v>
      </c>
      <c r="F368" t="s">
        <v>176</v>
      </c>
      <c r="G368" t="s">
        <v>177</v>
      </c>
      <c r="H368" t="s">
        <v>1381</v>
      </c>
    </row>
    <row r="369" spans="1:8" x14ac:dyDescent="0.3">
      <c r="A369" s="6">
        <v>5</v>
      </c>
      <c r="B369" t="s">
        <v>408</v>
      </c>
      <c r="C369" s="9" t="s">
        <v>1807</v>
      </c>
      <c r="D369" s="9">
        <v>1230</v>
      </c>
      <c r="E369" s="9" t="s">
        <v>1808</v>
      </c>
      <c r="F369" t="s">
        <v>10</v>
      </c>
      <c r="G369" t="s">
        <v>526</v>
      </c>
      <c r="H369" t="s">
        <v>1812</v>
      </c>
    </row>
    <row r="370" spans="1:8" x14ac:dyDescent="0.3">
      <c r="A370" s="6">
        <v>5</v>
      </c>
      <c r="B370" t="s">
        <v>408</v>
      </c>
      <c r="C370" s="9" t="s">
        <v>932</v>
      </c>
      <c r="D370" s="9">
        <v>37</v>
      </c>
      <c r="E370" s="9" t="s">
        <v>1804</v>
      </c>
      <c r="F370" t="s">
        <v>198</v>
      </c>
      <c r="G370" t="s">
        <v>196</v>
      </c>
      <c r="H370" t="s">
        <v>1267</v>
      </c>
    </row>
    <row r="371" spans="1:8" x14ac:dyDescent="0.3">
      <c r="A371" s="6">
        <v>5</v>
      </c>
      <c r="B371" t="s">
        <v>408</v>
      </c>
      <c r="C371" s="9" t="s">
        <v>1807</v>
      </c>
      <c r="D371" s="9">
        <v>1300</v>
      </c>
      <c r="E371" s="9" t="s">
        <v>1808</v>
      </c>
      <c r="F371" t="s">
        <v>409</v>
      </c>
      <c r="G371" t="s">
        <v>200</v>
      </c>
      <c r="H371" t="s">
        <v>1271</v>
      </c>
    </row>
    <row r="372" spans="1:8" x14ac:dyDescent="0.3">
      <c r="A372" s="6">
        <v>5</v>
      </c>
      <c r="B372" t="s">
        <v>408</v>
      </c>
      <c r="C372" s="9" t="s">
        <v>1807</v>
      </c>
      <c r="D372" s="9">
        <v>1300</v>
      </c>
      <c r="E372" s="9" t="s">
        <v>1808</v>
      </c>
      <c r="F372" t="s">
        <v>199</v>
      </c>
      <c r="G372" t="s">
        <v>200</v>
      </c>
      <c r="H372" t="s">
        <v>1271</v>
      </c>
    </row>
    <row r="373" spans="1:8" x14ac:dyDescent="0.3">
      <c r="A373" s="6">
        <v>5</v>
      </c>
      <c r="B373" t="s">
        <v>408</v>
      </c>
      <c r="C373" s="9" t="s">
        <v>932</v>
      </c>
      <c r="D373" s="9">
        <v>42</v>
      </c>
      <c r="E373" s="9" t="s">
        <v>1804</v>
      </c>
      <c r="F373" t="s">
        <v>14</v>
      </c>
      <c r="G373" t="s">
        <v>15</v>
      </c>
      <c r="H373" t="s">
        <v>1290</v>
      </c>
    </row>
    <row r="374" spans="1:8" x14ac:dyDescent="0.3">
      <c r="A374" s="6">
        <v>5</v>
      </c>
      <c r="B374" t="s">
        <v>408</v>
      </c>
      <c r="C374" s="9" t="s">
        <v>1266</v>
      </c>
      <c r="D374" s="9">
        <v>12</v>
      </c>
      <c r="E374" s="9" t="s">
        <v>1804</v>
      </c>
      <c r="F374" t="s">
        <v>17</v>
      </c>
      <c r="G374" t="s">
        <v>15</v>
      </c>
      <c r="H374" t="s">
        <v>1291</v>
      </c>
    </row>
    <row r="375" spans="1:8" x14ac:dyDescent="0.3">
      <c r="A375" s="6">
        <v>5</v>
      </c>
      <c r="B375" t="s">
        <v>408</v>
      </c>
      <c r="C375" s="9" t="s">
        <v>1807</v>
      </c>
      <c r="D375" s="9">
        <v>1330</v>
      </c>
      <c r="E375" s="9" t="s">
        <v>1808</v>
      </c>
      <c r="F375" t="s">
        <v>207</v>
      </c>
      <c r="G375" t="s">
        <v>19</v>
      </c>
      <c r="H375" t="s">
        <v>1301</v>
      </c>
    </row>
    <row r="376" spans="1:8" x14ac:dyDescent="0.3">
      <c r="A376" s="6">
        <v>5</v>
      </c>
      <c r="B376" t="s">
        <v>408</v>
      </c>
      <c r="C376" s="9" t="s">
        <v>1807</v>
      </c>
      <c r="D376" s="9">
        <v>165</v>
      </c>
      <c r="E376" s="9" t="s">
        <v>1808</v>
      </c>
      <c r="F376" t="s">
        <v>410</v>
      </c>
      <c r="G376" t="s">
        <v>411</v>
      </c>
      <c r="H376" t="s">
        <v>1313</v>
      </c>
    </row>
    <row r="377" spans="1:8" x14ac:dyDescent="0.3">
      <c r="A377" s="6">
        <v>5</v>
      </c>
      <c r="B377" t="s">
        <v>408</v>
      </c>
      <c r="C377" s="9" t="s">
        <v>1807</v>
      </c>
      <c r="D377" s="9">
        <v>750</v>
      </c>
      <c r="E377" s="9" t="s">
        <v>1808</v>
      </c>
      <c r="F377" t="s">
        <v>211</v>
      </c>
      <c r="G377" t="s">
        <v>212</v>
      </c>
      <c r="H377" t="s">
        <v>1331</v>
      </c>
    </row>
    <row r="378" spans="1:8" x14ac:dyDescent="0.3">
      <c r="A378" s="6">
        <v>5</v>
      </c>
      <c r="B378" t="s">
        <v>408</v>
      </c>
      <c r="C378" s="9" t="s">
        <v>1807</v>
      </c>
      <c r="D378" s="9">
        <v>1350</v>
      </c>
      <c r="E378" s="9" t="s">
        <v>1808</v>
      </c>
      <c r="F378" t="s">
        <v>413</v>
      </c>
      <c r="G378" t="s">
        <v>414</v>
      </c>
      <c r="H378" t="s">
        <v>1332</v>
      </c>
    </row>
    <row r="379" spans="1:8" x14ac:dyDescent="0.3">
      <c r="A379" s="6">
        <v>5</v>
      </c>
      <c r="B379" t="s">
        <v>408</v>
      </c>
      <c r="C379" s="9" t="s">
        <v>1807</v>
      </c>
      <c r="D379" s="9">
        <v>120</v>
      </c>
      <c r="E379" s="9" t="s">
        <v>1808</v>
      </c>
      <c r="F379" t="s">
        <v>25</v>
      </c>
      <c r="G379" t="s">
        <v>26</v>
      </c>
      <c r="H379" t="s">
        <v>1333</v>
      </c>
    </row>
    <row r="380" spans="1:8" x14ac:dyDescent="0.3">
      <c r="A380" s="6">
        <v>5</v>
      </c>
      <c r="B380" t="s">
        <v>408</v>
      </c>
      <c r="C380" s="9" t="s">
        <v>1807</v>
      </c>
      <c r="D380" s="9">
        <v>1200</v>
      </c>
      <c r="E380" s="9" t="s">
        <v>1808</v>
      </c>
      <c r="F380" t="s">
        <v>416</v>
      </c>
      <c r="G380" t="s">
        <v>47</v>
      </c>
      <c r="H380" t="s">
        <v>1401</v>
      </c>
    </row>
    <row r="381" spans="1:8" x14ac:dyDescent="0.3">
      <c r="A381" s="6">
        <v>5</v>
      </c>
      <c r="B381" t="s">
        <v>408</v>
      </c>
      <c r="C381" s="9" t="s">
        <v>932</v>
      </c>
      <c r="D381" s="9">
        <v>39</v>
      </c>
      <c r="E381" s="9" t="s">
        <v>1804</v>
      </c>
      <c r="F381" t="s">
        <v>417</v>
      </c>
      <c r="G381" t="s">
        <v>215</v>
      </c>
      <c r="H381" t="s">
        <v>1028</v>
      </c>
    </row>
    <row r="382" spans="1:8" x14ac:dyDescent="0.3">
      <c r="A382" s="6">
        <v>5</v>
      </c>
      <c r="B382" t="s">
        <v>408</v>
      </c>
      <c r="C382" s="9" t="s">
        <v>932</v>
      </c>
      <c r="D382" s="9">
        <v>24</v>
      </c>
      <c r="E382" s="9" t="s">
        <v>1804</v>
      </c>
      <c r="F382" t="s">
        <v>385</v>
      </c>
      <c r="G382" t="s">
        <v>386</v>
      </c>
      <c r="H382" t="s">
        <v>1421</v>
      </c>
    </row>
    <row r="383" spans="1:8" x14ac:dyDescent="0.3">
      <c r="A383" s="6">
        <v>5</v>
      </c>
      <c r="B383" t="s">
        <v>408</v>
      </c>
      <c r="C383" s="9" t="s">
        <v>932</v>
      </c>
      <c r="D383" s="9">
        <v>18</v>
      </c>
      <c r="E383" s="9" t="s">
        <v>1804</v>
      </c>
      <c r="F383" t="s">
        <v>418</v>
      </c>
      <c r="G383" t="s">
        <v>168</v>
      </c>
      <c r="H383" t="s">
        <v>1440</v>
      </c>
    </row>
    <row r="384" spans="1:8" x14ac:dyDescent="0.3">
      <c r="A384" s="6">
        <v>5</v>
      </c>
      <c r="B384" t="s">
        <v>408</v>
      </c>
      <c r="C384" s="9" t="s">
        <v>932</v>
      </c>
      <c r="D384" s="9">
        <v>18</v>
      </c>
      <c r="E384" s="9" t="s">
        <v>1804</v>
      </c>
      <c r="F384" t="s">
        <v>217</v>
      </c>
      <c r="G384" t="s">
        <v>168</v>
      </c>
      <c r="H384" t="s">
        <v>1442</v>
      </c>
    </row>
    <row r="385" spans="1:8" x14ac:dyDescent="0.3">
      <c r="A385" s="6">
        <v>5</v>
      </c>
      <c r="B385" t="s">
        <v>408</v>
      </c>
      <c r="C385" s="9" t="s">
        <v>932</v>
      </c>
      <c r="D385" s="9">
        <v>27</v>
      </c>
      <c r="E385" s="9" t="s">
        <v>1804</v>
      </c>
      <c r="F385" t="s">
        <v>218</v>
      </c>
      <c r="G385" t="s">
        <v>168</v>
      </c>
      <c r="H385" t="s">
        <v>1443</v>
      </c>
    </row>
    <row r="386" spans="1:8" x14ac:dyDescent="0.3">
      <c r="A386" s="6">
        <v>5</v>
      </c>
      <c r="B386" t="s">
        <v>408</v>
      </c>
      <c r="C386" s="9" t="s">
        <v>1806</v>
      </c>
      <c r="D386" s="9">
        <v>9</v>
      </c>
      <c r="E386" s="9" t="s">
        <v>1804</v>
      </c>
      <c r="F386" t="s">
        <v>419</v>
      </c>
      <c r="G386" t="s">
        <v>168</v>
      </c>
      <c r="H386" t="s">
        <v>1533</v>
      </c>
    </row>
    <row r="387" spans="1:8" x14ac:dyDescent="0.3">
      <c r="A387" s="6">
        <v>5</v>
      </c>
      <c r="B387" t="s">
        <v>408</v>
      </c>
      <c r="C387" s="9" t="s">
        <v>1806</v>
      </c>
      <c r="D387" s="9">
        <v>9</v>
      </c>
      <c r="E387" s="9" t="s">
        <v>1804</v>
      </c>
      <c r="F387" t="s">
        <v>420</v>
      </c>
      <c r="G387" t="s">
        <v>171</v>
      </c>
      <c r="H387" t="s">
        <v>1535</v>
      </c>
    </row>
    <row r="388" spans="1:8" x14ac:dyDescent="0.3">
      <c r="A388" s="6">
        <v>5</v>
      </c>
      <c r="B388" t="s">
        <v>408</v>
      </c>
      <c r="C388" s="9" t="s">
        <v>932</v>
      </c>
      <c r="D388" s="9">
        <v>33</v>
      </c>
      <c r="E388" s="9" t="s">
        <v>1804</v>
      </c>
      <c r="F388" t="s">
        <v>390</v>
      </c>
      <c r="G388" t="s">
        <v>391</v>
      </c>
      <c r="H388" t="s">
        <v>1449</v>
      </c>
    </row>
    <row r="389" spans="1:8" x14ac:dyDescent="0.3">
      <c r="A389" s="6">
        <v>5</v>
      </c>
      <c r="B389" t="s">
        <v>408</v>
      </c>
      <c r="C389" s="9" t="s">
        <v>932</v>
      </c>
      <c r="D389" s="9">
        <v>35</v>
      </c>
      <c r="E389" s="9" t="s">
        <v>1804</v>
      </c>
      <c r="F389" t="s">
        <v>421</v>
      </c>
      <c r="G389" t="s">
        <v>115</v>
      </c>
      <c r="H389" t="s">
        <v>1464</v>
      </c>
    </row>
    <row r="390" spans="1:8" x14ac:dyDescent="0.3">
      <c r="A390" s="6">
        <v>5</v>
      </c>
      <c r="B390" t="s">
        <v>408</v>
      </c>
      <c r="C390" s="9" t="s">
        <v>932</v>
      </c>
      <c r="D390" s="9">
        <v>24</v>
      </c>
      <c r="E390" s="9" t="s">
        <v>1804</v>
      </c>
      <c r="F390" t="s">
        <v>31</v>
      </c>
      <c r="G390" t="s">
        <v>32</v>
      </c>
      <c r="H390" t="s">
        <v>1483</v>
      </c>
    </row>
    <row r="391" spans="1:8" x14ac:dyDescent="0.3">
      <c r="A391" s="6">
        <v>5</v>
      </c>
      <c r="B391" t="s">
        <v>408</v>
      </c>
      <c r="C391" s="9" t="s">
        <v>932</v>
      </c>
      <c r="D391" s="9">
        <v>21</v>
      </c>
      <c r="E391" s="9" t="s">
        <v>1804</v>
      </c>
      <c r="F391" t="s">
        <v>34</v>
      </c>
      <c r="G391" t="s">
        <v>32</v>
      </c>
      <c r="H391" t="s">
        <v>1485</v>
      </c>
    </row>
    <row r="392" spans="1:8" x14ac:dyDescent="0.3">
      <c r="A392" s="6">
        <v>5</v>
      </c>
      <c r="B392" t="s">
        <v>408</v>
      </c>
      <c r="C392" s="9" t="s">
        <v>932</v>
      </c>
      <c r="D392" s="9">
        <v>21</v>
      </c>
      <c r="E392" s="9" t="s">
        <v>1804</v>
      </c>
      <c r="F392" t="s">
        <v>36</v>
      </c>
      <c r="G392" t="s">
        <v>32</v>
      </c>
      <c r="H392" t="s">
        <v>1492</v>
      </c>
    </row>
    <row r="393" spans="1:8" x14ac:dyDescent="0.3">
      <c r="A393" s="6">
        <v>5</v>
      </c>
      <c r="B393" t="s">
        <v>408</v>
      </c>
      <c r="C393" s="9" t="s">
        <v>932</v>
      </c>
      <c r="D393" s="9">
        <v>34</v>
      </c>
      <c r="E393" s="9" t="s">
        <v>1804</v>
      </c>
      <c r="F393" t="s">
        <v>422</v>
      </c>
      <c r="G393" t="s">
        <v>423</v>
      </c>
      <c r="H393" t="s">
        <v>1149</v>
      </c>
    </row>
    <row r="394" spans="1:8" x14ac:dyDescent="0.3">
      <c r="A394" s="6">
        <v>5</v>
      </c>
      <c r="B394" t="s">
        <v>408</v>
      </c>
      <c r="C394" s="9" t="s">
        <v>932</v>
      </c>
      <c r="D394" s="9">
        <v>18</v>
      </c>
      <c r="E394" s="9" t="s">
        <v>1804</v>
      </c>
      <c r="F394" t="s">
        <v>154</v>
      </c>
      <c r="G394" t="s">
        <v>108</v>
      </c>
      <c r="H394" t="s">
        <v>1151</v>
      </c>
    </row>
    <row r="395" spans="1:8" x14ac:dyDescent="0.3">
      <c r="A395" s="6">
        <v>5</v>
      </c>
      <c r="B395" t="s">
        <v>408</v>
      </c>
      <c r="C395" s="9" t="s">
        <v>1806</v>
      </c>
      <c r="D395" s="9">
        <v>9</v>
      </c>
      <c r="E395" s="9" t="s">
        <v>1804</v>
      </c>
      <c r="F395" t="s">
        <v>425</v>
      </c>
      <c r="G395" t="s">
        <v>108</v>
      </c>
      <c r="H395" t="s">
        <v>1140</v>
      </c>
    </row>
    <row r="396" spans="1:8" x14ac:dyDescent="0.3">
      <c r="A396" s="6">
        <v>5</v>
      </c>
      <c r="B396" t="s">
        <v>408</v>
      </c>
      <c r="C396" s="9" t="s">
        <v>932</v>
      </c>
      <c r="D396" s="9">
        <v>27</v>
      </c>
      <c r="E396" s="9" t="s">
        <v>1804</v>
      </c>
      <c r="F396" t="s">
        <v>37</v>
      </c>
      <c r="G396" t="s">
        <v>38</v>
      </c>
      <c r="H396" t="s">
        <v>1164</v>
      </c>
    </row>
    <row r="397" spans="1:8" x14ac:dyDescent="0.3">
      <c r="A397" s="6">
        <v>5</v>
      </c>
      <c r="B397" t="s">
        <v>408</v>
      </c>
      <c r="C397" s="9" t="s">
        <v>932</v>
      </c>
      <c r="D397" s="9">
        <v>12</v>
      </c>
      <c r="E397" s="9" t="s">
        <v>1804</v>
      </c>
      <c r="F397" t="s">
        <v>226</v>
      </c>
      <c r="G397" t="s">
        <v>38</v>
      </c>
      <c r="H397" t="s">
        <v>1165</v>
      </c>
    </row>
    <row r="398" spans="1:8" x14ac:dyDescent="0.3">
      <c r="A398" s="6">
        <v>5</v>
      </c>
      <c r="B398" t="s">
        <v>408</v>
      </c>
      <c r="C398" s="9" t="s">
        <v>932</v>
      </c>
      <c r="D398" s="9">
        <v>18</v>
      </c>
      <c r="E398" s="9" t="s">
        <v>1804</v>
      </c>
      <c r="F398" t="s">
        <v>227</v>
      </c>
      <c r="G398" t="s">
        <v>41</v>
      </c>
      <c r="H398" t="s">
        <v>1167</v>
      </c>
    </row>
    <row r="399" spans="1:8" x14ac:dyDescent="0.3">
      <c r="A399" s="6">
        <v>5</v>
      </c>
      <c r="B399" t="s">
        <v>408</v>
      </c>
      <c r="C399" s="9" t="s">
        <v>932</v>
      </c>
      <c r="D399" s="9">
        <v>27</v>
      </c>
      <c r="E399" s="9" t="s">
        <v>1804</v>
      </c>
      <c r="F399" t="s">
        <v>40</v>
      </c>
      <c r="G399" t="s">
        <v>41</v>
      </c>
      <c r="H399" t="s">
        <v>1169</v>
      </c>
    </row>
    <row r="400" spans="1:8" x14ac:dyDescent="0.3">
      <c r="A400" s="6">
        <v>5</v>
      </c>
      <c r="B400" t="s">
        <v>408</v>
      </c>
      <c r="C400" s="9" t="s">
        <v>932</v>
      </c>
      <c r="D400" s="9">
        <v>24</v>
      </c>
      <c r="E400" s="9" t="s">
        <v>1804</v>
      </c>
      <c r="F400" t="s">
        <v>232</v>
      </c>
      <c r="G400" t="s">
        <v>144</v>
      </c>
      <c r="H400" t="s">
        <v>1171</v>
      </c>
    </row>
    <row r="401" spans="1:8" x14ac:dyDescent="0.3">
      <c r="A401" s="6">
        <v>5</v>
      </c>
      <c r="B401" t="s">
        <v>408</v>
      </c>
      <c r="C401" s="9" t="s">
        <v>932</v>
      </c>
      <c r="D401" s="9">
        <v>12</v>
      </c>
      <c r="E401" s="9" t="s">
        <v>1804</v>
      </c>
      <c r="F401" t="s">
        <v>426</v>
      </c>
      <c r="G401" t="s">
        <v>44</v>
      </c>
      <c r="H401" t="s">
        <v>1051</v>
      </c>
    </row>
    <row r="402" spans="1:8" x14ac:dyDescent="0.3">
      <c r="A402" s="6">
        <v>5</v>
      </c>
      <c r="B402" t="s">
        <v>408</v>
      </c>
      <c r="C402" s="9" t="s">
        <v>932</v>
      </c>
      <c r="D402" s="9">
        <v>24</v>
      </c>
      <c r="E402" s="9" t="s">
        <v>1804</v>
      </c>
      <c r="F402" t="s">
        <v>427</v>
      </c>
      <c r="G402" t="s">
        <v>428</v>
      </c>
      <c r="H402" t="s">
        <v>1054</v>
      </c>
    </row>
    <row r="403" spans="1:8" x14ac:dyDescent="0.3">
      <c r="A403" s="6">
        <v>5</v>
      </c>
      <c r="B403" t="s">
        <v>408</v>
      </c>
      <c r="C403" s="9" t="s">
        <v>1807</v>
      </c>
      <c r="D403" s="9">
        <v>1200</v>
      </c>
      <c r="E403" s="9" t="s">
        <v>1808</v>
      </c>
      <c r="F403" t="s">
        <v>240</v>
      </c>
      <c r="G403" t="s">
        <v>241</v>
      </c>
      <c r="H403" t="s">
        <v>1427</v>
      </c>
    </row>
    <row r="404" spans="1:8" x14ac:dyDescent="0.3">
      <c r="A404" s="6">
        <v>5</v>
      </c>
      <c r="B404" t="s">
        <v>408</v>
      </c>
      <c r="C404" s="9" t="s">
        <v>1807</v>
      </c>
      <c r="D404" s="9">
        <v>1200</v>
      </c>
      <c r="E404" s="9" t="s">
        <v>1808</v>
      </c>
      <c r="F404" t="s">
        <v>430</v>
      </c>
      <c r="G404" t="s">
        <v>431</v>
      </c>
      <c r="H404" t="s">
        <v>1428</v>
      </c>
    </row>
    <row r="405" spans="1:8" x14ac:dyDescent="0.3">
      <c r="A405" s="6">
        <v>5</v>
      </c>
      <c r="B405" t="s">
        <v>408</v>
      </c>
      <c r="C405" s="9" t="s">
        <v>932</v>
      </c>
      <c r="D405" s="9">
        <v>35</v>
      </c>
      <c r="E405" s="9" t="s">
        <v>1804</v>
      </c>
      <c r="F405" t="s">
        <v>433</v>
      </c>
      <c r="G405" t="s">
        <v>434</v>
      </c>
      <c r="H405" t="s">
        <v>1404</v>
      </c>
    </row>
    <row r="406" spans="1:8" x14ac:dyDescent="0.3">
      <c r="A406" s="6">
        <v>5</v>
      </c>
      <c r="B406" t="s">
        <v>408</v>
      </c>
      <c r="C406" s="9" t="s">
        <v>932</v>
      </c>
      <c r="D406" s="9">
        <v>35</v>
      </c>
      <c r="E406" s="9" t="s">
        <v>1804</v>
      </c>
      <c r="F406" t="s">
        <v>46</v>
      </c>
      <c r="G406" t="s">
        <v>47</v>
      </c>
      <c r="H406" t="s">
        <v>1409</v>
      </c>
    </row>
    <row r="407" spans="1:8" x14ac:dyDescent="0.3">
      <c r="A407" s="6">
        <v>5</v>
      </c>
      <c r="B407" t="s">
        <v>408</v>
      </c>
      <c r="C407" s="9" t="s">
        <v>932</v>
      </c>
      <c r="D407" s="9">
        <v>18</v>
      </c>
      <c r="E407" s="9" t="s">
        <v>1804</v>
      </c>
      <c r="F407" t="s">
        <v>246</v>
      </c>
      <c r="G407" t="s">
        <v>51</v>
      </c>
      <c r="H407" t="s">
        <v>1596</v>
      </c>
    </row>
    <row r="408" spans="1:8" x14ac:dyDescent="0.3">
      <c r="A408" s="6">
        <v>5</v>
      </c>
      <c r="B408" t="s">
        <v>408</v>
      </c>
      <c r="C408" s="9" t="s">
        <v>1807</v>
      </c>
      <c r="D408" s="9">
        <v>750</v>
      </c>
      <c r="E408" s="9" t="s">
        <v>1808</v>
      </c>
      <c r="F408" t="s">
        <v>248</v>
      </c>
      <c r="G408" t="s">
        <v>249</v>
      </c>
      <c r="H408" t="s">
        <v>979</v>
      </c>
    </row>
    <row r="409" spans="1:8" x14ac:dyDescent="0.3">
      <c r="A409" s="6">
        <v>5</v>
      </c>
      <c r="B409" t="s">
        <v>408</v>
      </c>
      <c r="C409" s="9" t="s">
        <v>1807</v>
      </c>
      <c r="D409" s="9">
        <v>1350</v>
      </c>
      <c r="E409" s="9" t="s">
        <v>1808</v>
      </c>
      <c r="F409" t="s">
        <v>251</v>
      </c>
      <c r="G409" t="s">
        <v>249</v>
      </c>
      <c r="H409" t="s">
        <v>980</v>
      </c>
    </row>
    <row r="410" spans="1:8" x14ac:dyDescent="0.3">
      <c r="A410" s="6">
        <v>5</v>
      </c>
      <c r="B410" t="s">
        <v>408</v>
      </c>
      <c r="C410" s="9" t="s">
        <v>932</v>
      </c>
      <c r="D410" s="9">
        <v>22</v>
      </c>
      <c r="E410" s="9" t="s">
        <v>1804</v>
      </c>
      <c r="F410" t="s">
        <v>259</v>
      </c>
      <c r="G410" t="s">
        <v>260</v>
      </c>
      <c r="H410" t="s">
        <v>986</v>
      </c>
    </row>
    <row r="411" spans="1:8" x14ac:dyDescent="0.3">
      <c r="A411" s="6">
        <v>5</v>
      </c>
      <c r="B411" t="s">
        <v>408</v>
      </c>
      <c r="C411" s="9" t="s">
        <v>1806</v>
      </c>
      <c r="D411" s="9">
        <v>9</v>
      </c>
      <c r="E411" s="9" t="s">
        <v>1804</v>
      </c>
      <c r="F411" t="s">
        <v>436</v>
      </c>
      <c r="G411" t="s">
        <v>260</v>
      </c>
      <c r="H411" t="s">
        <v>1022</v>
      </c>
    </row>
    <row r="412" spans="1:8" x14ac:dyDescent="0.3">
      <c r="A412" s="6">
        <v>5</v>
      </c>
      <c r="B412" t="s">
        <v>408</v>
      </c>
      <c r="C412" s="9" t="s">
        <v>932</v>
      </c>
      <c r="D412" s="9">
        <v>14</v>
      </c>
      <c r="E412" s="9" t="s">
        <v>1804</v>
      </c>
      <c r="F412" t="s">
        <v>262</v>
      </c>
      <c r="G412" t="s">
        <v>263</v>
      </c>
      <c r="H412" t="s">
        <v>989</v>
      </c>
    </row>
    <row r="413" spans="1:8" x14ac:dyDescent="0.3">
      <c r="A413" s="6">
        <v>5</v>
      </c>
      <c r="B413" t="s">
        <v>408</v>
      </c>
      <c r="C413" s="9" t="s">
        <v>932</v>
      </c>
      <c r="D413" s="9">
        <v>24</v>
      </c>
      <c r="E413" s="9" t="s">
        <v>1804</v>
      </c>
      <c r="F413" t="s">
        <v>437</v>
      </c>
      <c r="G413" t="s">
        <v>438</v>
      </c>
      <c r="H413" t="s">
        <v>1642</v>
      </c>
    </row>
    <row r="414" spans="1:8" x14ac:dyDescent="0.3">
      <c r="A414" s="6">
        <v>5</v>
      </c>
      <c r="B414" t="s">
        <v>408</v>
      </c>
      <c r="C414" s="9" t="s">
        <v>1807</v>
      </c>
      <c r="D414" s="9">
        <v>900</v>
      </c>
      <c r="E414" s="9" t="s">
        <v>1808</v>
      </c>
      <c r="F414" t="s">
        <v>440</v>
      </c>
      <c r="G414" t="s">
        <v>441</v>
      </c>
      <c r="H414" t="s">
        <v>1006</v>
      </c>
    </row>
    <row r="415" spans="1:8" x14ac:dyDescent="0.3">
      <c r="A415" s="6">
        <v>5</v>
      </c>
      <c r="B415" t="s">
        <v>408</v>
      </c>
      <c r="C415" s="9" t="s">
        <v>932</v>
      </c>
      <c r="D415" s="9">
        <v>15</v>
      </c>
      <c r="E415" s="9" t="s">
        <v>1804</v>
      </c>
      <c r="F415" t="s">
        <v>443</v>
      </c>
      <c r="G415" t="s">
        <v>444</v>
      </c>
      <c r="H415" t="s">
        <v>1649</v>
      </c>
    </row>
    <row r="416" spans="1:8" x14ac:dyDescent="0.3">
      <c r="A416" s="6">
        <v>5</v>
      </c>
      <c r="B416" t="s">
        <v>408</v>
      </c>
      <c r="C416" s="9" t="s">
        <v>1807</v>
      </c>
      <c r="D416" s="9">
        <v>1350</v>
      </c>
      <c r="E416" s="9" t="s">
        <v>1808</v>
      </c>
      <c r="F416" t="s">
        <v>275</v>
      </c>
      <c r="G416" t="s">
        <v>276</v>
      </c>
      <c r="H416" t="s">
        <v>1012</v>
      </c>
    </row>
    <row r="417" spans="1:8" x14ac:dyDescent="0.3">
      <c r="A417" s="6">
        <v>5</v>
      </c>
      <c r="B417" t="s">
        <v>408</v>
      </c>
      <c r="C417" s="9" t="s">
        <v>1807</v>
      </c>
      <c r="D417" s="9">
        <v>1400</v>
      </c>
      <c r="E417" s="9" t="s">
        <v>1808</v>
      </c>
      <c r="F417" t="s">
        <v>446</v>
      </c>
      <c r="G417" t="s">
        <v>447</v>
      </c>
      <c r="H417" t="s">
        <v>1719</v>
      </c>
    </row>
    <row r="418" spans="1:8" x14ac:dyDescent="0.3">
      <c r="A418" s="6">
        <v>5</v>
      </c>
      <c r="B418" t="s">
        <v>408</v>
      </c>
      <c r="C418" s="9" t="s">
        <v>1807</v>
      </c>
      <c r="D418" s="9">
        <v>1800</v>
      </c>
      <c r="E418" s="9" t="s">
        <v>1808</v>
      </c>
      <c r="F418" t="s">
        <v>449</v>
      </c>
      <c r="G418" t="s">
        <v>450</v>
      </c>
      <c r="H418" t="s">
        <v>1711</v>
      </c>
    </row>
    <row r="419" spans="1:8" x14ac:dyDescent="0.3">
      <c r="A419" s="6">
        <v>5</v>
      </c>
      <c r="B419" t="s">
        <v>408</v>
      </c>
      <c r="C419" s="9" t="s">
        <v>1807</v>
      </c>
      <c r="D419" s="9">
        <v>1500</v>
      </c>
      <c r="E419" s="9" t="s">
        <v>1808</v>
      </c>
      <c r="F419" t="s">
        <v>452</v>
      </c>
      <c r="G419" t="s">
        <v>454</v>
      </c>
      <c r="H419" t="s">
        <v>1813</v>
      </c>
    </row>
    <row r="420" spans="1:8" x14ac:dyDescent="0.3">
      <c r="A420" s="6">
        <v>5</v>
      </c>
      <c r="B420" t="s">
        <v>408</v>
      </c>
      <c r="C420" s="9" t="s">
        <v>1807</v>
      </c>
      <c r="D420" s="9">
        <v>600</v>
      </c>
      <c r="E420" s="9" t="s">
        <v>1808</v>
      </c>
      <c r="F420" t="s">
        <v>453</v>
      </c>
      <c r="G420" t="s">
        <v>454</v>
      </c>
      <c r="H420" t="s">
        <v>1677</v>
      </c>
    </row>
    <row r="421" spans="1:8" x14ac:dyDescent="0.3">
      <c r="A421" s="6">
        <v>5</v>
      </c>
      <c r="B421" t="s">
        <v>408</v>
      </c>
      <c r="C421" s="9" t="s">
        <v>1807</v>
      </c>
      <c r="D421" s="9">
        <v>1050</v>
      </c>
      <c r="E421" s="9" t="s">
        <v>1808</v>
      </c>
      <c r="F421" t="s">
        <v>291</v>
      </c>
      <c r="G421" t="s">
        <v>292</v>
      </c>
      <c r="H421" t="s">
        <v>1678</v>
      </c>
    </row>
    <row r="422" spans="1:8" x14ac:dyDescent="0.3">
      <c r="A422" s="6">
        <v>5</v>
      </c>
      <c r="B422" t="s">
        <v>408</v>
      </c>
      <c r="C422" s="9" t="s">
        <v>1807</v>
      </c>
      <c r="D422" s="9">
        <v>750</v>
      </c>
      <c r="E422" s="9" t="s">
        <v>1808</v>
      </c>
      <c r="F422" t="s">
        <v>456</v>
      </c>
      <c r="G422" t="s">
        <v>292</v>
      </c>
      <c r="H422" t="s">
        <v>1679</v>
      </c>
    </row>
    <row r="423" spans="1:8" x14ac:dyDescent="0.3">
      <c r="A423" s="6">
        <v>5</v>
      </c>
      <c r="B423" t="s">
        <v>408</v>
      </c>
      <c r="C423" s="9" t="s">
        <v>932</v>
      </c>
      <c r="D423" s="9">
        <v>15</v>
      </c>
      <c r="E423" s="9" t="s">
        <v>1804</v>
      </c>
      <c r="F423" t="s">
        <v>62</v>
      </c>
      <c r="G423" t="s">
        <v>63</v>
      </c>
      <c r="H423" t="s">
        <v>1103</v>
      </c>
    </row>
    <row r="424" spans="1:8" x14ac:dyDescent="0.3">
      <c r="A424" s="6">
        <v>5</v>
      </c>
      <c r="B424" t="s">
        <v>408</v>
      </c>
      <c r="C424" s="9" t="s">
        <v>1807</v>
      </c>
      <c r="D424" s="9">
        <v>420</v>
      </c>
      <c r="E424" s="9" t="s">
        <v>1808</v>
      </c>
      <c r="F424" t="s">
        <v>68</v>
      </c>
      <c r="G424" t="s">
        <v>69</v>
      </c>
      <c r="H424" t="s">
        <v>1551</v>
      </c>
    </row>
    <row r="425" spans="1:8" x14ac:dyDescent="0.3">
      <c r="A425" s="6">
        <v>5</v>
      </c>
      <c r="B425" t="s">
        <v>408</v>
      </c>
      <c r="C425" s="9" t="s">
        <v>1807</v>
      </c>
      <c r="D425" s="9">
        <v>770</v>
      </c>
      <c r="E425" s="9" t="s">
        <v>1808</v>
      </c>
      <c r="F425" t="s">
        <v>71</v>
      </c>
      <c r="G425" t="s">
        <v>72</v>
      </c>
      <c r="H425" t="s">
        <v>1565</v>
      </c>
    </row>
    <row r="426" spans="1:8" x14ac:dyDescent="0.3">
      <c r="A426" s="6">
        <v>5</v>
      </c>
      <c r="B426" t="s">
        <v>408</v>
      </c>
      <c r="C426" s="9" t="s">
        <v>1807</v>
      </c>
      <c r="D426" s="9">
        <v>398</v>
      </c>
      <c r="E426" s="9" t="s">
        <v>1808</v>
      </c>
      <c r="F426" t="s">
        <v>318</v>
      </c>
      <c r="G426" t="s">
        <v>76</v>
      </c>
      <c r="H426" t="s">
        <v>1578</v>
      </c>
    </row>
    <row r="427" spans="1:8" x14ac:dyDescent="0.3">
      <c r="A427" s="6">
        <v>5</v>
      </c>
      <c r="B427" t="s">
        <v>408</v>
      </c>
      <c r="C427" s="9" t="s">
        <v>1814</v>
      </c>
      <c r="D427" s="9">
        <v>10000</v>
      </c>
      <c r="E427" s="9" t="s">
        <v>1808</v>
      </c>
      <c r="F427" t="s">
        <v>457</v>
      </c>
      <c r="G427" t="s">
        <v>29</v>
      </c>
      <c r="H427" t="s">
        <v>1815</v>
      </c>
    </row>
    <row r="428" spans="1:8" x14ac:dyDescent="0.3">
      <c r="A428" s="6">
        <v>5</v>
      </c>
      <c r="B428" t="s">
        <v>408</v>
      </c>
      <c r="C428" s="9" t="s">
        <v>1814</v>
      </c>
      <c r="D428" s="9">
        <v>10000</v>
      </c>
      <c r="E428" s="9" t="s">
        <v>1808</v>
      </c>
      <c r="F428" t="s">
        <v>162</v>
      </c>
      <c r="G428" t="s">
        <v>273</v>
      </c>
      <c r="H428" t="s">
        <v>1816</v>
      </c>
    </row>
    <row r="429" spans="1:8" x14ac:dyDescent="0.3">
      <c r="A429" s="6">
        <v>5</v>
      </c>
      <c r="B429" t="s">
        <v>408</v>
      </c>
      <c r="C429" s="9" t="s">
        <v>1814</v>
      </c>
      <c r="D429" s="9">
        <v>10000</v>
      </c>
      <c r="E429" s="9" t="s">
        <v>1808</v>
      </c>
      <c r="F429" t="s">
        <v>163</v>
      </c>
      <c r="G429" t="s">
        <v>635</v>
      </c>
      <c r="H429" t="s">
        <v>1817</v>
      </c>
    </row>
    <row r="430" spans="1:8" x14ac:dyDescent="0.3">
      <c r="A430" s="6">
        <v>5</v>
      </c>
      <c r="B430" t="s">
        <v>408</v>
      </c>
      <c r="C430" s="9" t="s">
        <v>1809</v>
      </c>
      <c r="D430" s="9">
        <v>60</v>
      </c>
      <c r="E430" s="9" t="s">
        <v>1804</v>
      </c>
      <c r="F430" t="s">
        <v>78</v>
      </c>
      <c r="G430" t="s">
        <v>1810</v>
      </c>
      <c r="H430" t="s">
        <v>1811</v>
      </c>
    </row>
    <row r="431" spans="1:8" x14ac:dyDescent="0.3">
      <c r="A431" s="6">
        <v>5</v>
      </c>
      <c r="B431" t="s">
        <v>408</v>
      </c>
      <c r="C431" s="9" t="s">
        <v>963</v>
      </c>
      <c r="D431" s="9">
        <v>60</v>
      </c>
      <c r="E431" s="9" t="s">
        <v>1804</v>
      </c>
      <c r="F431" t="s">
        <v>79</v>
      </c>
      <c r="G431" t="s">
        <v>80</v>
      </c>
      <c r="H431" t="s">
        <v>1416</v>
      </c>
    </row>
    <row r="432" spans="1:8" x14ac:dyDescent="0.3">
      <c r="A432" s="6">
        <v>5</v>
      </c>
      <c r="B432" t="s">
        <v>408</v>
      </c>
      <c r="C432" s="9" t="s">
        <v>963</v>
      </c>
      <c r="D432" s="9">
        <v>64</v>
      </c>
      <c r="E432" s="9" t="s">
        <v>1804</v>
      </c>
      <c r="F432" t="s">
        <v>82</v>
      </c>
      <c r="G432" t="s">
        <v>83</v>
      </c>
      <c r="H432" t="s">
        <v>1340</v>
      </c>
    </row>
    <row r="433" spans="1:8" x14ac:dyDescent="0.3">
      <c r="A433" s="6">
        <v>5</v>
      </c>
      <c r="B433" t="s">
        <v>408</v>
      </c>
      <c r="C433" s="9" t="s">
        <v>963</v>
      </c>
      <c r="D433" s="9">
        <v>88</v>
      </c>
      <c r="E433" s="9" t="s">
        <v>1804</v>
      </c>
      <c r="F433" t="s">
        <v>84</v>
      </c>
      <c r="G433" t="s">
        <v>85</v>
      </c>
      <c r="H433" t="s">
        <v>1342</v>
      </c>
    </row>
    <row r="434" spans="1:8" x14ac:dyDescent="0.3">
      <c r="A434" s="6">
        <v>5</v>
      </c>
      <c r="B434" t="s">
        <v>408</v>
      </c>
      <c r="C434" s="9" t="s">
        <v>963</v>
      </c>
      <c r="D434" s="9">
        <v>70</v>
      </c>
      <c r="E434" s="9" t="s">
        <v>1804</v>
      </c>
      <c r="F434" t="s">
        <v>325</v>
      </c>
      <c r="G434" t="s">
        <v>196</v>
      </c>
      <c r="H434" t="s">
        <v>1344</v>
      </c>
    </row>
    <row r="435" spans="1:8" x14ac:dyDescent="0.3">
      <c r="A435" s="6">
        <v>5</v>
      </c>
      <c r="B435" t="s">
        <v>408</v>
      </c>
      <c r="C435" s="9" t="s">
        <v>963</v>
      </c>
      <c r="D435" s="9">
        <v>74</v>
      </c>
      <c r="E435" s="9" t="s">
        <v>1804</v>
      </c>
      <c r="F435" t="s">
        <v>458</v>
      </c>
      <c r="G435" t="s">
        <v>459</v>
      </c>
      <c r="H435" t="s">
        <v>1347</v>
      </c>
    </row>
    <row r="436" spans="1:8" x14ac:dyDescent="0.3">
      <c r="A436" s="6">
        <v>5</v>
      </c>
      <c r="B436" t="s">
        <v>408</v>
      </c>
      <c r="C436" s="9" t="s">
        <v>963</v>
      </c>
      <c r="D436" s="9">
        <v>74</v>
      </c>
      <c r="E436" s="9" t="s">
        <v>1804</v>
      </c>
      <c r="F436" t="s">
        <v>87</v>
      </c>
      <c r="G436" t="s">
        <v>88</v>
      </c>
      <c r="H436" t="s">
        <v>1349</v>
      </c>
    </row>
    <row r="437" spans="1:8" x14ac:dyDescent="0.3">
      <c r="A437" s="6">
        <v>5</v>
      </c>
      <c r="B437" t="s">
        <v>408</v>
      </c>
      <c r="C437" s="9" t="s">
        <v>963</v>
      </c>
      <c r="D437" s="9">
        <v>73</v>
      </c>
      <c r="E437" s="9" t="s">
        <v>1804</v>
      </c>
      <c r="F437" t="s">
        <v>90</v>
      </c>
      <c r="G437" t="s">
        <v>15</v>
      </c>
      <c r="H437" t="s">
        <v>1351</v>
      </c>
    </row>
    <row r="438" spans="1:8" x14ac:dyDescent="0.3">
      <c r="A438" s="6">
        <v>5</v>
      </c>
      <c r="B438" t="s">
        <v>408</v>
      </c>
      <c r="C438" s="9" t="s">
        <v>963</v>
      </c>
      <c r="D438" s="9">
        <v>77</v>
      </c>
      <c r="E438" s="9" t="s">
        <v>1804</v>
      </c>
      <c r="F438" t="s">
        <v>91</v>
      </c>
      <c r="G438" t="s">
        <v>92</v>
      </c>
      <c r="H438" t="s">
        <v>1353</v>
      </c>
    </row>
    <row r="439" spans="1:8" x14ac:dyDescent="0.3">
      <c r="A439" s="6">
        <v>5</v>
      </c>
      <c r="B439" t="s">
        <v>408</v>
      </c>
      <c r="C439" s="9" t="s">
        <v>963</v>
      </c>
      <c r="D439" s="9">
        <v>76</v>
      </c>
      <c r="E439" s="9" t="s">
        <v>1804</v>
      </c>
      <c r="F439" t="s">
        <v>94</v>
      </c>
      <c r="G439" t="s">
        <v>95</v>
      </c>
      <c r="H439" t="s">
        <v>1355</v>
      </c>
    </row>
    <row r="440" spans="1:8" x14ac:dyDescent="0.3">
      <c r="A440" s="6">
        <v>5</v>
      </c>
      <c r="B440" t="s">
        <v>408</v>
      </c>
      <c r="C440" s="9" t="s">
        <v>963</v>
      </c>
      <c r="D440" s="9">
        <v>72</v>
      </c>
      <c r="E440" s="9" t="s">
        <v>1804</v>
      </c>
      <c r="F440" t="s">
        <v>461</v>
      </c>
      <c r="G440" t="s">
        <v>462</v>
      </c>
      <c r="H440" t="s">
        <v>1360</v>
      </c>
    </row>
    <row r="441" spans="1:8" x14ac:dyDescent="0.3">
      <c r="A441" s="6">
        <v>5</v>
      </c>
      <c r="B441" t="s">
        <v>408</v>
      </c>
      <c r="C441" s="9" t="s">
        <v>963</v>
      </c>
      <c r="D441" s="9">
        <v>72</v>
      </c>
      <c r="E441" s="9" t="s">
        <v>1804</v>
      </c>
      <c r="F441" t="s">
        <v>101</v>
      </c>
      <c r="G441" t="s">
        <v>102</v>
      </c>
      <c r="H441" t="s">
        <v>1365</v>
      </c>
    </row>
    <row r="442" spans="1:8" x14ac:dyDescent="0.3">
      <c r="A442" s="6">
        <v>5</v>
      </c>
      <c r="B442" t="s">
        <v>408</v>
      </c>
      <c r="C442" s="9" t="s">
        <v>963</v>
      </c>
      <c r="D442" s="9">
        <v>60</v>
      </c>
      <c r="E442" s="9" t="s">
        <v>1804</v>
      </c>
      <c r="F442" t="s">
        <v>400</v>
      </c>
      <c r="G442" t="s">
        <v>401</v>
      </c>
      <c r="H442" t="s">
        <v>1185</v>
      </c>
    </row>
    <row r="443" spans="1:8" x14ac:dyDescent="0.3">
      <c r="A443" s="6">
        <v>5</v>
      </c>
      <c r="B443" t="s">
        <v>408</v>
      </c>
      <c r="C443" s="9" t="s">
        <v>963</v>
      </c>
      <c r="D443" s="9">
        <v>75</v>
      </c>
      <c r="E443" s="9" t="s">
        <v>1804</v>
      </c>
      <c r="F443" t="s">
        <v>345</v>
      </c>
      <c r="G443" t="s">
        <v>215</v>
      </c>
      <c r="H443" t="s">
        <v>1115</v>
      </c>
    </row>
    <row r="444" spans="1:8" x14ac:dyDescent="0.3">
      <c r="A444" s="6">
        <v>5</v>
      </c>
      <c r="B444" t="s">
        <v>408</v>
      </c>
      <c r="C444" s="9" t="s">
        <v>963</v>
      </c>
      <c r="D444" s="9">
        <v>60</v>
      </c>
      <c r="E444" s="9" t="s">
        <v>1804</v>
      </c>
      <c r="F444" t="s">
        <v>403</v>
      </c>
      <c r="G444" t="s">
        <v>386</v>
      </c>
      <c r="H444" t="s">
        <v>1432</v>
      </c>
    </row>
    <row r="445" spans="1:8" x14ac:dyDescent="0.3">
      <c r="A445" s="6">
        <v>5</v>
      </c>
      <c r="B445" t="s">
        <v>408</v>
      </c>
      <c r="C445" s="9" t="s">
        <v>963</v>
      </c>
      <c r="D445" s="9">
        <v>60</v>
      </c>
      <c r="E445" s="9" t="s">
        <v>1804</v>
      </c>
      <c r="F445" t="s">
        <v>167</v>
      </c>
      <c r="G445" t="s">
        <v>168</v>
      </c>
      <c r="H445" t="s">
        <v>1533</v>
      </c>
    </row>
    <row r="446" spans="1:8" x14ac:dyDescent="0.3">
      <c r="A446" s="6">
        <v>5</v>
      </c>
      <c r="B446" t="s">
        <v>408</v>
      </c>
      <c r="C446" s="9" t="s">
        <v>963</v>
      </c>
      <c r="D446" s="9">
        <v>60</v>
      </c>
      <c r="E446" s="9" t="s">
        <v>1804</v>
      </c>
      <c r="F446" t="s">
        <v>464</v>
      </c>
      <c r="G446" t="s">
        <v>168</v>
      </c>
      <c r="H446" t="s">
        <v>1534</v>
      </c>
    </row>
    <row r="447" spans="1:8" x14ac:dyDescent="0.3">
      <c r="A447" s="6">
        <v>5</v>
      </c>
      <c r="B447" t="s">
        <v>408</v>
      </c>
      <c r="C447" s="9" t="s">
        <v>963</v>
      </c>
      <c r="D447" s="9">
        <v>60</v>
      </c>
      <c r="E447" s="9" t="s">
        <v>1804</v>
      </c>
      <c r="F447" t="s">
        <v>170</v>
      </c>
      <c r="G447" t="s">
        <v>171</v>
      </c>
      <c r="H447" t="s">
        <v>1535</v>
      </c>
    </row>
    <row r="448" spans="1:8" x14ac:dyDescent="0.3">
      <c r="A448" s="6">
        <v>5</v>
      </c>
      <c r="B448" t="s">
        <v>408</v>
      </c>
      <c r="C448" s="9" t="s">
        <v>963</v>
      </c>
      <c r="D448" s="9">
        <v>63</v>
      </c>
      <c r="E448" s="9" t="s">
        <v>1804</v>
      </c>
      <c r="F448" t="s">
        <v>404</v>
      </c>
      <c r="G448" t="s">
        <v>115</v>
      </c>
      <c r="H448" t="s">
        <v>1536</v>
      </c>
    </row>
    <row r="449" spans="1:8" x14ac:dyDescent="0.3">
      <c r="A449" s="6">
        <v>5</v>
      </c>
      <c r="B449" t="s">
        <v>408</v>
      </c>
      <c r="C449" s="9" t="s">
        <v>963</v>
      </c>
      <c r="D449" s="9">
        <v>60</v>
      </c>
      <c r="E449" s="9" t="s">
        <v>1804</v>
      </c>
      <c r="F449" t="s">
        <v>106</v>
      </c>
      <c r="G449" t="s">
        <v>32</v>
      </c>
      <c r="H449" t="s">
        <v>1537</v>
      </c>
    </row>
    <row r="450" spans="1:8" x14ac:dyDescent="0.3">
      <c r="A450" s="6">
        <v>5</v>
      </c>
      <c r="B450" t="s">
        <v>408</v>
      </c>
      <c r="C450" s="9" t="s">
        <v>963</v>
      </c>
      <c r="D450" s="9">
        <v>60</v>
      </c>
      <c r="E450" s="9" t="s">
        <v>1804</v>
      </c>
      <c r="F450" t="s">
        <v>107</v>
      </c>
      <c r="G450" t="s">
        <v>108</v>
      </c>
      <c r="H450" t="s">
        <v>1140</v>
      </c>
    </row>
    <row r="451" spans="1:8" x14ac:dyDescent="0.3">
      <c r="A451" s="6">
        <v>5</v>
      </c>
      <c r="B451" t="s">
        <v>408</v>
      </c>
      <c r="C451" s="9" t="s">
        <v>963</v>
      </c>
      <c r="D451" s="9">
        <v>60</v>
      </c>
      <c r="E451" s="9" t="s">
        <v>1804</v>
      </c>
      <c r="F451" t="s">
        <v>351</v>
      </c>
      <c r="G451" t="s">
        <v>38</v>
      </c>
      <c r="H451" t="s">
        <v>1142</v>
      </c>
    </row>
    <row r="452" spans="1:8" x14ac:dyDescent="0.3">
      <c r="A452" s="6">
        <v>5</v>
      </c>
      <c r="B452" t="s">
        <v>408</v>
      </c>
      <c r="C452" s="9" t="s">
        <v>963</v>
      </c>
      <c r="D452" s="9">
        <v>60</v>
      </c>
      <c r="E452" s="9" t="s">
        <v>1804</v>
      </c>
      <c r="F452" t="s">
        <v>110</v>
      </c>
      <c r="G452" t="s">
        <v>41</v>
      </c>
      <c r="H452" t="s">
        <v>1144</v>
      </c>
    </row>
    <row r="453" spans="1:8" x14ac:dyDescent="0.3">
      <c r="A453" s="6">
        <v>5</v>
      </c>
      <c r="B453" t="s">
        <v>408</v>
      </c>
      <c r="C453" s="9" t="s">
        <v>963</v>
      </c>
      <c r="D453" s="9">
        <v>60</v>
      </c>
      <c r="E453" s="9" t="s">
        <v>1804</v>
      </c>
      <c r="F453" t="s">
        <v>465</v>
      </c>
      <c r="G453" t="s">
        <v>235</v>
      </c>
      <c r="H453" t="s">
        <v>1117</v>
      </c>
    </row>
    <row r="454" spans="1:8" x14ac:dyDescent="0.3">
      <c r="A454" s="6">
        <v>5</v>
      </c>
      <c r="B454" t="s">
        <v>408</v>
      </c>
      <c r="C454" s="9" t="s">
        <v>963</v>
      </c>
      <c r="D454" s="9">
        <v>65</v>
      </c>
      <c r="E454" s="9" t="s">
        <v>1804</v>
      </c>
      <c r="F454" t="s">
        <v>466</v>
      </c>
      <c r="G454" t="s">
        <v>467</v>
      </c>
      <c r="H454" t="s">
        <v>1118</v>
      </c>
    </row>
    <row r="455" spans="1:8" x14ac:dyDescent="0.3">
      <c r="A455" s="6">
        <v>5</v>
      </c>
      <c r="B455" t="s">
        <v>408</v>
      </c>
      <c r="C455" s="9" t="s">
        <v>963</v>
      </c>
      <c r="D455" s="9">
        <v>60</v>
      </c>
      <c r="E455" s="9" t="s">
        <v>1804</v>
      </c>
      <c r="F455" t="s">
        <v>117</v>
      </c>
      <c r="G455" t="s">
        <v>118</v>
      </c>
      <c r="H455" t="s">
        <v>1419</v>
      </c>
    </row>
    <row r="456" spans="1:8" x14ac:dyDescent="0.3">
      <c r="A456" s="6">
        <v>5</v>
      </c>
      <c r="B456" t="s">
        <v>408</v>
      </c>
      <c r="C456" s="9" t="s">
        <v>963</v>
      </c>
      <c r="D456" s="9">
        <v>60</v>
      </c>
      <c r="E456" s="9" t="s">
        <v>1804</v>
      </c>
      <c r="F456" t="s">
        <v>120</v>
      </c>
      <c r="G456" t="s">
        <v>51</v>
      </c>
      <c r="H456" t="s">
        <v>1590</v>
      </c>
    </row>
    <row r="457" spans="1:8" x14ac:dyDescent="0.3">
      <c r="A457" s="6">
        <v>5</v>
      </c>
      <c r="B457" t="s">
        <v>408</v>
      </c>
      <c r="C457" s="9" t="s">
        <v>963</v>
      </c>
      <c r="D457" s="9">
        <v>68</v>
      </c>
      <c r="E457" s="9" t="s">
        <v>1804</v>
      </c>
      <c r="F457" t="s">
        <v>468</v>
      </c>
      <c r="G457" t="s">
        <v>54</v>
      </c>
      <c r="H457" t="s">
        <v>1682</v>
      </c>
    </row>
    <row r="458" spans="1:8" x14ac:dyDescent="0.3">
      <c r="A458" s="6">
        <v>5</v>
      </c>
      <c r="B458" t="s">
        <v>408</v>
      </c>
      <c r="C458" s="9" t="s">
        <v>963</v>
      </c>
      <c r="D458" s="9">
        <v>68</v>
      </c>
      <c r="E458" s="9" t="s">
        <v>1804</v>
      </c>
      <c r="F458" t="s">
        <v>469</v>
      </c>
      <c r="G458" t="s">
        <v>470</v>
      </c>
      <c r="H458" t="s">
        <v>1685</v>
      </c>
    </row>
    <row r="459" spans="1:8" x14ac:dyDescent="0.3">
      <c r="A459" s="6">
        <v>5</v>
      </c>
      <c r="B459" t="s">
        <v>408</v>
      </c>
      <c r="C459" s="9" t="s">
        <v>963</v>
      </c>
      <c r="D459" s="9">
        <v>60</v>
      </c>
      <c r="E459" s="9" t="s">
        <v>1804</v>
      </c>
      <c r="F459" t="s">
        <v>358</v>
      </c>
      <c r="G459" t="s">
        <v>359</v>
      </c>
      <c r="H459" t="s">
        <v>1021</v>
      </c>
    </row>
    <row r="460" spans="1:8" x14ac:dyDescent="0.3">
      <c r="A460" s="6">
        <v>5</v>
      </c>
      <c r="B460" t="s">
        <v>408</v>
      </c>
      <c r="C460" s="9" t="s">
        <v>963</v>
      </c>
      <c r="D460" s="9">
        <v>68</v>
      </c>
      <c r="E460" s="9" t="s">
        <v>1804</v>
      </c>
      <c r="F460" t="s">
        <v>472</v>
      </c>
      <c r="G460" t="s">
        <v>473</v>
      </c>
      <c r="H460" t="s">
        <v>1686</v>
      </c>
    </row>
    <row r="461" spans="1:8" x14ac:dyDescent="0.3">
      <c r="A461" s="6">
        <v>5</v>
      </c>
      <c r="B461" t="s">
        <v>408</v>
      </c>
      <c r="C461" s="9" t="s">
        <v>963</v>
      </c>
      <c r="D461" s="9">
        <v>62</v>
      </c>
      <c r="E461" s="9" t="s">
        <v>1804</v>
      </c>
      <c r="F461" t="s">
        <v>405</v>
      </c>
      <c r="G461" t="s">
        <v>260</v>
      </c>
      <c r="H461" t="s">
        <v>1022</v>
      </c>
    </row>
    <row r="462" spans="1:8" x14ac:dyDescent="0.3">
      <c r="A462" s="6">
        <v>5</v>
      </c>
      <c r="B462" t="s">
        <v>408</v>
      </c>
      <c r="C462" s="9" t="s">
        <v>963</v>
      </c>
      <c r="D462" s="9">
        <v>64</v>
      </c>
      <c r="E462" s="9" t="s">
        <v>1804</v>
      </c>
      <c r="F462" t="s">
        <v>475</v>
      </c>
      <c r="G462" t="s">
        <v>476</v>
      </c>
      <c r="H462" t="s">
        <v>1127</v>
      </c>
    </row>
    <row r="463" spans="1:8" x14ac:dyDescent="0.3">
      <c r="A463" s="6">
        <v>5</v>
      </c>
      <c r="B463" t="s">
        <v>408</v>
      </c>
      <c r="C463" s="9" t="s">
        <v>963</v>
      </c>
      <c r="D463" s="9">
        <v>64</v>
      </c>
      <c r="E463" s="9" t="s">
        <v>1804</v>
      </c>
      <c r="F463" t="s">
        <v>478</v>
      </c>
      <c r="G463" t="s">
        <v>479</v>
      </c>
      <c r="H463" t="s">
        <v>1128</v>
      </c>
    </row>
    <row r="464" spans="1:8" x14ac:dyDescent="0.3">
      <c r="A464" s="6">
        <v>5</v>
      </c>
      <c r="B464" t="s">
        <v>408</v>
      </c>
      <c r="C464" s="9" t="s">
        <v>963</v>
      </c>
      <c r="D464" s="9">
        <v>60</v>
      </c>
      <c r="E464" s="9" t="s">
        <v>1804</v>
      </c>
      <c r="F464" t="s">
        <v>367</v>
      </c>
      <c r="G464" t="s">
        <v>368</v>
      </c>
      <c r="H464" t="s">
        <v>1688</v>
      </c>
    </row>
    <row r="465" spans="1:8" x14ac:dyDescent="0.3">
      <c r="A465" s="6">
        <v>5</v>
      </c>
      <c r="B465" t="s">
        <v>408</v>
      </c>
      <c r="C465" s="9" t="s">
        <v>963</v>
      </c>
      <c r="D465" s="9">
        <v>64</v>
      </c>
      <c r="E465" s="9" t="s">
        <v>1804</v>
      </c>
      <c r="F465" t="s">
        <v>372</v>
      </c>
      <c r="G465" t="s">
        <v>312</v>
      </c>
      <c r="H465" t="s">
        <v>973</v>
      </c>
    </row>
    <row r="466" spans="1:8" x14ac:dyDescent="0.3">
      <c r="A466" s="6">
        <v>5</v>
      </c>
      <c r="B466" t="s">
        <v>408</v>
      </c>
      <c r="C466" s="9" t="s">
        <v>963</v>
      </c>
      <c r="D466" s="9">
        <v>64</v>
      </c>
      <c r="E466" s="9" t="s">
        <v>1804</v>
      </c>
      <c r="F466" t="s">
        <v>125</v>
      </c>
      <c r="G466" t="s">
        <v>126</v>
      </c>
      <c r="H466" t="s">
        <v>1581</v>
      </c>
    </row>
    <row r="467" spans="1:8" x14ac:dyDescent="0.3">
      <c r="A467" s="6">
        <v>5</v>
      </c>
      <c r="B467" t="s">
        <v>408</v>
      </c>
      <c r="C467" s="9" t="s">
        <v>963</v>
      </c>
      <c r="D467" s="9">
        <v>60</v>
      </c>
      <c r="E467" s="9" t="s">
        <v>1804</v>
      </c>
      <c r="F467" t="s">
        <v>128</v>
      </c>
      <c r="G467" t="s">
        <v>129</v>
      </c>
      <c r="H467" t="s">
        <v>1582</v>
      </c>
    </row>
    <row r="468" spans="1:8" x14ac:dyDescent="0.3">
      <c r="A468" s="6">
        <v>5</v>
      </c>
      <c r="B468" t="s">
        <v>408</v>
      </c>
      <c r="C468" s="9" t="s">
        <v>963</v>
      </c>
      <c r="D468" s="9">
        <v>60</v>
      </c>
      <c r="E468" s="9" t="s">
        <v>1804</v>
      </c>
      <c r="F468" t="s">
        <v>131</v>
      </c>
      <c r="G468" t="s">
        <v>376</v>
      </c>
      <c r="H468" t="s">
        <v>1818</v>
      </c>
    </row>
    <row r="469" spans="1:8" x14ac:dyDescent="0.3">
      <c r="A469" s="6">
        <v>6</v>
      </c>
      <c r="B469" t="s">
        <v>380</v>
      </c>
      <c r="C469" s="9" t="s">
        <v>932</v>
      </c>
      <c r="D469" s="9">
        <v>27</v>
      </c>
      <c r="E469" s="9" t="s">
        <v>1804</v>
      </c>
      <c r="F469" t="s">
        <v>381</v>
      </c>
      <c r="G469" t="s">
        <v>382</v>
      </c>
      <c r="H469" t="s">
        <v>1230</v>
      </c>
    </row>
    <row r="470" spans="1:8" x14ac:dyDescent="0.3">
      <c r="A470" s="6">
        <v>6</v>
      </c>
      <c r="B470" t="s">
        <v>380</v>
      </c>
      <c r="C470" s="9" t="s">
        <v>932</v>
      </c>
      <c r="D470" s="9">
        <v>37</v>
      </c>
      <c r="E470" s="9" t="s">
        <v>1804</v>
      </c>
      <c r="F470" t="s">
        <v>198</v>
      </c>
      <c r="G470" t="s">
        <v>196</v>
      </c>
      <c r="H470" t="s">
        <v>1267</v>
      </c>
    </row>
    <row r="471" spans="1:8" x14ac:dyDescent="0.3">
      <c r="A471" s="6">
        <v>6</v>
      </c>
      <c r="B471" t="s">
        <v>380</v>
      </c>
      <c r="C471" s="9" t="s">
        <v>932</v>
      </c>
      <c r="D471" s="9">
        <v>42</v>
      </c>
      <c r="E471" s="9" t="s">
        <v>1804</v>
      </c>
      <c r="F471" t="s">
        <v>14</v>
      </c>
      <c r="G471" t="s">
        <v>15</v>
      </c>
      <c r="H471" t="s">
        <v>1290</v>
      </c>
    </row>
    <row r="472" spans="1:8" x14ac:dyDescent="0.3">
      <c r="A472" s="6">
        <v>6</v>
      </c>
      <c r="B472" t="s">
        <v>380</v>
      </c>
      <c r="C472" s="9" t="s">
        <v>932</v>
      </c>
      <c r="D472" s="9">
        <v>12</v>
      </c>
      <c r="E472" s="9" t="s">
        <v>1804</v>
      </c>
      <c r="F472" t="s">
        <v>204</v>
      </c>
      <c r="G472" t="s">
        <v>15</v>
      </c>
      <c r="H472" t="s">
        <v>1292</v>
      </c>
    </row>
    <row r="473" spans="1:8" x14ac:dyDescent="0.3">
      <c r="A473" s="6">
        <v>6</v>
      </c>
      <c r="B473" t="s">
        <v>380</v>
      </c>
      <c r="C473" s="9" t="s">
        <v>932</v>
      </c>
      <c r="D473" s="9">
        <v>27</v>
      </c>
      <c r="E473" s="9" t="s">
        <v>1804</v>
      </c>
      <c r="F473" t="s">
        <v>384</v>
      </c>
      <c r="G473" t="s">
        <v>1819</v>
      </c>
      <c r="H473" t="s">
        <v>1820</v>
      </c>
    </row>
    <row r="474" spans="1:8" x14ac:dyDescent="0.3">
      <c r="A474" s="6">
        <v>6</v>
      </c>
      <c r="B474" t="s">
        <v>380</v>
      </c>
      <c r="C474" s="9" t="s">
        <v>932</v>
      </c>
      <c r="D474" s="9">
        <v>24</v>
      </c>
      <c r="E474" s="9" t="s">
        <v>1804</v>
      </c>
      <c r="F474" t="s">
        <v>385</v>
      </c>
      <c r="G474" t="s">
        <v>386</v>
      </c>
      <c r="H474" t="s">
        <v>1421</v>
      </c>
    </row>
    <row r="475" spans="1:8" x14ac:dyDescent="0.3">
      <c r="A475" s="6">
        <v>6</v>
      </c>
      <c r="B475" t="s">
        <v>380</v>
      </c>
      <c r="C475" s="9" t="s">
        <v>932</v>
      </c>
      <c r="D475" s="9">
        <v>18</v>
      </c>
      <c r="E475" s="9" t="s">
        <v>1804</v>
      </c>
      <c r="F475" t="s">
        <v>388</v>
      </c>
      <c r="G475" t="s">
        <v>386</v>
      </c>
      <c r="H475" t="s">
        <v>1425</v>
      </c>
    </row>
    <row r="476" spans="1:8" x14ac:dyDescent="0.3">
      <c r="A476" s="6">
        <v>6</v>
      </c>
      <c r="B476" t="s">
        <v>380</v>
      </c>
      <c r="C476" s="9" t="s">
        <v>932</v>
      </c>
      <c r="D476" s="9">
        <v>18</v>
      </c>
      <c r="E476" s="9" t="s">
        <v>1804</v>
      </c>
      <c r="F476" t="s">
        <v>217</v>
      </c>
      <c r="G476" t="s">
        <v>168</v>
      </c>
      <c r="H476" t="s">
        <v>1442</v>
      </c>
    </row>
    <row r="477" spans="1:8" x14ac:dyDescent="0.3">
      <c r="A477" s="6">
        <v>6</v>
      </c>
      <c r="B477" t="s">
        <v>380</v>
      </c>
      <c r="C477" s="9" t="s">
        <v>932</v>
      </c>
      <c r="D477" s="9">
        <v>18</v>
      </c>
      <c r="E477" s="9" t="s">
        <v>1804</v>
      </c>
      <c r="F477" t="s">
        <v>389</v>
      </c>
      <c r="G477" t="s">
        <v>171</v>
      </c>
      <c r="H477" t="s">
        <v>1447</v>
      </c>
    </row>
    <row r="478" spans="1:8" x14ac:dyDescent="0.3">
      <c r="A478" s="6">
        <v>6</v>
      </c>
      <c r="B478" t="s">
        <v>380</v>
      </c>
      <c r="C478" s="9" t="s">
        <v>932</v>
      </c>
      <c r="D478" s="9">
        <v>33</v>
      </c>
      <c r="E478" s="9" t="s">
        <v>1804</v>
      </c>
      <c r="F478" t="s">
        <v>390</v>
      </c>
      <c r="G478" t="s">
        <v>391</v>
      </c>
      <c r="H478" t="s">
        <v>1449</v>
      </c>
    </row>
    <row r="479" spans="1:8" x14ac:dyDescent="0.3">
      <c r="A479" s="6">
        <v>6</v>
      </c>
      <c r="B479" t="s">
        <v>380</v>
      </c>
      <c r="C479" s="9" t="s">
        <v>932</v>
      </c>
      <c r="D479" s="9">
        <v>32</v>
      </c>
      <c r="E479" s="9" t="s">
        <v>1804</v>
      </c>
      <c r="F479" t="s">
        <v>219</v>
      </c>
      <c r="G479" t="s">
        <v>32</v>
      </c>
      <c r="H479" t="s">
        <v>1484</v>
      </c>
    </row>
    <row r="480" spans="1:8" x14ac:dyDescent="0.3">
      <c r="A480" s="6">
        <v>6</v>
      </c>
      <c r="B480" t="s">
        <v>380</v>
      </c>
      <c r="C480" s="9" t="s">
        <v>932</v>
      </c>
      <c r="D480" s="9">
        <v>30</v>
      </c>
      <c r="E480" s="9" t="s">
        <v>1804</v>
      </c>
      <c r="F480" t="s">
        <v>35</v>
      </c>
      <c r="G480" t="s">
        <v>32</v>
      </c>
      <c r="H480" t="s">
        <v>1489</v>
      </c>
    </row>
    <row r="481" spans="1:8" x14ac:dyDescent="0.3">
      <c r="A481" s="6">
        <v>6</v>
      </c>
      <c r="B481" t="s">
        <v>380</v>
      </c>
      <c r="C481" s="9" t="s">
        <v>932</v>
      </c>
      <c r="D481" s="9">
        <v>32</v>
      </c>
      <c r="E481" s="9" t="s">
        <v>1804</v>
      </c>
      <c r="F481" t="s">
        <v>221</v>
      </c>
      <c r="G481" t="s">
        <v>32</v>
      </c>
      <c r="H481" t="s">
        <v>1490</v>
      </c>
    </row>
    <row r="482" spans="1:8" x14ac:dyDescent="0.3">
      <c r="A482" s="6">
        <v>6</v>
      </c>
      <c r="B482" t="s">
        <v>380</v>
      </c>
      <c r="C482" s="9" t="s">
        <v>932</v>
      </c>
      <c r="D482" s="9">
        <v>24</v>
      </c>
      <c r="E482" s="9" t="s">
        <v>1804</v>
      </c>
      <c r="F482" t="s">
        <v>393</v>
      </c>
      <c r="G482" t="s">
        <v>108</v>
      </c>
      <c r="H482" t="s">
        <v>1156</v>
      </c>
    </row>
    <row r="483" spans="1:8" x14ac:dyDescent="0.3">
      <c r="A483" s="6">
        <v>6</v>
      </c>
      <c r="B483" t="s">
        <v>380</v>
      </c>
      <c r="C483" s="9" t="s">
        <v>932</v>
      </c>
      <c r="D483" s="9">
        <v>27</v>
      </c>
      <c r="E483" s="9" t="s">
        <v>1804</v>
      </c>
      <c r="F483" t="s">
        <v>40</v>
      </c>
      <c r="G483" t="s">
        <v>41</v>
      </c>
      <c r="H483" t="s">
        <v>1169</v>
      </c>
    </row>
    <row r="484" spans="1:8" x14ac:dyDescent="0.3">
      <c r="A484" s="6">
        <v>6</v>
      </c>
      <c r="B484" t="s">
        <v>380</v>
      </c>
      <c r="C484" s="9" t="s">
        <v>932</v>
      </c>
      <c r="D484" s="9">
        <v>24</v>
      </c>
      <c r="E484" s="9" t="s">
        <v>1804</v>
      </c>
      <c r="F484" t="s">
        <v>232</v>
      </c>
      <c r="G484" t="s">
        <v>144</v>
      </c>
      <c r="H484" t="s">
        <v>1171</v>
      </c>
    </row>
    <row r="485" spans="1:8" x14ac:dyDescent="0.3">
      <c r="A485" s="6">
        <v>6</v>
      </c>
      <c r="B485" t="s">
        <v>380</v>
      </c>
      <c r="C485" s="9" t="s">
        <v>932</v>
      </c>
      <c r="D485" s="9">
        <v>25</v>
      </c>
      <c r="E485" s="9" t="s">
        <v>1804</v>
      </c>
      <c r="F485" t="s">
        <v>394</v>
      </c>
      <c r="G485" t="s">
        <v>112</v>
      </c>
      <c r="H485" t="s">
        <v>1172</v>
      </c>
    </row>
    <row r="486" spans="1:8" x14ac:dyDescent="0.3">
      <c r="A486" s="6">
        <v>6</v>
      </c>
      <c r="B486" t="s">
        <v>380</v>
      </c>
      <c r="C486" s="9" t="s">
        <v>932</v>
      </c>
      <c r="D486" s="9">
        <v>15</v>
      </c>
      <c r="E486" s="9" t="s">
        <v>1804</v>
      </c>
      <c r="F486" t="s">
        <v>43</v>
      </c>
      <c r="G486" t="s">
        <v>44</v>
      </c>
      <c r="H486" t="s">
        <v>1050</v>
      </c>
    </row>
    <row r="487" spans="1:8" x14ac:dyDescent="0.3">
      <c r="A487" s="6">
        <v>6</v>
      </c>
      <c r="B487" t="s">
        <v>380</v>
      </c>
      <c r="C487" s="9" t="s">
        <v>932</v>
      </c>
      <c r="D487" s="9">
        <v>26</v>
      </c>
      <c r="E487" s="9" t="s">
        <v>1804</v>
      </c>
      <c r="F487" t="s">
        <v>271</v>
      </c>
      <c r="G487" t="s">
        <v>269</v>
      </c>
      <c r="H487" t="s">
        <v>1646</v>
      </c>
    </row>
    <row r="488" spans="1:8" x14ac:dyDescent="0.3">
      <c r="A488" s="6">
        <v>6</v>
      </c>
      <c r="B488" t="s">
        <v>380</v>
      </c>
      <c r="C488" s="9" t="s">
        <v>932</v>
      </c>
      <c r="D488" s="9">
        <v>15</v>
      </c>
      <c r="E488" s="9" t="s">
        <v>1804</v>
      </c>
      <c r="F488" t="s">
        <v>62</v>
      </c>
      <c r="G488" t="s">
        <v>63</v>
      </c>
      <c r="H488" t="s">
        <v>1103</v>
      </c>
    </row>
    <row r="489" spans="1:8" x14ac:dyDescent="0.3">
      <c r="A489" s="6">
        <v>6</v>
      </c>
      <c r="B489" t="s">
        <v>380</v>
      </c>
      <c r="C489" s="9" t="s">
        <v>932</v>
      </c>
      <c r="D489" s="9">
        <v>28</v>
      </c>
      <c r="E489" s="9" t="s">
        <v>1804</v>
      </c>
      <c r="F489" t="s">
        <v>395</v>
      </c>
      <c r="G489" t="s">
        <v>396</v>
      </c>
      <c r="H489" t="s">
        <v>1564</v>
      </c>
    </row>
    <row r="490" spans="1:8" x14ac:dyDescent="0.3">
      <c r="A490" s="6">
        <v>6</v>
      </c>
      <c r="B490" t="s">
        <v>380</v>
      </c>
      <c r="C490" s="9" t="s">
        <v>1807</v>
      </c>
      <c r="D490" s="9">
        <v>538</v>
      </c>
      <c r="E490" s="9" t="s">
        <v>1808</v>
      </c>
      <c r="F490" t="s">
        <v>75</v>
      </c>
      <c r="G490" t="s">
        <v>76</v>
      </c>
      <c r="H490" t="s">
        <v>1549</v>
      </c>
    </row>
    <row r="491" spans="1:8" x14ac:dyDescent="0.3">
      <c r="A491" s="6">
        <v>6</v>
      </c>
      <c r="B491" t="s">
        <v>380</v>
      </c>
      <c r="C491" s="9" t="s">
        <v>1809</v>
      </c>
      <c r="D491" s="9">
        <v>60</v>
      </c>
      <c r="E491" s="9" t="s">
        <v>1804</v>
      </c>
      <c r="F491" t="s">
        <v>78</v>
      </c>
      <c r="G491" t="s">
        <v>1810</v>
      </c>
      <c r="H491" t="s">
        <v>1811</v>
      </c>
    </row>
    <row r="492" spans="1:8" x14ac:dyDescent="0.3">
      <c r="A492" s="6">
        <v>6</v>
      </c>
      <c r="B492" t="s">
        <v>380</v>
      </c>
      <c r="C492" s="9" t="s">
        <v>963</v>
      </c>
      <c r="D492" s="9">
        <v>88</v>
      </c>
      <c r="E492" s="9" t="s">
        <v>1804</v>
      </c>
      <c r="F492" t="s">
        <v>84</v>
      </c>
      <c r="G492" t="s">
        <v>85</v>
      </c>
      <c r="H492" t="s">
        <v>1342</v>
      </c>
    </row>
    <row r="493" spans="1:8" x14ac:dyDescent="0.3">
      <c r="A493" s="6">
        <v>6</v>
      </c>
      <c r="B493" t="s">
        <v>380</v>
      </c>
      <c r="C493" s="9" t="s">
        <v>963</v>
      </c>
      <c r="D493" s="9">
        <v>70</v>
      </c>
      <c r="E493" s="9" t="s">
        <v>1804</v>
      </c>
      <c r="F493" t="s">
        <v>325</v>
      </c>
      <c r="G493" t="s">
        <v>196</v>
      </c>
      <c r="H493" t="s">
        <v>1344</v>
      </c>
    </row>
    <row r="494" spans="1:8" x14ac:dyDescent="0.3">
      <c r="A494" s="6">
        <v>6</v>
      </c>
      <c r="B494" t="s">
        <v>380</v>
      </c>
      <c r="C494" s="9" t="s">
        <v>963</v>
      </c>
      <c r="D494" s="9">
        <v>77</v>
      </c>
      <c r="E494" s="9" t="s">
        <v>1804</v>
      </c>
      <c r="F494" t="s">
        <v>328</v>
      </c>
      <c r="G494" t="s">
        <v>329</v>
      </c>
      <c r="H494" t="s">
        <v>1350</v>
      </c>
    </row>
    <row r="495" spans="1:8" x14ac:dyDescent="0.3">
      <c r="A495" s="6">
        <v>6</v>
      </c>
      <c r="B495" t="s">
        <v>380</v>
      </c>
      <c r="C495" s="9" t="s">
        <v>963</v>
      </c>
      <c r="D495" s="9">
        <v>73</v>
      </c>
      <c r="E495" s="9" t="s">
        <v>1804</v>
      </c>
      <c r="F495" t="s">
        <v>90</v>
      </c>
      <c r="G495" t="s">
        <v>15</v>
      </c>
      <c r="H495" t="s">
        <v>1351</v>
      </c>
    </row>
    <row r="496" spans="1:8" x14ac:dyDescent="0.3">
      <c r="A496" s="6">
        <v>6</v>
      </c>
      <c r="B496" t="s">
        <v>380</v>
      </c>
      <c r="C496" s="9" t="s">
        <v>963</v>
      </c>
      <c r="D496" s="9">
        <v>77</v>
      </c>
      <c r="E496" s="9" t="s">
        <v>1804</v>
      </c>
      <c r="F496" t="s">
        <v>91</v>
      </c>
      <c r="G496" t="s">
        <v>92</v>
      </c>
      <c r="H496" t="s">
        <v>1353</v>
      </c>
    </row>
    <row r="497" spans="1:8" x14ac:dyDescent="0.3">
      <c r="A497" s="6">
        <v>6</v>
      </c>
      <c r="B497" t="s">
        <v>380</v>
      </c>
      <c r="C497" s="9" t="s">
        <v>963</v>
      </c>
      <c r="D497" s="9">
        <v>76</v>
      </c>
      <c r="E497" s="9" t="s">
        <v>1804</v>
      </c>
      <c r="F497" t="s">
        <v>94</v>
      </c>
      <c r="G497" t="s">
        <v>95</v>
      </c>
      <c r="H497" t="s">
        <v>1355</v>
      </c>
    </row>
    <row r="498" spans="1:8" x14ac:dyDescent="0.3">
      <c r="A498" s="6">
        <v>6</v>
      </c>
      <c r="B498" t="s">
        <v>380</v>
      </c>
      <c r="C498" s="9" t="s">
        <v>963</v>
      </c>
      <c r="D498" s="9">
        <v>65</v>
      </c>
      <c r="E498" s="9" t="s">
        <v>1804</v>
      </c>
      <c r="F498" t="s">
        <v>399</v>
      </c>
      <c r="G498" t="s">
        <v>1819</v>
      </c>
      <c r="H498" t="s">
        <v>1420</v>
      </c>
    </row>
    <row r="499" spans="1:8" x14ac:dyDescent="0.3">
      <c r="A499" s="6">
        <v>6</v>
      </c>
      <c r="B499" t="s">
        <v>380</v>
      </c>
      <c r="C499" s="9" t="s">
        <v>963</v>
      </c>
      <c r="D499" s="9">
        <v>72</v>
      </c>
      <c r="E499" s="9" t="s">
        <v>1804</v>
      </c>
      <c r="F499" t="s">
        <v>101</v>
      </c>
      <c r="G499" t="s">
        <v>102</v>
      </c>
      <c r="H499" t="s">
        <v>1365</v>
      </c>
    </row>
    <row r="500" spans="1:8" x14ac:dyDescent="0.3">
      <c r="A500" s="6">
        <v>6</v>
      </c>
      <c r="B500" t="s">
        <v>380</v>
      </c>
      <c r="C500" s="9" t="s">
        <v>963</v>
      </c>
      <c r="D500" s="9">
        <v>60</v>
      </c>
      <c r="E500" s="9" t="s">
        <v>1804</v>
      </c>
      <c r="F500" t="s">
        <v>400</v>
      </c>
      <c r="G500" t="s">
        <v>401</v>
      </c>
      <c r="H500" t="s">
        <v>1185</v>
      </c>
    </row>
    <row r="501" spans="1:8" x14ac:dyDescent="0.3">
      <c r="A501" s="6">
        <v>6</v>
      </c>
      <c r="B501" t="s">
        <v>380</v>
      </c>
      <c r="C501" s="9" t="s">
        <v>963</v>
      </c>
      <c r="D501" s="9">
        <v>60</v>
      </c>
      <c r="E501" s="9" t="s">
        <v>1804</v>
      </c>
      <c r="F501" t="s">
        <v>403</v>
      </c>
      <c r="G501" t="s">
        <v>386</v>
      </c>
      <c r="H501" t="s">
        <v>1432</v>
      </c>
    </row>
    <row r="502" spans="1:8" x14ac:dyDescent="0.3">
      <c r="A502" s="6">
        <v>6</v>
      </c>
      <c r="B502" t="s">
        <v>380</v>
      </c>
      <c r="C502" s="9" t="s">
        <v>963</v>
      </c>
      <c r="D502" s="9">
        <v>63</v>
      </c>
      <c r="E502" s="9" t="s">
        <v>1804</v>
      </c>
      <c r="F502" t="s">
        <v>105</v>
      </c>
      <c r="G502" t="s">
        <v>171</v>
      </c>
      <c r="H502" t="s">
        <v>1535</v>
      </c>
    </row>
    <row r="503" spans="1:8" x14ac:dyDescent="0.3">
      <c r="A503" s="6">
        <v>6</v>
      </c>
      <c r="B503" t="s">
        <v>380</v>
      </c>
      <c r="C503" s="9" t="s">
        <v>963</v>
      </c>
      <c r="D503" s="9">
        <v>63</v>
      </c>
      <c r="E503" s="9" t="s">
        <v>1804</v>
      </c>
      <c r="F503" t="s">
        <v>404</v>
      </c>
      <c r="G503" t="s">
        <v>115</v>
      </c>
      <c r="H503" t="s">
        <v>1536</v>
      </c>
    </row>
    <row r="504" spans="1:8" x14ac:dyDescent="0.3">
      <c r="A504" s="6">
        <v>6</v>
      </c>
      <c r="B504" t="s">
        <v>380</v>
      </c>
      <c r="C504" s="9" t="s">
        <v>963</v>
      </c>
      <c r="D504" s="9">
        <v>60</v>
      </c>
      <c r="E504" s="9" t="s">
        <v>1804</v>
      </c>
      <c r="F504" t="s">
        <v>106</v>
      </c>
      <c r="G504" t="s">
        <v>32</v>
      </c>
      <c r="H504" t="s">
        <v>1537</v>
      </c>
    </row>
    <row r="505" spans="1:8" x14ac:dyDescent="0.3">
      <c r="A505" s="6">
        <v>6</v>
      </c>
      <c r="B505" t="s">
        <v>380</v>
      </c>
      <c r="C505" s="9" t="s">
        <v>963</v>
      </c>
      <c r="D505" s="9">
        <v>60</v>
      </c>
      <c r="E505" s="9" t="s">
        <v>1804</v>
      </c>
      <c r="F505" t="s">
        <v>107</v>
      </c>
      <c r="G505" t="s">
        <v>108</v>
      </c>
      <c r="H505" t="s">
        <v>1140</v>
      </c>
    </row>
    <row r="506" spans="1:8" x14ac:dyDescent="0.3">
      <c r="A506" s="6">
        <v>6</v>
      </c>
      <c r="B506" t="s">
        <v>380</v>
      </c>
      <c r="C506" s="9" t="s">
        <v>963</v>
      </c>
      <c r="D506" s="9">
        <v>64</v>
      </c>
      <c r="E506" s="9" t="s">
        <v>1804</v>
      </c>
      <c r="F506" t="s">
        <v>352</v>
      </c>
      <c r="G506" t="s">
        <v>41</v>
      </c>
      <c r="H506" t="s">
        <v>1144</v>
      </c>
    </row>
    <row r="507" spans="1:8" x14ac:dyDescent="0.3">
      <c r="A507" s="6">
        <v>6</v>
      </c>
      <c r="B507" t="s">
        <v>380</v>
      </c>
      <c r="C507" s="9" t="s">
        <v>963</v>
      </c>
      <c r="D507" s="9">
        <v>66</v>
      </c>
      <c r="E507" s="9" t="s">
        <v>1804</v>
      </c>
      <c r="F507" t="s">
        <v>353</v>
      </c>
      <c r="G507" t="s">
        <v>354</v>
      </c>
      <c r="H507" t="s">
        <v>1020</v>
      </c>
    </row>
    <row r="508" spans="1:8" x14ac:dyDescent="0.3">
      <c r="A508" s="6">
        <v>6</v>
      </c>
      <c r="B508" t="s">
        <v>380</v>
      </c>
      <c r="C508" s="9" t="s">
        <v>963</v>
      </c>
      <c r="D508" s="9">
        <v>62</v>
      </c>
      <c r="E508" s="9" t="s">
        <v>1804</v>
      </c>
      <c r="F508" t="s">
        <v>405</v>
      </c>
      <c r="G508" t="s">
        <v>260</v>
      </c>
      <c r="H508" t="s">
        <v>1022</v>
      </c>
    </row>
    <row r="509" spans="1:8" x14ac:dyDescent="0.3">
      <c r="A509" s="6">
        <v>6</v>
      </c>
      <c r="B509" t="s">
        <v>380</v>
      </c>
      <c r="C509" s="9" t="s">
        <v>963</v>
      </c>
      <c r="D509" s="9">
        <v>64</v>
      </c>
      <c r="E509" s="9" t="s">
        <v>1804</v>
      </c>
      <c r="F509" t="s">
        <v>406</v>
      </c>
      <c r="G509" t="s">
        <v>269</v>
      </c>
      <c r="H509" t="s">
        <v>1687</v>
      </c>
    </row>
    <row r="510" spans="1:8" x14ac:dyDescent="0.3">
      <c r="A510" s="6">
        <v>6</v>
      </c>
      <c r="B510" t="s">
        <v>380</v>
      </c>
      <c r="C510" s="9" t="s">
        <v>963</v>
      </c>
      <c r="D510" s="9">
        <v>63</v>
      </c>
      <c r="E510" s="9" t="s">
        <v>1804</v>
      </c>
      <c r="F510" t="s">
        <v>124</v>
      </c>
      <c r="G510" t="s">
        <v>572</v>
      </c>
      <c r="H510" t="s">
        <v>1024</v>
      </c>
    </row>
    <row r="511" spans="1:8" x14ac:dyDescent="0.3">
      <c r="A511" s="6">
        <v>6</v>
      </c>
      <c r="B511" t="s">
        <v>380</v>
      </c>
      <c r="C511" s="9" t="s">
        <v>963</v>
      </c>
      <c r="D511" s="9">
        <v>64</v>
      </c>
      <c r="E511" s="9" t="s">
        <v>1804</v>
      </c>
      <c r="F511" t="s">
        <v>125</v>
      </c>
      <c r="G511" t="s">
        <v>126</v>
      </c>
      <c r="H511" t="s">
        <v>1581</v>
      </c>
    </row>
    <row r="512" spans="1:8" x14ac:dyDescent="0.3">
      <c r="A512" s="6">
        <v>6</v>
      </c>
      <c r="B512" t="s">
        <v>380</v>
      </c>
      <c r="C512" s="9" t="s">
        <v>963</v>
      </c>
      <c r="D512" s="9">
        <v>60</v>
      </c>
      <c r="E512" s="9" t="s">
        <v>1804</v>
      </c>
      <c r="F512" t="s">
        <v>128</v>
      </c>
      <c r="G512" t="s">
        <v>129</v>
      </c>
      <c r="H512" t="s">
        <v>1582</v>
      </c>
    </row>
    <row r="513" spans="1:8" x14ac:dyDescent="0.3">
      <c r="A513" s="6">
        <v>6</v>
      </c>
      <c r="B513" t="s">
        <v>380</v>
      </c>
      <c r="C513" s="9" t="s">
        <v>963</v>
      </c>
      <c r="D513" s="9">
        <v>60</v>
      </c>
      <c r="E513" s="9" t="s">
        <v>1804</v>
      </c>
      <c r="F513" t="s">
        <v>407</v>
      </c>
      <c r="G513" t="s">
        <v>396</v>
      </c>
      <c r="H513" t="s">
        <v>1583</v>
      </c>
    </row>
    <row r="514" spans="1:8" x14ac:dyDescent="0.3">
      <c r="A514" s="6">
        <v>6</v>
      </c>
      <c r="B514" t="s">
        <v>380</v>
      </c>
      <c r="C514" s="9" t="s">
        <v>963</v>
      </c>
      <c r="D514" s="9">
        <v>60</v>
      </c>
      <c r="E514" s="9" t="s">
        <v>1804</v>
      </c>
      <c r="F514" t="s">
        <v>131</v>
      </c>
      <c r="G514" t="s">
        <v>376</v>
      </c>
      <c r="H514" t="s">
        <v>1818</v>
      </c>
    </row>
    <row r="515" spans="1:8" x14ac:dyDescent="0.3">
      <c r="A515" s="6">
        <v>7</v>
      </c>
      <c r="B515" t="s">
        <v>175</v>
      </c>
      <c r="C515" s="9" t="s">
        <v>932</v>
      </c>
      <c r="D515" s="9">
        <v>12</v>
      </c>
      <c r="E515" s="9" t="s">
        <v>1804</v>
      </c>
      <c r="F515" t="s">
        <v>143</v>
      </c>
      <c r="G515" t="s">
        <v>144</v>
      </c>
      <c r="H515" t="s">
        <v>1694</v>
      </c>
    </row>
    <row r="516" spans="1:8" x14ac:dyDescent="0.3">
      <c r="A516" s="6">
        <v>7</v>
      </c>
      <c r="B516" t="s">
        <v>175</v>
      </c>
      <c r="C516" s="9" t="s">
        <v>932</v>
      </c>
      <c r="D516" s="9">
        <v>15</v>
      </c>
      <c r="E516" s="9" t="s">
        <v>1804</v>
      </c>
      <c r="F516" t="s">
        <v>149</v>
      </c>
      <c r="G516" t="s">
        <v>147</v>
      </c>
      <c r="H516" t="s">
        <v>1378</v>
      </c>
    </row>
    <row r="517" spans="1:8" x14ac:dyDescent="0.3">
      <c r="A517" s="6">
        <v>7</v>
      </c>
      <c r="B517" t="s">
        <v>175</v>
      </c>
      <c r="C517" s="9" t="s">
        <v>932</v>
      </c>
      <c r="D517" s="9">
        <v>13</v>
      </c>
      <c r="E517" s="9" t="s">
        <v>1804</v>
      </c>
      <c r="F517" t="s">
        <v>150</v>
      </c>
      <c r="G517" t="s">
        <v>147</v>
      </c>
      <c r="H517" t="s">
        <v>1379</v>
      </c>
    </row>
    <row r="518" spans="1:8" x14ac:dyDescent="0.3">
      <c r="A518" s="6">
        <v>7</v>
      </c>
      <c r="B518" t="s">
        <v>175</v>
      </c>
      <c r="C518" s="9" t="s">
        <v>932</v>
      </c>
      <c r="D518" s="9">
        <v>30</v>
      </c>
      <c r="E518" s="9" t="s">
        <v>1804</v>
      </c>
      <c r="F518" t="s">
        <v>176</v>
      </c>
      <c r="G518" t="s">
        <v>177</v>
      </c>
      <c r="H518" t="s">
        <v>1381</v>
      </c>
    </row>
    <row r="519" spans="1:8" x14ac:dyDescent="0.3">
      <c r="A519" s="6">
        <v>7</v>
      </c>
      <c r="B519" t="s">
        <v>175</v>
      </c>
      <c r="C519" s="9" t="s">
        <v>1807</v>
      </c>
      <c r="D519" s="9">
        <v>63</v>
      </c>
      <c r="E519" s="9" t="s">
        <v>1808</v>
      </c>
      <c r="F519" t="s">
        <v>179</v>
      </c>
      <c r="G519" t="s">
        <v>180</v>
      </c>
      <c r="H519" t="s">
        <v>1698</v>
      </c>
    </row>
    <row r="520" spans="1:8" x14ac:dyDescent="0.3">
      <c r="A520" s="6">
        <v>7</v>
      </c>
      <c r="B520" t="s">
        <v>175</v>
      </c>
      <c r="C520" s="9" t="s">
        <v>1807</v>
      </c>
      <c r="D520" s="9">
        <v>40</v>
      </c>
      <c r="E520" s="9" t="s">
        <v>1808</v>
      </c>
      <c r="F520" t="s">
        <v>182</v>
      </c>
      <c r="G520" t="s">
        <v>183</v>
      </c>
      <c r="H520" t="s">
        <v>1240</v>
      </c>
    </row>
    <row r="521" spans="1:8" x14ac:dyDescent="0.3">
      <c r="A521" s="6">
        <v>7</v>
      </c>
      <c r="B521" t="s">
        <v>175</v>
      </c>
      <c r="C521" s="9" t="s">
        <v>1807</v>
      </c>
      <c r="D521" s="9">
        <v>200</v>
      </c>
      <c r="E521" s="9" t="s">
        <v>1808</v>
      </c>
      <c r="F521" t="s">
        <v>185</v>
      </c>
      <c r="G521" t="s">
        <v>183</v>
      </c>
      <c r="H521" t="s">
        <v>1233</v>
      </c>
    </row>
    <row r="522" spans="1:8" x14ac:dyDescent="0.3">
      <c r="A522" s="6">
        <v>7</v>
      </c>
      <c r="B522" t="s">
        <v>175</v>
      </c>
      <c r="C522" s="9" t="s">
        <v>1807</v>
      </c>
      <c r="D522" s="9">
        <v>40</v>
      </c>
      <c r="E522" s="9" t="s">
        <v>1808</v>
      </c>
      <c r="F522" t="s">
        <v>186</v>
      </c>
      <c r="G522" t="s">
        <v>183</v>
      </c>
      <c r="H522" t="s">
        <v>1234</v>
      </c>
    </row>
    <row r="523" spans="1:8" x14ac:dyDescent="0.3">
      <c r="A523" s="6">
        <v>7</v>
      </c>
      <c r="B523" t="s">
        <v>175</v>
      </c>
      <c r="C523" s="9" t="s">
        <v>1807</v>
      </c>
      <c r="D523" s="9">
        <v>40</v>
      </c>
      <c r="E523" s="9" t="s">
        <v>1808</v>
      </c>
      <c r="F523" t="s">
        <v>187</v>
      </c>
      <c r="G523" t="s">
        <v>183</v>
      </c>
      <c r="H523" t="s">
        <v>1235</v>
      </c>
    </row>
    <row r="524" spans="1:8" x14ac:dyDescent="0.3">
      <c r="A524" s="6">
        <v>7</v>
      </c>
      <c r="B524" t="s">
        <v>175</v>
      </c>
      <c r="C524" s="9" t="s">
        <v>1807</v>
      </c>
      <c r="D524" s="9">
        <v>60</v>
      </c>
      <c r="E524" s="9" t="s">
        <v>1808</v>
      </c>
      <c r="F524" t="s">
        <v>188</v>
      </c>
      <c r="G524" t="s">
        <v>183</v>
      </c>
      <c r="H524" t="s">
        <v>1237</v>
      </c>
    </row>
    <row r="525" spans="1:8" x14ac:dyDescent="0.3">
      <c r="A525" s="6">
        <v>7</v>
      </c>
      <c r="B525" t="s">
        <v>175</v>
      </c>
      <c r="C525" s="9" t="s">
        <v>932</v>
      </c>
      <c r="D525" s="9">
        <v>31</v>
      </c>
      <c r="E525" s="9" t="s">
        <v>1804</v>
      </c>
      <c r="F525" t="s">
        <v>189</v>
      </c>
      <c r="G525" t="s">
        <v>190</v>
      </c>
      <c r="H525" t="s">
        <v>1251</v>
      </c>
    </row>
    <row r="526" spans="1:8" x14ac:dyDescent="0.3">
      <c r="A526" s="6">
        <v>7</v>
      </c>
      <c r="B526" t="s">
        <v>175</v>
      </c>
      <c r="C526" s="9" t="s">
        <v>932</v>
      </c>
      <c r="D526" s="9">
        <v>30</v>
      </c>
      <c r="E526" s="9" t="s">
        <v>1804</v>
      </c>
      <c r="F526" t="s">
        <v>192</v>
      </c>
      <c r="G526" t="s">
        <v>193</v>
      </c>
      <c r="H526" t="s">
        <v>1252</v>
      </c>
    </row>
    <row r="527" spans="1:8" x14ac:dyDescent="0.3">
      <c r="A527" s="6">
        <v>7</v>
      </c>
      <c r="B527" t="s">
        <v>175</v>
      </c>
      <c r="C527" s="9" t="s">
        <v>1807</v>
      </c>
      <c r="D527" s="9">
        <v>1230</v>
      </c>
      <c r="E527" s="9" t="s">
        <v>1808</v>
      </c>
      <c r="F527" t="s">
        <v>10</v>
      </c>
      <c r="G527" t="s">
        <v>526</v>
      </c>
      <c r="H527" t="s">
        <v>1812</v>
      </c>
    </row>
    <row r="528" spans="1:8" x14ac:dyDescent="0.3">
      <c r="A528" s="6">
        <v>7</v>
      </c>
      <c r="B528" t="s">
        <v>175</v>
      </c>
      <c r="C528" s="9" t="s">
        <v>932</v>
      </c>
      <c r="D528" s="9">
        <v>24</v>
      </c>
      <c r="E528" s="9" t="s">
        <v>1804</v>
      </c>
      <c r="F528" t="s">
        <v>195</v>
      </c>
      <c r="G528" t="s">
        <v>196</v>
      </c>
      <c r="H528" t="s">
        <v>1263</v>
      </c>
    </row>
    <row r="529" spans="1:8" x14ac:dyDescent="0.3">
      <c r="A529" s="6">
        <v>7</v>
      </c>
      <c r="B529" t="s">
        <v>175</v>
      </c>
      <c r="C529" s="9" t="s">
        <v>932</v>
      </c>
      <c r="D529" s="9">
        <v>37</v>
      </c>
      <c r="E529" s="9" t="s">
        <v>1804</v>
      </c>
      <c r="F529" t="s">
        <v>198</v>
      </c>
      <c r="G529" t="s">
        <v>196</v>
      </c>
      <c r="H529" t="s">
        <v>1267</v>
      </c>
    </row>
    <row r="530" spans="1:8" x14ac:dyDescent="0.3">
      <c r="A530" s="6">
        <v>7</v>
      </c>
      <c r="B530" t="s">
        <v>175</v>
      </c>
      <c r="C530" s="9" t="s">
        <v>1807</v>
      </c>
      <c r="D530" s="9">
        <v>1300</v>
      </c>
      <c r="E530" s="9" t="s">
        <v>1808</v>
      </c>
      <c r="F530" t="s">
        <v>199</v>
      </c>
      <c r="G530" t="s">
        <v>200</v>
      </c>
      <c r="H530" t="s">
        <v>1271</v>
      </c>
    </row>
    <row r="531" spans="1:8" x14ac:dyDescent="0.3">
      <c r="A531" s="6">
        <v>7</v>
      </c>
      <c r="B531" t="s">
        <v>175</v>
      </c>
      <c r="C531" s="9" t="s">
        <v>932</v>
      </c>
      <c r="D531" s="9">
        <v>44</v>
      </c>
      <c r="E531" s="9" t="s">
        <v>1804</v>
      </c>
      <c r="F531" t="s">
        <v>202</v>
      </c>
      <c r="G531" t="s">
        <v>200</v>
      </c>
      <c r="H531" t="s">
        <v>1272</v>
      </c>
    </row>
    <row r="532" spans="1:8" x14ac:dyDescent="0.3">
      <c r="A532" s="6">
        <v>7</v>
      </c>
      <c r="B532" t="s">
        <v>175</v>
      </c>
      <c r="C532" s="9" t="s">
        <v>1807</v>
      </c>
      <c r="D532" s="9">
        <v>1050</v>
      </c>
      <c r="E532" s="9" t="s">
        <v>1808</v>
      </c>
      <c r="F532" t="s">
        <v>203</v>
      </c>
      <c r="G532" t="s">
        <v>12</v>
      </c>
      <c r="H532" t="s">
        <v>1821</v>
      </c>
    </row>
    <row r="533" spans="1:8" x14ac:dyDescent="0.3">
      <c r="A533" s="6">
        <v>7</v>
      </c>
      <c r="B533" t="s">
        <v>175</v>
      </c>
      <c r="C533" s="9" t="s">
        <v>932</v>
      </c>
      <c r="D533" s="9">
        <v>42</v>
      </c>
      <c r="E533" s="9" t="s">
        <v>1804</v>
      </c>
      <c r="F533" t="s">
        <v>14</v>
      </c>
      <c r="G533" t="s">
        <v>15</v>
      </c>
      <c r="H533" t="s">
        <v>1290</v>
      </c>
    </row>
    <row r="534" spans="1:8" x14ac:dyDescent="0.3">
      <c r="A534" s="6">
        <v>7</v>
      </c>
      <c r="B534" t="s">
        <v>175</v>
      </c>
      <c r="C534" s="9" t="s">
        <v>932</v>
      </c>
      <c r="D534" s="9">
        <v>12</v>
      </c>
      <c r="E534" s="9" t="s">
        <v>1804</v>
      </c>
      <c r="F534" t="s">
        <v>204</v>
      </c>
      <c r="G534" t="s">
        <v>15</v>
      </c>
      <c r="H534" t="s">
        <v>1292</v>
      </c>
    </row>
    <row r="535" spans="1:8" x14ac:dyDescent="0.3">
      <c r="A535" s="6">
        <v>7</v>
      </c>
      <c r="B535" t="s">
        <v>175</v>
      </c>
      <c r="C535" s="9" t="s">
        <v>1807</v>
      </c>
      <c r="D535" s="9">
        <v>1100</v>
      </c>
      <c r="E535" s="9" t="s">
        <v>1808</v>
      </c>
      <c r="F535" t="s">
        <v>205</v>
      </c>
      <c r="G535" t="s">
        <v>15</v>
      </c>
      <c r="H535" t="s">
        <v>1290</v>
      </c>
    </row>
    <row r="536" spans="1:8" x14ac:dyDescent="0.3">
      <c r="A536" s="6">
        <v>7</v>
      </c>
      <c r="B536" t="s">
        <v>175</v>
      </c>
      <c r="C536" s="9" t="s">
        <v>932</v>
      </c>
      <c r="D536" s="9">
        <v>43</v>
      </c>
      <c r="E536" s="9" t="s">
        <v>1804</v>
      </c>
      <c r="F536" t="s">
        <v>206</v>
      </c>
      <c r="G536" t="s">
        <v>92</v>
      </c>
      <c r="H536" t="s">
        <v>1296</v>
      </c>
    </row>
    <row r="537" spans="1:8" x14ac:dyDescent="0.3">
      <c r="A537" s="6">
        <v>7</v>
      </c>
      <c r="B537" t="s">
        <v>175</v>
      </c>
      <c r="C537" s="9" t="s">
        <v>1807</v>
      </c>
      <c r="D537" s="9">
        <v>1330</v>
      </c>
      <c r="E537" s="9" t="s">
        <v>1808</v>
      </c>
      <c r="F537" t="s">
        <v>207</v>
      </c>
      <c r="G537" t="s">
        <v>19</v>
      </c>
      <c r="H537" t="s">
        <v>1301</v>
      </c>
    </row>
    <row r="538" spans="1:8" x14ac:dyDescent="0.3">
      <c r="A538" s="6">
        <v>7</v>
      </c>
      <c r="B538" t="s">
        <v>175</v>
      </c>
      <c r="C538" s="9" t="s">
        <v>932</v>
      </c>
      <c r="D538" s="9">
        <v>31</v>
      </c>
      <c r="E538" s="9" t="s">
        <v>1804</v>
      </c>
      <c r="F538" t="s">
        <v>208</v>
      </c>
      <c r="G538" t="s">
        <v>209</v>
      </c>
      <c r="H538" t="s">
        <v>1325</v>
      </c>
    </row>
    <row r="539" spans="1:8" x14ac:dyDescent="0.3">
      <c r="A539" s="6">
        <v>7</v>
      </c>
      <c r="B539" t="s">
        <v>175</v>
      </c>
      <c r="C539" s="9" t="s">
        <v>1807</v>
      </c>
      <c r="D539" s="9">
        <v>750</v>
      </c>
      <c r="E539" s="9" t="s">
        <v>1808</v>
      </c>
      <c r="F539" t="s">
        <v>210</v>
      </c>
      <c r="G539" t="s">
        <v>212</v>
      </c>
      <c r="H539" t="s">
        <v>1331</v>
      </c>
    </row>
    <row r="540" spans="1:8" x14ac:dyDescent="0.3">
      <c r="A540" s="6">
        <v>7</v>
      </c>
      <c r="B540" t="s">
        <v>175</v>
      </c>
      <c r="C540" s="9" t="s">
        <v>1807</v>
      </c>
      <c r="D540" s="9">
        <v>750</v>
      </c>
      <c r="E540" s="9" t="s">
        <v>1808</v>
      </c>
      <c r="F540" t="s">
        <v>211</v>
      </c>
      <c r="G540" t="s">
        <v>212</v>
      </c>
      <c r="H540" t="s">
        <v>1331</v>
      </c>
    </row>
    <row r="541" spans="1:8" x14ac:dyDescent="0.3">
      <c r="A541" s="6">
        <v>7</v>
      </c>
      <c r="B541" t="s">
        <v>175</v>
      </c>
      <c r="C541" s="9" t="s">
        <v>1807</v>
      </c>
      <c r="D541" s="9">
        <v>1350</v>
      </c>
      <c r="E541" s="9" t="s">
        <v>1808</v>
      </c>
      <c r="F541" t="s">
        <v>24</v>
      </c>
      <c r="G541" t="s">
        <v>414</v>
      </c>
      <c r="H541" t="s">
        <v>1332</v>
      </c>
    </row>
    <row r="542" spans="1:8" x14ac:dyDescent="0.3">
      <c r="A542" s="6">
        <v>7</v>
      </c>
      <c r="B542" t="s">
        <v>175</v>
      </c>
      <c r="C542" s="9" t="s">
        <v>1807</v>
      </c>
      <c r="D542" s="9">
        <v>165</v>
      </c>
      <c r="E542" s="9" t="s">
        <v>1808</v>
      </c>
      <c r="F542" t="s">
        <v>152</v>
      </c>
      <c r="G542" t="s">
        <v>26</v>
      </c>
      <c r="H542" t="s">
        <v>1335</v>
      </c>
    </row>
    <row r="543" spans="1:8" x14ac:dyDescent="0.3">
      <c r="A543" s="6">
        <v>7</v>
      </c>
      <c r="B543" t="s">
        <v>175</v>
      </c>
      <c r="C543" s="9" t="s">
        <v>932</v>
      </c>
      <c r="D543" s="9">
        <v>12</v>
      </c>
      <c r="E543" s="9" t="s">
        <v>1804</v>
      </c>
      <c r="F543" t="s">
        <v>214</v>
      </c>
      <c r="G543" t="s">
        <v>215</v>
      </c>
      <c r="H543" t="s">
        <v>1029</v>
      </c>
    </row>
    <row r="544" spans="1:8" x14ac:dyDescent="0.3">
      <c r="A544" s="6">
        <v>7</v>
      </c>
      <c r="B544" t="s">
        <v>175</v>
      </c>
      <c r="C544" s="9" t="s">
        <v>932</v>
      </c>
      <c r="D544" s="9">
        <v>18</v>
      </c>
      <c r="E544" s="9" t="s">
        <v>1804</v>
      </c>
      <c r="F544" t="s">
        <v>217</v>
      </c>
      <c r="G544" t="s">
        <v>168</v>
      </c>
      <c r="H544" t="s">
        <v>1442</v>
      </c>
    </row>
    <row r="545" spans="1:8" x14ac:dyDescent="0.3">
      <c r="A545" s="6">
        <v>7</v>
      </c>
      <c r="B545" t="s">
        <v>175</v>
      </c>
      <c r="C545" s="9" t="s">
        <v>932</v>
      </c>
      <c r="D545" s="9">
        <v>27</v>
      </c>
      <c r="E545" s="9" t="s">
        <v>1804</v>
      </c>
      <c r="F545" t="s">
        <v>218</v>
      </c>
      <c r="G545" t="s">
        <v>168</v>
      </c>
      <c r="H545" t="s">
        <v>1443</v>
      </c>
    </row>
    <row r="546" spans="1:8" x14ac:dyDescent="0.3">
      <c r="A546" s="6">
        <v>7</v>
      </c>
      <c r="B546" t="s">
        <v>175</v>
      </c>
      <c r="C546" s="9" t="s">
        <v>932</v>
      </c>
      <c r="D546" s="9">
        <v>32</v>
      </c>
      <c r="E546" s="9" t="s">
        <v>1804</v>
      </c>
      <c r="F546" t="s">
        <v>219</v>
      </c>
      <c r="G546" t="s">
        <v>32</v>
      </c>
      <c r="H546" t="s">
        <v>1484</v>
      </c>
    </row>
    <row r="547" spans="1:8" x14ac:dyDescent="0.3">
      <c r="A547" s="6">
        <v>7</v>
      </c>
      <c r="B547" t="s">
        <v>175</v>
      </c>
      <c r="C547" s="9" t="s">
        <v>932</v>
      </c>
      <c r="D547" s="9">
        <v>21</v>
      </c>
      <c r="E547" s="9" t="s">
        <v>1804</v>
      </c>
      <c r="F547" t="s">
        <v>34</v>
      </c>
      <c r="G547" t="s">
        <v>32</v>
      </c>
      <c r="H547" t="s">
        <v>1485</v>
      </c>
    </row>
    <row r="548" spans="1:8" x14ac:dyDescent="0.3">
      <c r="A548" s="6">
        <v>7</v>
      </c>
      <c r="B548" t="s">
        <v>175</v>
      </c>
      <c r="C548" s="9" t="s">
        <v>932</v>
      </c>
      <c r="D548" s="9">
        <v>34</v>
      </c>
      <c r="E548" s="9" t="s">
        <v>1804</v>
      </c>
      <c r="F548" t="s">
        <v>220</v>
      </c>
      <c r="G548" t="s">
        <v>32</v>
      </c>
      <c r="H548" t="s">
        <v>1488</v>
      </c>
    </row>
    <row r="549" spans="1:8" x14ac:dyDescent="0.3">
      <c r="A549" s="6">
        <v>7</v>
      </c>
      <c r="B549" t="s">
        <v>175</v>
      </c>
      <c r="C549" s="9" t="s">
        <v>932</v>
      </c>
      <c r="D549" s="9">
        <v>32</v>
      </c>
      <c r="E549" s="9" t="s">
        <v>1804</v>
      </c>
      <c r="F549" t="s">
        <v>221</v>
      </c>
      <c r="G549" t="s">
        <v>32</v>
      </c>
      <c r="H549" t="s">
        <v>1490</v>
      </c>
    </row>
    <row r="550" spans="1:8" x14ac:dyDescent="0.3">
      <c r="A550" s="6">
        <v>7</v>
      </c>
      <c r="B550" t="s">
        <v>175</v>
      </c>
      <c r="C550" s="9" t="s">
        <v>932</v>
      </c>
      <c r="D550" s="9">
        <v>32</v>
      </c>
      <c r="E550" s="9" t="s">
        <v>1804</v>
      </c>
      <c r="F550" t="s">
        <v>222</v>
      </c>
      <c r="G550" t="s">
        <v>32</v>
      </c>
      <c r="H550" t="s">
        <v>1491</v>
      </c>
    </row>
    <row r="551" spans="1:8" x14ac:dyDescent="0.3">
      <c r="A551" s="6">
        <v>7</v>
      </c>
      <c r="B551" t="s">
        <v>175</v>
      </c>
      <c r="C551" s="9" t="s">
        <v>932</v>
      </c>
      <c r="D551" s="9">
        <v>21</v>
      </c>
      <c r="E551" s="9" t="s">
        <v>1804</v>
      </c>
      <c r="F551" t="s">
        <v>36</v>
      </c>
      <c r="G551" t="s">
        <v>32</v>
      </c>
      <c r="H551" t="s">
        <v>1492</v>
      </c>
    </row>
    <row r="552" spans="1:8" x14ac:dyDescent="0.3">
      <c r="A552" s="6">
        <v>7</v>
      </c>
      <c r="B552" t="s">
        <v>175</v>
      </c>
      <c r="C552" s="9" t="s">
        <v>932</v>
      </c>
      <c r="D552" s="9">
        <v>21</v>
      </c>
      <c r="E552" s="9" t="s">
        <v>1804</v>
      </c>
      <c r="F552" t="s">
        <v>223</v>
      </c>
      <c r="G552" t="s">
        <v>224</v>
      </c>
      <c r="H552" t="s">
        <v>1510</v>
      </c>
    </row>
    <row r="553" spans="1:8" x14ac:dyDescent="0.3">
      <c r="A553" s="6">
        <v>7</v>
      </c>
      <c r="B553" t="s">
        <v>175</v>
      </c>
      <c r="C553" s="9" t="s">
        <v>932</v>
      </c>
      <c r="D553" s="9">
        <v>12</v>
      </c>
      <c r="E553" s="9" t="s">
        <v>1804</v>
      </c>
      <c r="F553" t="s">
        <v>153</v>
      </c>
      <c r="G553" t="s">
        <v>108</v>
      </c>
      <c r="H553" t="s">
        <v>1150</v>
      </c>
    </row>
    <row r="554" spans="1:8" x14ac:dyDescent="0.3">
      <c r="A554" s="6">
        <v>7</v>
      </c>
      <c r="B554" t="s">
        <v>175</v>
      </c>
      <c r="C554" s="9" t="s">
        <v>932</v>
      </c>
      <c r="D554" s="9">
        <v>18</v>
      </c>
      <c r="E554" s="9" t="s">
        <v>1804</v>
      </c>
      <c r="F554" t="s">
        <v>154</v>
      </c>
      <c r="G554" t="s">
        <v>108</v>
      </c>
      <c r="H554" t="s">
        <v>1151</v>
      </c>
    </row>
    <row r="555" spans="1:8" x14ac:dyDescent="0.3">
      <c r="A555" s="6">
        <v>7</v>
      </c>
      <c r="B555" t="s">
        <v>175</v>
      </c>
      <c r="C555" s="9" t="s">
        <v>932</v>
      </c>
      <c r="D555" s="9">
        <v>27</v>
      </c>
      <c r="E555" s="9" t="s">
        <v>1804</v>
      </c>
      <c r="F555" t="s">
        <v>37</v>
      </c>
      <c r="G555" t="s">
        <v>38</v>
      </c>
      <c r="H555" t="s">
        <v>1164</v>
      </c>
    </row>
    <row r="556" spans="1:8" x14ac:dyDescent="0.3">
      <c r="A556" s="6">
        <v>7</v>
      </c>
      <c r="B556" t="s">
        <v>175</v>
      </c>
      <c r="C556" s="9" t="s">
        <v>932</v>
      </c>
      <c r="D556" s="9">
        <v>12</v>
      </c>
      <c r="E556" s="9" t="s">
        <v>1804</v>
      </c>
      <c r="F556" t="s">
        <v>226</v>
      </c>
      <c r="G556" t="s">
        <v>38</v>
      </c>
      <c r="H556" t="s">
        <v>1165</v>
      </c>
    </row>
    <row r="557" spans="1:8" x14ac:dyDescent="0.3">
      <c r="A557" s="6">
        <v>7</v>
      </c>
      <c r="B557" t="s">
        <v>175</v>
      </c>
      <c r="C557" s="9" t="s">
        <v>932</v>
      </c>
      <c r="D557" s="9">
        <v>18</v>
      </c>
      <c r="E557" s="9" t="s">
        <v>1804</v>
      </c>
      <c r="F557" t="s">
        <v>227</v>
      </c>
      <c r="G557" t="s">
        <v>41</v>
      </c>
      <c r="H557" t="s">
        <v>1167</v>
      </c>
    </row>
    <row r="558" spans="1:8" x14ac:dyDescent="0.3">
      <c r="A558" s="6">
        <v>7</v>
      </c>
      <c r="B558" t="s">
        <v>175</v>
      </c>
      <c r="C558" s="9" t="s">
        <v>932</v>
      </c>
      <c r="D558" s="9">
        <v>12</v>
      </c>
      <c r="E558" s="9" t="s">
        <v>1804</v>
      </c>
      <c r="F558" t="s">
        <v>228</v>
      </c>
      <c r="G558" t="s">
        <v>41</v>
      </c>
      <c r="H558" t="s">
        <v>1168</v>
      </c>
    </row>
    <row r="559" spans="1:8" x14ac:dyDescent="0.3">
      <c r="A559" s="6">
        <v>7</v>
      </c>
      <c r="B559" t="s">
        <v>175</v>
      </c>
      <c r="C559" s="9" t="s">
        <v>932</v>
      </c>
      <c r="D559" s="9">
        <v>27</v>
      </c>
      <c r="E559" s="9" t="s">
        <v>1804</v>
      </c>
      <c r="F559" t="s">
        <v>40</v>
      </c>
      <c r="G559" t="s">
        <v>41</v>
      </c>
      <c r="H559" t="s">
        <v>1169</v>
      </c>
    </row>
    <row r="560" spans="1:8" x14ac:dyDescent="0.3">
      <c r="A560" s="6">
        <v>7</v>
      </c>
      <c r="B560" t="s">
        <v>175</v>
      </c>
      <c r="C560" s="9" t="s">
        <v>932</v>
      </c>
      <c r="D560" s="9">
        <v>18</v>
      </c>
      <c r="E560" s="9" t="s">
        <v>1804</v>
      </c>
      <c r="F560" t="s">
        <v>229</v>
      </c>
      <c r="G560" t="s">
        <v>230</v>
      </c>
      <c r="H560" t="s">
        <v>1170</v>
      </c>
    </row>
    <row r="561" spans="1:8" x14ac:dyDescent="0.3">
      <c r="A561" s="6">
        <v>7</v>
      </c>
      <c r="B561" t="s">
        <v>175</v>
      </c>
      <c r="C561" s="9" t="s">
        <v>932</v>
      </c>
      <c r="D561" s="9">
        <v>24</v>
      </c>
      <c r="E561" s="9" t="s">
        <v>1804</v>
      </c>
      <c r="F561" t="s">
        <v>232</v>
      </c>
      <c r="G561" t="s">
        <v>144</v>
      </c>
      <c r="H561" t="s">
        <v>1171</v>
      </c>
    </row>
    <row r="562" spans="1:8" x14ac:dyDescent="0.3">
      <c r="A562" s="6">
        <v>7</v>
      </c>
      <c r="B562" t="s">
        <v>175</v>
      </c>
      <c r="C562" s="9" t="s">
        <v>932</v>
      </c>
      <c r="D562" s="9">
        <v>12</v>
      </c>
      <c r="E562" s="9" t="s">
        <v>1804</v>
      </c>
      <c r="F562" t="s">
        <v>233</v>
      </c>
      <c r="G562" t="s">
        <v>112</v>
      </c>
      <c r="H562" t="s">
        <v>1146</v>
      </c>
    </row>
    <row r="563" spans="1:8" x14ac:dyDescent="0.3">
      <c r="A563" s="6">
        <v>7</v>
      </c>
      <c r="B563" t="s">
        <v>175</v>
      </c>
      <c r="C563" s="9" t="s">
        <v>932</v>
      </c>
      <c r="D563" s="9">
        <v>12</v>
      </c>
      <c r="E563" s="9" t="s">
        <v>1804</v>
      </c>
      <c r="F563" t="s">
        <v>234</v>
      </c>
      <c r="G563" t="s">
        <v>235</v>
      </c>
      <c r="H563" t="s">
        <v>1047</v>
      </c>
    </row>
    <row r="564" spans="1:8" x14ac:dyDescent="0.3">
      <c r="A564" s="6">
        <v>7</v>
      </c>
      <c r="B564" t="s">
        <v>175</v>
      </c>
      <c r="C564" s="9" t="s">
        <v>932</v>
      </c>
      <c r="D564" s="9">
        <v>15</v>
      </c>
      <c r="E564" s="9" t="s">
        <v>1804</v>
      </c>
      <c r="F564" t="s">
        <v>43</v>
      </c>
      <c r="G564" t="s">
        <v>44</v>
      </c>
      <c r="H564" t="s">
        <v>1050</v>
      </c>
    </row>
    <row r="565" spans="1:8" x14ac:dyDescent="0.3">
      <c r="A565" s="6">
        <v>7</v>
      </c>
      <c r="B565" t="s">
        <v>175</v>
      </c>
      <c r="C565" s="9" t="s">
        <v>932</v>
      </c>
      <c r="D565" s="9">
        <v>24</v>
      </c>
      <c r="E565" s="9" t="s">
        <v>1804</v>
      </c>
      <c r="F565" t="s">
        <v>237</v>
      </c>
      <c r="G565" t="s">
        <v>238</v>
      </c>
      <c r="H565" t="s">
        <v>1065</v>
      </c>
    </row>
    <row r="566" spans="1:8" x14ac:dyDescent="0.3">
      <c r="A566" s="6">
        <v>7</v>
      </c>
      <c r="B566" t="s">
        <v>175</v>
      </c>
      <c r="C566" s="9" t="s">
        <v>1807</v>
      </c>
      <c r="D566" s="9">
        <v>1200</v>
      </c>
      <c r="E566" s="9" t="s">
        <v>1808</v>
      </c>
      <c r="F566" t="s">
        <v>240</v>
      </c>
      <c r="G566" t="s">
        <v>241</v>
      </c>
      <c r="H566" t="s">
        <v>1427</v>
      </c>
    </row>
    <row r="567" spans="1:8" x14ac:dyDescent="0.3">
      <c r="A567" s="6">
        <v>7</v>
      </c>
      <c r="B567" t="s">
        <v>175</v>
      </c>
      <c r="C567" s="9" t="s">
        <v>1807</v>
      </c>
      <c r="D567" s="9">
        <v>260</v>
      </c>
      <c r="E567" s="9" t="s">
        <v>1808</v>
      </c>
      <c r="F567" t="s">
        <v>243</v>
      </c>
      <c r="G567" t="s">
        <v>244</v>
      </c>
      <c r="H567" t="s">
        <v>1429</v>
      </c>
    </row>
    <row r="568" spans="1:8" x14ac:dyDescent="0.3">
      <c r="A568" s="6">
        <v>7</v>
      </c>
      <c r="B568" t="s">
        <v>175</v>
      </c>
      <c r="C568" s="9" t="s">
        <v>932</v>
      </c>
      <c r="D568" s="9">
        <v>35</v>
      </c>
      <c r="E568" s="9" t="s">
        <v>1804</v>
      </c>
      <c r="F568" t="s">
        <v>46</v>
      </c>
      <c r="G568" t="s">
        <v>47</v>
      </c>
      <c r="H568" t="s">
        <v>1409</v>
      </c>
    </row>
    <row r="569" spans="1:8" x14ac:dyDescent="0.3">
      <c r="A569" s="6">
        <v>7</v>
      </c>
      <c r="B569" t="s">
        <v>175</v>
      </c>
      <c r="C569" s="9" t="s">
        <v>932</v>
      </c>
      <c r="D569" s="9">
        <v>18</v>
      </c>
      <c r="E569" s="9" t="s">
        <v>1804</v>
      </c>
      <c r="F569" t="s">
        <v>246</v>
      </c>
      <c r="G569" t="s">
        <v>51</v>
      </c>
      <c r="H569" t="s">
        <v>1596</v>
      </c>
    </row>
    <row r="570" spans="1:8" x14ac:dyDescent="0.3">
      <c r="A570" s="6">
        <v>7</v>
      </c>
      <c r="B570" t="s">
        <v>175</v>
      </c>
      <c r="C570" s="9" t="s">
        <v>932</v>
      </c>
      <c r="D570" s="9">
        <v>30</v>
      </c>
      <c r="E570" s="9" t="s">
        <v>1804</v>
      </c>
      <c r="F570" t="s">
        <v>247</v>
      </c>
      <c r="G570" t="s">
        <v>51</v>
      </c>
      <c r="H570" t="s">
        <v>1599</v>
      </c>
    </row>
    <row r="571" spans="1:8" x14ac:dyDescent="0.3">
      <c r="A571" s="6">
        <v>7</v>
      </c>
      <c r="B571" t="s">
        <v>175</v>
      </c>
      <c r="C571" s="9" t="s">
        <v>932</v>
      </c>
      <c r="D571" s="9">
        <v>12</v>
      </c>
      <c r="E571" s="9" t="s">
        <v>1804</v>
      </c>
      <c r="F571" t="s">
        <v>56</v>
      </c>
      <c r="G571" t="s">
        <v>57</v>
      </c>
      <c r="H571" t="s">
        <v>1623</v>
      </c>
    </row>
    <row r="572" spans="1:8" x14ac:dyDescent="0.3">
      <c r="A572" s="6">
        <v>7</v>
      </c>
      <c r="B572" t="s">
        <v>175</v>
      </c>
      <c r="C572" s="9" t="s">
        <v>1807</v>
      </c>
      <c r="D572" s="9">
        <v>750</v>
      </c>
      <c r="E572" s="9" t="s">
        <v>1808</v>
      </c>
      <c r="F572" t="s">
        <v>248</v>
      </c>
      <c r="G572" t="s">
        <v>249</v>
      </c>
      <c r="H572" t="s">
        <v>979</v>
      </c>
    </row>
    <row r="573" spans="1:8" x14ac:dyDescent="0.3">
      <c r="A573" s="6">
        <v>7</v>
      </c>
      <c r="B573" t="s">
        <v>175</v>
      </c>
      <c r="C573" s="9" t="s">
        <v>1807</v>
      </c>
      <c r="D573" s="9">
        <v>1350</v>
      </c>
      <c r="E573" s="9" t="s">
        <v>1808</v>
      </c>
      <c r="F573" t="s">
        <v>251</v>
      </c>
      <c r="G573" t="s">
        <v>249</v>
      </c>
      <c r="H573" t="s">
        <v>980</v>
      </c>
    </row>
    <row r="574" spans="1:8" x14ac:dyDescent="0.3">
      <c r="A574" s="6">
        <v>7</v>
      </c>
      <c r="B574" t="s">
        <v>175</v>
      </c>
      <c r="C574" s="9" t="s">
        <v>932</v>
      </c>
      <c r="D574" s="9">
        <v>12</v>
      </c>
      <c r="E574" s="9" t="s">
        <v>1804</v>
      </c>
      <c r="F574" t="s">
        <v>252</v>
      </c>
      <c r="G574" t="s">
        <v>253</v>
      </c>
      <c r="H574" t="s">
        <v>1635</v>
      </c>
    </row>
    <row r="575" spans="1:8" x14ac:dyDescent="0.3">
      <c r="A575" s="6">
        <v>7</v>
      </c>
      <c r="B575" t="s">
        <v>175</v>
      </c>
      <c r="C575" s="9" t="s">
        <v>976</v>
      </c>
      <c r="D575" s="9">
        <v>68</v>
      </c>
      <c r="E575" s="9" t="s">
        <v>1804</v>
      </c>
      <c r="F575" t="s">
        <v>255</v>
      </c>
      <c r="G575" t="s">
        <v>256</v>
      </c>
      <c r="H575" t="s">
        <v>1715</v>
      </c>
    </row>
    <row r="576" spans="1:8" x14ac:dyDescent="0.3">
      <c r="A576" s="6">
        <v>7</v>
      </c>
      <c r="B576" t="s">
        <v>175</v>
      </c>
      <c r="C576" s="9" t="s">
        <v>932</v>
      </c>
      <c r="D576" s="9">
        <v>24</v>
      </c>
      <c r="E576" s="9" t="s">
        <v>1804</v>
      </c>
      <c r="F576" t="s">
        <v>258</v>
      </c>
      <c r="G576" t="s">
        <v>256</v>
      </c>
      <c r="H576" t="s">
        <v>1716</v>
      </c>
    </row>
    <row r="577" spans="1:8" x14ac:dyDescent="0.3">
      <c r="A577" s="6">
        <v>7</v>
      </c>
      <c r="B577" t="s">
        <v>175</v>
      </c>
      <c r="C577" s="9" t="s">
        <v>932</v>
      </c>
      <c r="D577" s="9">
        <v>22</v>
      </c>
      <c r="E577" s="9" t="s">
        <v>1804</v>
      </c>
      <c r="F577" t="s">
        <v>259</v>
      </c>
      <c r="G577" t="s">
        <v>260</v>
      </c>
      <c r="H577" t="s">
        <v>986</v>
      </c>
    </row>
    <row r="578" spans="1:8" x14ac:dyDescent="0.3">
      <c r="A578" s="6">
        <v>7</v>
      </c>
      <c r="B578" t="s">
        <v>175</v>
      </c>
      <c r="C578" s="9" t="s">
        <v>932</v>
      </c>
      <c r="D578" s="9">
        <v>14</v>
      </c>
      <c r="E578" s="9" t="s">
        <v>1804</v>
      </c>
      <c r="F578" t="s">
        <v>262</v>
      </c>
      <c r="G578" t="s">
        <v>263</v>
      </c>
      <c r="H578" t="s">
        <v>989</v>
      </c>
    </row>
    <row r="579" spans="1:8" x14ac:dyDescent="0.3">
      <c r="A579" s="6">
        <v>7</v>
      </c>
      <c r="B579" t="s">
        <v>175</v>
      </c>
      <c r="C579" s="9" t="s">
        <v>932</v>
      </c>
      <c r="D579" s="9">
        <v>19</v>
      </c>
      <c r="E579" s="9" t="s">
        <v>1804</v>
      </c>
      <c r="F579" t="s">
        <v>265</v>
      </c>
      <c r="G579" t="s">
        <v>266</v>
      </c>
      <c r="H579" t="s">
        <v>1337</v>
      </c>
    </row>
    <row r="580" spans="1:8" x14ac:dyDescent="0.3">
      <c r="A580" s="6">
        <v>7</v>
      </c>
      <c r="B580" t="s">
        <v>175</v>
      </c>
      <c r="C580" s="9" t="s">
        <v>932</v>
      </c>
      <c r="D580" s="9">
        <v>37</v>
      </c>
      <c r="E580" s="9" t="s">
        <v>1804</v>
      </c>
      <c r="F580" t="s">
        <v>268</v>
      </c>
      <c r="G580" t="s">
        <v>269</v>
      </c>
      <c r="H580" t="s">
        <v>1645</v>
      </c>
    </row>
    <row r="581" spans="1:8" x14ac:dyDescent="0.3">
      <c r="A581" s="6">
        <v>7</v>
      </c>
      <c r="B581" t="s">
        <v>175</v>
      </c>
      <c r="C581" s="9" t="s">
        <v>932</v>
      </c>
      <c r="D581" s="9">
        <v>26</v>
      </c>
      <c r="E581" s="9" t="s">
        <v>1804</v>
      </c>
      <c r="F581" t="s">
        <v>271</v>
      </c>
      <c r="G581" t="s">
        <v>269</v>
      </c>
      <c r="H581" t="s">
        <v>1646</v>
      </c>
    </row>
    <row r="582" spans="1:8" x14ac:dyDescent="0.3">
      <c r="A582" s="6">
        <v>7</v>
      </c>
      <c r="B582" t="s">
        <v>175</v>
      </c>
      <c r="C582" s="9" t="s">
        <v>1807</v>
      </c>
      <c r="D582" s="9">
        <v>1200</v>
      </c>
      <c r="E582" s="9" t="s">
        <v>1808</v>
      </c>
      <c r="F582" t="s">
        <v>272</v>
      </c>
      <c r="G582" t="s">
        <v>273</v>
      </c>
      <c r="H582" t="s">
        <v>997</v>
      </c>
    </row>
    <row r="583" spans="1:8" x14ac:dyDescent="0.3">
      <c r="A583" s="6">
        <v>7</v>
      </c>
      <c r="B583" t="s">
        <v>175</v>
      </c>
      <c r="C583" s="9" t="s">
        <v>1807</v>
      </c>
      <c r="D583" s="9">
        <v>1350</v>
      </c>
      <c r="E583" s="9" t="s">
        <v>1808</v>
      </c>
      <c r="F583" t="s">
        <v>275</v>
      </c>
      <c r="G583" t="s">
        <v>276</v>
      </c>
      <c r="H583" t="s">
        <v>1012</v>
      </c>
    </row>
    <row r="584" spans="1:8" x14ac:dyDescent="0.3">
      <c r="A584" s="6">
        <v>7</v>
      </c>
      <c r="B584" t="s">
        <v>175</v>
      </c>
      <c r="C584" s="9" t="s">
        <v>1807</v>
      </c>
      <c r="D584" s="9">
        <v>750</v>
      </c>
      <c r="E584" s="9" t="s">
        <v>1808</v>
      </c>
      <c r="F584" t="s">
        <v>278</v>
      </c>
      <c r="G584" t="s">
        <v>276</v>
      </c>
      <c r="H584" t="s">
        <v>1013</v>
      </c>
    </row>
    <row r="585" spans="1:8" x14ac:dyDescent="0.3">
      <c r="A585" s="6">
        <v>7</v>
      </c>
      <c r="B585" t="s">
        <v>175</v>
      </c>
      <c r="C585" s="9" t="s">
        <v>1807</v>
      </c>
      <c r="D585" s="9">
        <v>1400</v>
      </c>
      <c r="E585" s="9" t="s">
        <v>1808</v>
      </c>
      <c r="F585" t="s">
        <v>279</v>
      </c>
      <c r="G585" t="s">
        <v>447</v>
      </c>
      <c r="H585" t="s">
        <v>1822</v>
      </c>
    </row>
    <row r="586" spans="1:8" x14ac:dyDescent="0.3">
      <c r="A586" s="6">
        <v>7</v>
      </c>
      <c r="B586" t="s">
        <v>175</v>
      </c>
      <c r="C586" s="9" t="s">
        <v>1807</v>
      </c>
      <c r="D586" s="9">
        <v>1800</v>
      </c>
      <c r="E586" s="9" t="s">
        <v>1808</v>
      </c>
      <c r="F586" t="s">
        <v>280</v>
      </c>
      <c r="G586" t="s">
        <v>157</v>
      </c>
      <c r="H586" t="s">
        <v>1823</v>
      </c>
    </row>
    <row r="587" spans="1:8" x14ac:dyDescent="0.3">
      <c r="A587" s="6">
        <v>7</v>
      </c>
      <c r="B587" t="s">
        <v>175</v>
      </c>
      <c r="C587" s="9" t="s">
        <v>1807</v>
      </c>
      <c r="D587" s="9">
        <v>1440</v>
      </c>
      <c r="E587" s="9" t="s">
        <v>1808</v>
      </c>
      <c r="F587" t="s">
        <v>281</v>
      </c>
      <c r="G587" t="s">
        <v>283</v>
      </c>
      <c r="H587" t="s">
        <v>1824</v>
      </c>
    </row>
    <row r="588" spans="1:8" x14ac:dyDescent="0.3">
      <c r="A588" s="6">
        <v>7</v>
      </c>
      <c r="B588" t="s">
        <v>175</v>
      </c>
      <c r="C588" s="9" t="s">
        <v>1807</v>
      </c>
      <c r="D588" s="9">
        <v>1350</v>
      </c>
      <c r="E588" s="9" t="s">
        <v>1808</v>
      </c>
      <c r="F588" t="s">
        <v>282</v>
      </c>
      <c r="G588" t="s">
        <v>283</v>
      </c>
      <c r="H588" t="s">
        <v>1758</v>
      </c>
    </row>
    <row r="589" spans="1:8" x14ac:dyDescent="0.3">
      <c r="A589" s="6">
        <v>7</v>
      </c>
      <c r="B589" t="s">
        <v>175</v>
      </c>
      <c r="C589" s="9" t="s">
        <v>1807</v>
      </c>
      <c r="D589" s="9">
        <v>1350</v>
      </c>
      <c r="E589" s="9" t="s">
        <v>1808</v>
      </c>
      <c r="F589" t="s">
        <v>285</v>
      </c>
      <c r="G589" t="s">
        <v>286</v>
      </c>
      <c r="H589" t="s">
        <v>1759</v>
      </c>
    </row>
    <row r="590" spans="1:8" x14ac:dyDescent="0.3">
      <c r="A590" s="6">
        <v>7</v>
      </c>
      <c r="B590" t="s">
        <v>175</v>
      </c>
      <c r="C590" s="9" t="s">
        <v>1807</v>
      </c>
      <c r="D590" s="9">
        <v>1050</v>
      </c>
      <c r="E590" s="9" t="s">
        <v>1808</v>
      </c>
      <c r="F590" t="s">
        <v>288</v>
      </c>
      <c r="G590" t="s">
        <v>289</v>
      </c>
      <c r="H590" t="s">
        <v>1764</v>
      </c>
    </row>
    <row r="591" spans="1:8" x14ac:dyDescent="0.3">
      <c r="A591" s="6">
        <v>7</v>
      </c>
      <c r="B591" t="s">
        <v>175</v>
      </c>
      <c r="C591" s="9" t="s">
        <v>1807</v>
      </c>
      <c r="D591" s="9">
        <v>1050</v>
      </c>
      <c r="E591" s="9" t="s">
        <v>1808</v>
      </c>
      <c r="F591" t="s">
        <v>291</v>
      </c>
      <c r="G591" t="s">
        <v>292</v>
      </c>
      <c r="H591" t="s">
        <v>1678</v>
      </c>
    </row>
    <row r="592" spans="1:8" x14ac:dyDescent="0.3">
      <c r="A592" s="6">
        <v>7</v>
      </c>
      <c r="B592" t="s">
        <v>175</v>
      </c>
      <c r="C592" s="9" t="s">
        <v>932</v>
      </c>
      <c r="D592" s="9">
        <v>12</v>
      </c>
      <c r="E592" s="9" t="s">
        <v>1804</v>
      </c>
      <c r="F592" t="s">
        <v>294</v>
      </c>
      <c r="G592" t="s">
        <v>295</v>
      </c>
      <c r="H592" t="s">
        <v>1680</v>
      </c>
    </row>
    <row r="593" spans="1:8" x14ac:dyDescent="0.3">
      <c r="A593" s="6">
        <v>7</v>
      </c>
      <c r="B593" t="s">
        <v>175</v>
      </c>
      <c r="C593" s="9" t="s">
        <v>932</v>
      </c>
      <c r="D593" s="9">
        <v>24</v>
      </c>
      <c r="E593" s="9" t="s">
        <v>1804</v>
      </c>
      <c r="F593" t="s">
        <v>297</v>
      </c>
      <c r="G593" t="s">
        <v>298</v>
      </c>
      <c r="H593" t="s">
        <v>1771</v>
      </c>
    </row>
    <row r="594" spans="1:8" x14ac:dyDescent="0.3">
      <c r="A594" s="6">
        <v>7</v>
      </c>
      <c r="B594" t="s">
        <v>175</v>
      </c>
      <c r="C594" s="9" t="s">
        <v>932</v>
      </c>
      <c r="D594" s="9">
        <v>12</v>
      </c>
      <c r="E594" s="9" t="s">
        <v>1804</v>
      </c>
      <c r="F594" t="s">
        <v>300</v>
      </c>
      <c r="G594" t="s">
        <v>301</v>
      </c>
      <c r="H594" t="s">
        <v>1776</v>
      </c>
    </row>
    <row r="595" spans="1:8" x14ac:dyDescent="0.3">
      <c r="A595" s="6">
        <v>7</v>
      </c>
      <c r="B595" t="s">
        <v>175</v>
      </c>
      <c r="C595" s="9" t="s">
        <v>932</v>
      </c>
      <c r="D595" s="9">
        <v>24</v>
      </c>
      <c r="E595" s="9" t="s">
        <v>1804</v>
      </c>
      <c r="F595" t="s">
        <v>303</v>
      </c>
      <c r="G595" t="s">
        <v>301</v>
      </c>
      <c r="H595" t="s">
        <v>1758</v>
      </c>
    </row>
    <row r="596" spans="1:8" x14ac:dyDescent="0.3">
      <c r="A596" s="6">
        <v>7</v>
      </c>
      <c r="B596" t="s">
        <v>175</v>
      </c>
      <c r="C596" s="9" t="s">
        <v>1807</v>
      </c>
      <c r="D596" s="9">
        <v>320</v>
      </c>
      <c r="E596" s="9" t="s">
        <v>1808</v>
      </c>
      <c r="F596" t="s">
        <v>304</v>
      </c>
      <c r="G596" t="s">
        <v>305</v>
      </c>
      <c r="H596" t="s">
        <v>1785</v>
      </c>
    </row>
    <row r="597" spans="1:8" x14ac:dyDescent="0.3">
      <c r="A597" s="6">
        <v>7</v>
      </c>
      <c r="B597" t="s">
        <v>175</v>
      </c>
      <c r="C597" s="9" t="s">
        <v>932</v>
      </c>
      <c r="D597" s="9">
        <v>17</v>
      </c>
      <c r="E597" s="9" t="s">
        <v>1804</v>
      </c>
      <c r="F597" t="s">
        <v>307</v>
      </c>
      <c r="G597" t="s">
        <v>122</v>
      </c>
      <c r="H597" t="s">
        <v>1098</v>
      </c>
    </row>
    <row r="598" spans="1:8" x14ac:dyDescent="0.3">
      <c r="A598" s="6">
        <v>7</v>
      </c>
      <c r="B598" t="s">
        <v>175</v>
      </c>
      <c r="C598" s="9" t="s">
        <v>1807</v>
      </c>
      <c r="D598" s="9">
        <v>600</v>
      </c>
      <c r="E598" s="9" t="s">
        <v>1808</v>
      </c>
      <c r="F598" t="s">
        <v>308</v>
      </c>
      <c r="G598" t="s">
        <v>309</v>
      </c>
      <c r="H598" t="s">
        <v>1788</v>
      </c>
    </row>
    <row r="599" spans="1:8" x14ac:dyDescent="0.3">
      <c r="A599" s="6">
        <v>7</v>
      </c>
      <c r="B599" t="s">
        <v>175</v>
      </c>
      <c r="C599" s="9" t="s">
        <v>932</v>
      </c>
      <c r="D599" s="9">
        <v>18</v>
      </c>
      <c r="E599" s="9" t="s">
        <v>1804</v>
      </c>
      <c r="F599" t="s">
        <v>65</v>
      </c>
      <c r="G599" t="s">
        <v>66</v>
      </c>
      <c r="H599" t="s">
        <v>1791</v>
      </c>
    </row>
    <row r="600" spans="1:8" x14ac:dyDescent="0.3">
      <c r="A600" s="6">
        <v>7</v>
      </c>
      <c r="B600" t="s">
        <v>175</v>
      </c>
      <c r="C600" s="9" t="s">
        <v>932</v>
      </c>
      <c r="D600" s="9">
        <v>14</v>
      </c>
      <c r="E600" s="9" t="s">
        <v>1804</v>
      </c>
      <c r="F600" t="s">
        <v>311</v>
      </c>
      <c r="G600" t="s">
        <v>312</v>
      </c>
      <c r="H600" t="s">
        <v>951</v>
      </c>
    </row>
    <row r="601" spans="1:8" x14ac:dyDescent="0.3">
      <c r="A601" s="6">
        <v>7</v>
      </c>
      <c r="B601" t="s">
        <v>175</v>
      </c>
      <c r="C601" s="9" t="s">
        <v>932</v>
      </c>
      <c r="D601" s="9">
        <v>30</v>
      </c>
      <c r="E601" s="9" t="s">
        <v>1804</v>
      </c>
      <c r="F601" t="s">
        <v>314</v>
      </c>
      <c r="G601" t="s">
        <v>312</v>
      </c>
      <c r="H601" t="s">
        <v>953</v>
      </c>
    </row>
    <row r="602" spans="1:8" x14ac:dyDescent="0.3">
      <c r="A602" s="6">
        <v>7</v>
      </c>
      <c r="B602" t="s">
        <v>175</v>
      </c>
      <c r="C602" s="9" t="s">
        <v>1806</v>
      </c>
      <c r="D602" s="9">
        <v>9</v>
      </c>
      <c r="E602" s="9" t="s">
        <v>1804</v>
      </c>
      <c r="F602" t="s">
        <v>315</v>
      </c>
      <c r="G602" t="s">
        <v>126</v>
      </c>
      <c r="H602" t="s">
        <v>1581</v>
      </c>
    </row>
    <row r="603" spans="1:8" x14ac:dyDescent="0.3">
      <c r="A603" s="6">
        <v>7</v>
      </c>
      <c r="B603" t="s">
        <v>175</v>
      </c>
      <c r="C603" s="9" t="s">
        <v>1807</v>
      </c>
      <c r="D603" s="9">
        <v>420</v>
      </c>
      <c r="E603" s="9" t="s">
        <v>1808</v>
      </c>
      <c r="F603" t="s">
        <v>68</v>
      </c>
      <c r="G603" t="s">
        <v>69</v>
      </c>
      <c r="H603" t="s">
        <v>1551</v>
      </c>
    </row>
    <row r="604" spans="1:8" x14ac:dyDescent="0.3">
      <c r="A604" s="6">
        <v>7</v>
      </c>
      <c r="B604" t="s">
        <v>175</v>
      </c>
      <c r="C604" s="9" t="s">
        <v>932</v>
      </c>
      <c r="D604" s="9">
        <v>24</v>
      </c>
      <c r="E604" s="9" t="s">
        <v>1804</v>
      </c>
      <c r="F604" t="s">
        <v>316</v>
      </c>
      <c r="G604" t="s">
        <v>129</v>
      </c>
      <c r="H604" t="s">
        <v>1562</v>
      </c>
    </row>
    <row r="605" spans="1:8" x14ac:dyDescent="0.3">
      <c r="A605" s="6">
        <v>7</v>
      </c>
      <c r="B605" t="s">
        <v>175</v>
      </c>
      <c r="C605" s="9" t="s">
        <v>1807</v>
      </c>
      <c r="D605" s="9">
        <v>770</v>
      </c>
      <c r="E605" s="9" t="s">
        <v>1808</v>
      </c>
      <c r="F605" t="s">
        <v>71</v>
      </c>
      <c r="G605" t="s">
        <v>72</v>
      </c>
      <c r="H605" t="s">
        <v>1565</v>
      </c>
    </row>
    <row r="606" spans="1:8" x14ac:dyDescent="0.3">
      <c r="A606" s="6">
        <v>7</v>
      </c>
      <c r="B606" t="s">
        <v>175</v>
      </c>
      <c r="C606" s="9" t="s">
        <v>1807</v>
      </c>
      <c r="D606" s="9">
        <v>518</v>
      </c>
      <c r="E606" s="9" t="s">
        <v>1808</v>
      </c>
      <c r="F606" t="s">
        <v>74</v>
      </c>
      <c r="G606" t="s">
        <v>72</v>
      </c>
      <c r="H606" t="s">
        <v>1566</v>
      </c>
    </row>
    <row r="607" spans="1:8" x14ac:dyDescent="0.3">
      <c r="A607" s="6">
        <v>7</v>
      </c>
      <c r="B607" t="s">
        <v>175</v>
      </c>
      <c r="C607" s="9" t="s">
        <v>932</v>
      </c>
      <c r="D607" s="9">
        <v>15</v>
      </c>
      <c r="E607" s="9" t="s">
        <v>1804</v>
      </c>
      <c r="F607" t="s">
        <v>317</v>
      </c>
      <c r="G607" t="s">
        <v>1825</v>
      </c>
      <c r="H607" t="s">
        <v>1826</v>
      </c>
    </row>
    <row r="608" spans="1:8" x14ac:dyDescent="0.3">
      <c r="A608" s="6">
        <v>7</v>
      </c>
      <c r="B608" t="s">
        <v>175</v>
      </c>
      <c r="C608" s="9" t="s">
        <v>1807</v>
      </c>
      <c r="D608" s="9">
        <v>538</v>
      </c>
      <c r="E608" s="9" t="s">
        <v>1808</v>
      </c>
      <c r="F608" t="s">
        <v>75</v>
      </c>
      <c r="G608" t="s">
        <v>76</v>
      </c>
      <c r="H608" t="s">
        <v>1549</v>
      </c>
    </row>
    <row r="609" spans="1:8" x14ac:dyDescent="0.3">
      <c r="A609" s="6">
        <v>7</v>
      </c>
      <c r="B609" t="s">
        <v>175</v>
      </c>
      <c r="C609" s="9" t="s">
        <v>1807</v>
      </c>
      <c r="D609" s="9">
        <v>398</v>
      </c>
      <c r="E609" s="9" t="s">
        <v>1808</v>
      </c>
      <c r="F609" t="s">
        <v>318</v>
      </c>
      <c r="G609" t="s">
        <v>76</v>
      </c>
      <c r="H609" t="s">
        <v>1578</v>
      </c>
    </row>
    <row r="610" spans="1:8" x14ac:dyDescent="0.3">
      <c r="A610" s="6">
        <v>7</v>
      </c>
      <c r="B610" t="s">
        <v>175</v>
      </c>
      <c r="C610" s="9" t="s">
        <v>932</v>
      </c>
      <c r="D610" s="9">
        <v>24</v>
      </c>
      <c r="E610" s="9" t="s">
        <v>1804</v>
      </c>
      <c r="F610" t="s">
        <v>319</v>
      </c>
      <c r="G610" t="s">
        <v>320</v>
      </c>
      <c r="H610" t="s">
        <v>1245</v>
      </c>
    </row>
    <row r="611" spans="1:8" x14ac:dyDescent="0.3">
      <c r="A611" s="6">
        <v>7</v>
      </c>
      <c r="B611" t="s">
        <v>175</v>
      </c>
      <c r="C611" s="9" t="s">
        <v>932</v>
      </c>
      <c r="D611" s="9">
        <v>24</v>
      </c>
      <c r="E611" s="9" t="s">
        <v>1804</v>
      </c>
      <c r="F611" t="s">
        <v>322</v>
      </c>
      <c r="G611" t="s">
        <v>320</v>
      </c>
      <c r="H611" t="s">
        <v>1246</v>
      </c>
    </row>
    <row r="612" spans="1:8" x14ac:dyDescent="0.3">
      <c r="A612" s="6">
        <v>7</v>
      </c>
      <c r="B612" t="s">
        <v>175</v>
      </c>
      <c r="C612" s="9" t="s">
        <v>1809</v>
      </c>
      <c r="D612" s="9">
        <v>60</v>
      </c>
      <c r="E612" s="9" t="s">
        <v>1804</v>
      </c>
      <c r="F612" t="s">
        <v>78</v>
      </c>
      <c r="G612" t="s">
        <v>1810</v>
      </c>
      <c r="H612" t="s">
        <v>1811</v>
      </c>
    </row>
    <row r="613" spans="1:8" x14ac:dyDescent="0.3">
      <c r="A613" s="6">
        <v>7</v>
      </c>
      <c r="B613" t="s">
        <v>175</v>
      </c>
      <c r="C613" s="9" t="s">
        <v>963</v>
      </c>
      <c r="D613" s="9">
        <v>64</v>
      </c>
      <c r="E613" s="9" t="s">
        <v>1804</v>
      </c>
      <c r="F613" t="s">
        <v>166</v>
      </c>
      <c r="G613" t="s">
        <v>80</v>
      </c>
      <c r="H613" t="s">
        <v>1416</v>
      </c>
    </row>
    <row r="614" spans="1:8" x14ac:dyDescent="0.3">
      <c r="A614" s="6">
        <v>7</v>
      </c>
      <c r="B614" t="s">
        <v>175</v>
      </c>
      <c r="C614" s="9" t="s">
        <v>963</v>
      </c>
      <c r="D614" s="9">
        <v>72</v>
      </c>
      <c r="E614" s="9" t="s">
        <v>1804</v>
      </c>
      <c r="F614" t="s">
        <v>323</v>
      </c>
      <c r="G614" t="s">
        <v>190</v>
      </c>
      <c r="H614" t="s">
        <v>1338</v>
      </c>
    </row>
    <row r="615" spans="1:8" x14ac:dyDescent="0.3">
      <c r="A615" s="6">
        <v>7</v>
      </c>
      <c r="B615" t="s">
        <v>175</v>
      </c>
      <c r="C615" s="9" t="s">
        <v>963</v>
      </c>
      <c r="D615" s="9">
        <v>61</v>
      </c>
      <c r="E615" s="9" t="s">
        <v>1804</v>
      </c>
      <c r="F615" t="s">
        <v>324</v>
      </c>
      <c r="G615" t="s">
        <v>193</v>
      </c>
      <c r="H615" t="s">
        <v>1339</v>
      </c>
    </row>
    <row r="616" spans="1:8" x14ac:dyDescent="0.3">
      <c r="A616" s="6">
        <v>7</v>
      </c>
      <c r="B616" t="s">
        <v>175</v>
      </c>
      <c r="C616" s="9" t="s">
        <v>963</v>
      </c>
      <c r="D616" s="9">
        <v>64</v>
      </c>
      <c r="E616" s="9" t="s">
        <v>1804</v>
      </c>
      <c r="F616" t="s">
        <v>82</v>
      </c>
      <c r="G616" t="s">
        <v>83</v>
      </c>
      <c r="H616" t="s">
        <v>1340</v>
      </c>
    </row>
    <row r="617" spans="1:8" x14ac:dyDescent="0.3">
      <c r="A617" s="6">
        <v>7</v>
      </c>
      <c r="B617" t="s">
        <v>175</v>
      </c>
      <c r="C617" s="9" t="s">
        <v>963</v>
      </c>
      <c r="D617" s="9">
        <v>88</v>
      </c>
      <c r="E617" s="9" t="s">
        <v>1804</v>
      </c>
      <c r="F617" t="s">
        <v>84</v>
      </c>
      <c r="G617" t="s">
        <v>85</v>
      </c>
      <c r="H617" t="s">
        <v>1342</v>
      </c>
    </row>
    <row r="618" spans="1:8" x14ac:dyDescent="0.3">
      <c r="A618" s="6">
        <v>7</v>
      </c>
      <c r="B618" t="s">
        <v>175</v>
      </c>
      <c r="C618" s="9" t="s">
        <v>963</v>
      </c>
      <c r="D618" s="9">
        <v>70</v>
      </c>
      <c r="E618" s="9" t="s">
        <v>1804</v>
      </c>
      <c r="F618" t="s">
        <v>325</v>
      </c>
      <c r="G618" t="s">
        <v>196</v>
      </c>
      <c r="H618" t="s">
        <v>1344</v>
      </c>
    </row>
    <row r="619" spans="1:8" x14ac:dyDescent="0.3">
      <c r="A619" s="6">
        <v>7</v>
      </c>
      <c r="B619" t="s">
        <v>175</v>
      </c>
      <c r="C619" s="9" t="s">
        <v>963</v>
      </c>
      <c r="D619" s="9">
        <v>65</v>
      </c>
      <c r="E619" s="9" t="s">
        <v>1804</v>
      </c>
      <c r="F619" t="s">
        <v>326</v>
      </c>
      <c r="G619" t="s">
        <v>200</v>
      </c>
      <c r="H619" t="s">
        <v>1346</v>
      </c>
    </row>
    <row r="620" spans="1:8" x14ac:dyDescent="0.3">
      <c r="A620" s="6">
        <v>7</v>
      </c>
      <c r="B620" t="s">
        <v>175</v>
      </c>
      <c r="C620" s="9" t="s">
        <v>963</v>
      </c>
      <c r="D620" s="9">
        <v>70</v>
      </c>
      <c r="E620" s="9" t="s">
        <v>1804</v>
      </c>
      <c r="F620" t="s">
        <v>327</v>
      </c>
      <c r="G620" t="s">
        <v>459</v>
      </c>
      <c r="H620" t="s">
        <v>1347</v>
      </c>
    </row>
    <row r="621" spans="1:8" x14ac:dyDescent="0.3">
      <c r="A621" s="6">
        <v>7</v>
      </c>
      <c r="B621" t="s">
        <v>175</v>
      </c>
      <c r="C621" s="9" t="s">
        <v>963</v>
      </c>
      <c r="D621" s="9">
        <v>74</v>
      </c>
      <c r="E621" s="9" t="s">
        <v>1804</v>
      </c>
      <c r="F621" t="s">
        <v>87</v>
      </c>
      <c r="G621" t="s">
        <v>88</v>
      </c>
      <c r="H621" t="s">
        <v>1349</v>
      </c>
    </row>
    <row r="622" spans="1:8" x14ac:dyDescent="0.3">
      <c r="A622" s="6">
        <v>7</v>
      </c>
      <c r="B622" t="s">
        <v>175</v>
      </c>
      <c r="C622" s="9" t="s">
        <v>963</v>
      </c>
      <c r="D622" s="9">
        <v>77</v>
      </c>
      <c r="E622" s="9" t="s">
        <v>1804</v>
      </c>
      <c r="F622" t="s">
        <v>328</v>
      </c>
      <c r="G622" t="s">
        <v>329</v>
      </c>
      <c r="H622" t="s">
        <v>1350</v>
      </c>
    </row>
    <row r="623" spans="1:8" x14ac:dyDescent="0.3">
      <c r="A623" s="6">
        <v>7</v>
      </c>
      <c r="B623" t="s">
        <v>175</v>
      </c>
      <c r="C623" s="9" t="s">
        <v>963</v>
      </c>
      <c r="D623" s="9">
        <v>73</v>
      </c>
      <c r="E623" s="9" t="s">
        <v>1804</v>
      </c>
      <c r="F623" t="s">
        <v>90</v>
      </c>
      <c r="G623" t="s">
        <v>15</v>
      </c>
      <c r="H623" t="s">
        <v>1351</v>
      </c>
    </row>
    <row r="624" spans="1:8" x14ac:dyDescent="0.3">
      <c r="A624" s="6">
        <v>7</v>
      </c>
      <c r="B624" t="s">
        <v>175</v>
      </c>
      <c r="C624" s="9" t="s">
        <v>963</v>
      </c>
      <c r="D624" s="9">
        <v>77</v>
      </c>
      <c r="E624" s="9" t="s">
        <v>1804</v>
      </c>
      <c r="F624" t="s">
        <v>91</v>
      </c>
      <c r="G624" t="s">
        <v>92</v>
      </c>
      <c r="H624" t="s">
        <v>1353</v>
      </c>
    </row>
    <row r="625" spans="1:8" x14ac:dyDescent="0.3">
      <c r="A625" s="6">
        <v>7</v>
      </c>
      <c r="B625" t="s">
        <v>175</v>
      </c>
      <c r="C625" s="9" t="s">
        <v>963</v>
      </c>
      <c r="D625" s="9">
        <v>77</v>
      </c>
      <c r="E625" s="9" t="s">
        <v>1804</v>
      </c>
      <c r="F625" t="s">
        <v>331</v>
      </c>
      <c r="G625" t="s">
        <v>92</v>
      </c>
      <c r="H625" t="s">
        <v>1354</v>
      </c>
    </row>
    <row r="626" spans="1:8" x14ac:dyDescent="0.3">
      <c r="A626" s="6">
        <v>7</v>
      </c>
      <c r="B626" t="s">
        <v>175</v>
      </c>
      <c r="C626" s="9" t="s">
        <v>963</v>
      </c>
      <c r="D626" s="9">
        <v>76</v>
      </c>
      <c r="E626" s="9" t="s">
        <v>1804</v>
      </c>
      <c r="F626" t="s">
        <v>94</v>
      </c>
      <c r="G626" t="s">
        <v>95</v>
      </c>
      <c r="H626" t="s">
        <v>1355</v>
      </c>
    </row>
    <row r="627" spans="1:8" x14ac:dyDescent="0.3">
      <c r="A627" s="6">
        <v>7</v>
      </c>
      <c r="B627" t="s">
        <v>175</v>
      </c>
      <c r="C627" s="9" t="s">
        <v>963</v>
      </c>
      <c r="D627" s="9">
        <v>76</v>
      </c>
      <c r="E627" s="9" t="s">
        <v>1804</v>
      </c>
      <c r="F627" t="s">
        <v>332</v>
      </c>
      <c r="G627" t="s">
        <v>333</v>
      </c>
      <c r="H627" t="s">
        <v>1358</v>
      </c>
    </row>
    <row r="628" spans="1:8" x14ac:dyDescent="0.3">
      <c r="A628" s="6">
        <v>7</v>
      </c>
      <c r="B628" t="s">
        <v>175</v>
      </c>
      <c r="C628" s="9" t="s">
        <v>963</v>
      </c>
      <c r="D628" s="9">
        <v>76</v>
      </c>
      <c r="E628" s="9" t="s">
        <v>1804</v>
      </c>
      <c r="F628" t="s">
        <v>335</v>
      </c>
      <c r="G628" t="s">
        <v>336</v>
      </c>
      <c r="H628" t="s">
        <v>1359</v>
      </c>
    </row>
    <row r="629" spans="1:8" x14ac:dyDescent="0.3">
      <c r="A629" s="6">
        <v>7</v>
      </c>
      <c r="B629" t="s">
        <v>175</v>
      </c>
      <c r="C629" s="9" t="s">
        <v>963</v>
      </c>
      <c r="D629" s="9">
        <v>72</v>
      </c>
      <c r="E629" s="9" t="s">
        <v>1804</v>
      </c>
      <c r="F629" t="s">
        <v>338</v>
      </c>
      <c r="G629" t="s">
        <v>339</v>
      </c>
      <c r="H629" t="s">
        <v>1362</v>
      </c>
    </row>
    <row r="630" spans="1:8" x14ac:dyDescent="0.3">
      <c r="A630" s="6">
        <v>7</v>
      </c>
      <c r="B630" t="s">
        <v>175</v>
      </c>
      <c r="C630" s="9" t="s">
        <v>963</v>
      </c>
      <c r="D630" s="9">
        <v>60</v>
      </c>
      <c r="E630" s="9" t="s">
        <v>1804</v>
      </c>
      <c r="F630" t="s">
        <v>341</v>
      </c>
      <c r="G630" t="s">
        <v>209</v>
      </c>
      <c r="H630" t="s">
        <v>1363</v>
      </c>
    </row>
    <row r="631" spans="1:8" x14ac:dyDescent="0.3">
      <c r="A631" s="6">
        <v>7</v>
      </c>
      <c r="B631" t="s">
        <v>175</v>
      </c>
      <c r="C631" s="9" t="s">
        <v>963</v>
      </c>
      <c r="D631" s="9">
        <v>72</v>
      </c>
      <c r="E631" s="9" t="s">
        <v>1804</v>
      </c>
      <c r="F631" t="s">
        <v>101</v>
      </c>
      <c r="G631" t="s">
        <v>102</v>
      </c>
      <c r="H631" t="s">
        <v>1365</v>
      </c>
    </row>
    <row r="632" spans="1:8" x14ac:dyDescent="0.3">
      <c r="A632" s="6">
        <v>7</v>
      </c>
      <c r="B632" t="s">
        <v>175</v>
      </c>
      <c r="C632" s="9" t="s">
        <v>963</v>
      </c>
      <c r="D632" s="9">
        <v>60</v>
      </c>
      <c r="E632" s="9" t="s">
        <v>1804</v>
      </c>
      <c r="F632" t="s">
        <v>342</v>
      </c>
      <c r="G632" t="s">
        <v>343</v>
      </c>
      <c r="H632" t="s">
        <v>1191</v>
      </c>
    </row>
    <row r="633" spans="1:8" x14ac:dyDescent="0.3">
      <c r="A633" s="6">
        <v>7</v>
      </c>
      <c r="B633" t="s">
        <v>175</v>
      </c>
      <c r="C633" s="9" t="s">
        <v>963</v>
      </c>
      <c r="D633" s="9">
        <v>75</v>
      </c>
      <c r="E633" s="9" t="s">
        <v>1804</v>
      </c>
      <c r="F633" t="s">
        <v>345</v>
      </c>
      <c r="G633" t="s">
        <v>215</v>
      </c>
      <c r="H633" t="s">
        <v>1115</v>
      </c>
    </row>
    <row r="634" spans="1:8" x14ac:dyDescent="0.3">
      <c r="A634" s="6">
        <v>7</v>
      </c>
      <c r="B634" t="s">
        <v>175</v>
      </c>
      <c r="C634" s="9" t="s">
        <v>963</v>
      </c>
      <c r="D634" s="9">
        <v>60</v>
      </c>
      <c r="E634" s="9" t="s">
        <v>1804</v>
      </c>
      <c r="F634" t="s">
        <v>346</v>
      </c>
      <c r="G634" t="s">
        <v>347</v>
      </c>
      <c r="H634" t="s">
        <v>1532</v>
      </c>
    </row>
    <row r="635" spans="1:8" x14ac:dyDescent="0.3">
      <c r="A635" s="6">
        <v>7</v>
      </c>
      <c r="B635" t="s">
        <v>175</v>
      </c>
      <c r="C635" s="9" t="s">
        <v>963</v>
      </c>
      <c r="D635" s="9">
        <v>63</v>
      </c>
      <c r="E635" s="9" t="s">
        <v>1804</v>
      </c>
      <c r="F635" t="s">
        <v>348</v>
      </c>
      <c r="G635" t="s">
        <v>168</v>
      </c>
      <c r="H635" t="s">
        <v>1533</v>
      </c>
    </row>
    <row r="636" spans="1:8" x14ac:dyDescent="0.3">
      <c r="A636" s="6">
        <v>7</v>
      </c>
      <c r="B636" t="s">
        <v>175</v>
      </c>
      <c r="C636" s="9" t="s">
        <v>963</v>
      </c>
      <c r="D636" s="9">
        <v>60</v>
      </c>
      <c r="E636" s="9" t="s">
        <v>1804</v>
      </c>
      <c r="F636" t="s">
        <v>167</v>
      </c>
      <c r="G636" t="s">
        <v>168</v>
      </c>
      <c r="H636" t="s">
        <v>1533</v>
      </c>
    </row>
    <row r="637" spans="1:8" x14ac:dyDescent="0.3">
      <c r="A637" s="6">
        <v>7</v>
      </c>
      <c r="B637" t="s">
        <v>175</v>
      </c>
      <c r="C637" s="9" t="s">
        <v>963</v>
      </c>
      <c r="D637" s="9">
        <v>63</v>
      </c>
      <c r="E637" s="9" t="s">
        <v>1804</v>
      </c>
      <c r="F637" t="s">
        <v>349</v>
      </c>
      <c r="G637" t="s">
        <v>32</v>
      </c>
      <c r="H637" t="s">
        <v>1537</v>
      </c>
    </row>
    <row r="638" spans="1:8" x14ac:dyDescent="0.3">
      <c r="A638" s="6">
        <v>7</v>
      </c>
      <c r="B638" t="s">
        <v>175</v>
      </c>
      <c r="C638" s="9" t="s">
        <v>963</v>
      </c>
      <c r="D638" s="9">
        <v>63</v>
      </c>
      <c r="E638" s="9" t="s">
        <v>1804</v>
      </c>
      <c r="F638" t="s">
        <v>350</v>
      </c>
      <c r="G638" t="s">
        <v>504</v>
      </c>
      <c r="H638" t="s">
        <v>1538</v>
      </c>
    </row>
    <row r="639" spans="1:8" x14ac:dyDescent="0.3">
      <c r="A639" s="6">
        <v>7</v>
      </c>
      <c r="B639" t="s">
        <v>175</v>
      </c>
      <c r="C639" s="9" t="s">
        <v>963</v>
      </c>
      <c r="D639" s="9">
        <v>60</v>
      </c>
      <c r="E639" s="9" t="s">
        <v>1804</v>
      </c>
      <c r="F639" t="s">
        <v>107</v>
      </c>
      <c r="G639" t="s">
        <v>108</v>
      </c>
      <c r="H639" t="s">
        <v>1140</v>
      </c>
    </row>
    <row r="640" spans="1:8" x14ac:dyDescent="0.3">
      <c r="A640" s="6">
        <v>7</v>
      </c>
      <c r="B640" t="s">
        <v>175</v>
      </c>
      <c r="C640" s="9" t="s">
        <v>963</v>
      </c>
      <c r="D640" s="9">
        <v>60</v>
      </c>
      <c r="E640" s="9" t="s">
        <v>1804</v>
      </c>
      <c r="F640" t="s">
        <v>351</v>
      </c>
      <c r="G640" t="s">
        <v>38</v>
      </c>
      <c r="H640" t="s">
        <v>1142</v>
      </c>
    </row>
    <row r="641" spans="1:8" x14ac:dyDescent="0.3">
      <c r="A641" s="6">
        <v>7</v>
      </c>
      <c r="B641" t="s">
        <v>175</v>
      </c>
      <c r="C641" s="9" t="s">
        <v>963</v>
      </c>
      <c r="D641" s="9">
        <v>64</v>
      </c>
      <c r="E641" s="9" t="s">
        <v>1804</v>
      </c>
      <c r="F641" t="s">
        <v>352</v>
      </c>
      <c r="G641" t="s">
        <v>41</v>
      </c>
      <c r="H641" t="s">
        <v>1144</v>
      </c>
    </row>
    <row r="642" spans="1:8" x14ac:dyDescent="0.3">
      <c r="A642" s="6">
        <v>7</v>
      </c>
      <c r="B642" t="s">
        <v>175</v>
      </c>
      <c r="C642" s="9" t="s">
        <v>963</v>
      </c>
      <c r="D642" s="9">
        <v>60</v>
      </c>
      <c r="E642" s="9" t="s">
        <v>1804</v>
      </c>
      <c r="F642" t="s">
        <v>110</v>
      </c>
      <c r="G642" t="s">
        <v>41</v>
      </c>
      <c r="H642" t="s">
        <v>1144</v>
      </c>
    </row>
    <row r="643" spans="1:8" x14ac:dyDescent="0.3">
      <c r="A643" s="6">
        <v>7</v>
      </c>
      <c r="B643" t="s">
        <v>175</v>
      </c>
      <c r="C643" s="9" t="s">
        <v>963</v>
      </c>
      <c r="D643" s="9">
        <v>66</v>
      </c>
      <c r="E643" s="9" t="s">
        <v>1804</v>
      </c>
      <c r="F643" t="s">
        <v>353</v>
      </c>
      <c r="G643" t="s">
        <v>354</v>
      </c>
      <c r="H643" t="s">
        <v>1020</v>
      </c>
    </row>
    <row r="644" spans="1:8" x14ac:dyDescent="0.3">
      <c r="A644" s="6">
        <v>7</v>
      </c>
      <c r="B644" t="s">
        <v>175</v>
      </c>
      <c r="C644" s="9" t="s">
        <v>963</v>
      </c>
      <c r="D644" s="9">
        <v>64</v>
      </c>
      <c r="E644" s="9" t="s">
        <v>1804</v>
      </c>
      <c r="F644" t="s">
        <v>356</v>
      </c>
      <c r="G644" t="s">
        <v>115</v>
      </c>
      <c r="H644" t="s">
        <v>1121</v>
      </c>
    </row>
    <row r="645" spans="1:8" x14ac:dyDescent="0.3">
      <c r="A645" s="6">
        <v>7</v>
      </c>
      <c r="B645" t="s">
        <v>175</v>
      </c>
      <c r="C645" s="9" t="s">
        <v>963</v>
      </c>
      <c r="D645" s="9">
        <v>64</v>
      </c>
      <c r="E645" s="9" t="s">
        <v>1804</v>
      </c>
      <c r="F645" t="s">
        <v>173</v>
      </c>
      <c r="G645" t="s">
        <v>118</v>
      </c>
      <c r="H645" t="s">
        <v>1419</v>
      </c>
    </row>
    <row r="646" spans="1:8" x14ac:dyDescent="0.3">
      <c r="A646" s="6">
        <v>7</v>
      </c>
      <c r="B646" t="s">
        <v>175</v>
      </c>
      <c r="C646" s="9" t="s">
        <v>963</v>
      </c>
      <c r="D646" s="9">
        <v>60</v>
      </c>
      <c r="E646" s="9" t="s">
        <v>1804</v>
      </c>
      <c r="F646" t="s">
        <v>120</v>
      </c>
      <c r="G646" t="s">
        <v>51</v>
      </c>
      <c r="H646" t="s">
        <v>1590</v>
      </c>
    </row>
    <row r="647" spans="1:8" x14ac:dyDescent="0.3">
      <c r="A647" s="6">
        <v>7</v>
      </c>
      <c r="B647" t="s">
        <v>175</v>
      </c>
      <c r="C647" s="9" t="s">
        <v>963</v>
      </c>
      <c r="D647" s="9">
        <v>61</v>
      </c>
      <c r="E647" s="9" t="s">
        <v>1804</v>
      </c>
      <c r="F647" t="s">
        <v>357</v>
      </c>
      <c r="G647" t="s">
        <v>616</v>
      </c>
      <c r="H647" t="s">
        <v>1827</v>
      </c>
    </row>
    <row r="648" spans="1:8" x14ac:dyDescent="0.3">
      <c r="A648" s="6">
        <v>7</v>
      </c>
      <c r="B648" t="s">
        <v>175</v>
      </c>
      <c r="C648" s="9" t="s">
        <v>963</v>
      </c>
      <c r="D648" s="9">
        <v>60</v>
      </c>
      <c r="E648" s="9" t="s">
        <v>1804</v>
      </c>
      <c r="F648" t="s">
        <v>358</v>
      </c>
      <c r="G648" t="s">
        <v>359</v>
      </c>
      <c r="H648" t="s">
        <v>1021</v>
      </c>
    </row>
    <row r="649" spans="1:8" x14ac:dyDescent="0.3">
      <c r="A649" s="6">
        <v>7</v>
      </c>
      <c r="B649" t="s">
        <v>175</v>
      </c>
      <c r="C649" s="9" t="s">
        <v>963</v>
      </c>
      <c r="D649" s="9">
        <v>60</v>
      </c>
      <c r="E649" s="9" t="s">
        <v>1804</v>
      </c>
      <c r="F649" t="s">
        <v>361</v>
      </c>
      <c r="G649" t="s">
        <v>283</v>
      </c>
      <c r="H649" t="s">
        <v>1793</v>
      </c>
    </row>
    <row r="650" spans="1:8" x14ac:dyDescent="0.3">
      <c r="A650" s="6">
        <v>7</v>
      </c>
      <c r="B650" t="s">
        <v>175</v>
      </c>
      <c r="C650" s="9" t="s">
        <v>963</v>
      </c>
      <c r="D650" s="9">
        <v>64</v>
      </c>
      <c r="E650" s="9" t="s">
        <v>1804</v>
      </c>
      <c r="F650" t="s">
        <v>362</v>
      </c>
      <c r="G650" t="s">
        <v>298</v>
      </c>
      <c r="H650" t="s">
        <v>1794</v>
      </c>
    </row>
    <row r="651" spans="1:8" x14ac:dyDescent="0.3">
      <c r="A651" s="6">
        <v>7</v>
      </c>
      <c r="B651" t="s">
        <v>175</v>
      </c>
      <c r="C651" s="9" t="s">
        <v>963</v>
      </c>
      <c r="D651" s="9">
        <v>64</v>
      </c>
      <c r="E651" s="9" t="s">
        <v>1804</v>
      </c>
      <c r="F651" t="s">
        <v>363</v>
      </c>
      <c r="G651" t="s">
        <v>301</v>
      </c>
      <c r="H651" t="s">
        <v>1797</v>
      </c>
    </row>
    <row r="652" spans="1:8" x14ac:dyDescent="0.3">
      <c r="A652" s="6">
        <v>7</v>
      </c>
      <c r="B652" t="s">
        <v>175</v>
      </c>
      <c r="C652" s="9" t="s">
        <v>963</v>
      </c>
      <c r="D652" s="9">
        <v>83</v>
      </c>
      <c r="E652" s="9" t="s">
        <v>1804</v>
      </c>
      <c r="F652" t="s">
        <v>364</v>
      </c>
      <c r="G652" t="s">
        <v>301</v>
      </c>
      <c r="H652" t="s">
        <v>1795</v>
      </c>
    </row>
    <row r="653" spans="1:8" x14ac:dyDescent="0.3">
      <c r="A653" s="6">
        <v>7</v>
      </c>
      <c r="B653" t="s">
        <v>175</v>
      </c>
      <c r="C653" s="9" t="s">
        <v>963</v>
      </c>
      <c r="D653" s="9">
        <v>60</v>
      </c>
      <c r="E653" s="9" t="s">
        <v>1804</v>
      </c>
      <c r="F653" t="s">
        <v>365</v>
      </c>
      <c r="G653" t="s">
        <v>301</v>
      </c>
      <c r="H653" t="s">
        <v>1796</v>
      </c>
    </row>
    <row r="654" spans="1:8" x14ac:dyDescent="0.3">
      <c r="A654" s="6">
        <v>7</v>
      </c>
      <c r="B654" t="s">
        <v>175</v>
      </c>
      <c r="C654" s="9" t="s">
        <v>963</v>
      </c>
      <c r="D654" s="9">
        <v>60</v>
      </c>
      <c r="E654" s="9" t="s">
        <v>1804</v>
      </c>
      <c r="F654" t="s">
        <v>366</v>
      </c>
      <c r="G654" t="s">
        <v>301</v>
      </c>
      <c r="H654" t="s">
        <v>1797</v>
      </c>
    </row>
    <row r="655" spans="1:8" x14ac:dyDescent="0.3">
      <c r="A655" s="6">
        <v>7</v>
      </c>
      <c r="B655" t="s">
        <v>175</v>
      </c>
      <c r="C655" s="9" t="s">
        <v>963</v>
      </c>
      <c r="D655" s="9">
        <v>64</v>
      </c>
      <c r="E655" s="9" t="s">
        <v>1804</v>
      </c>
      <c r="F655" t="s">
        <v>121</v>
      </c>
      <c r="G655" t="s">
        <v>122</v>
      </c>
      <c r="H655" t="s">
        <v>1125</v>
      </c>
    </row>
    <row r="656" spans="1:8" x14ac:dyDescent="0.3">
      <c r="A656" s="6">
        <v>7</v>
      </c>
      <c r="B656" t="s">
        <v>175</v>
      </c>
      <c r="C656" s="9" t="s">
        <v>963</v>
      </c>
      <c r="D656" s="9">
        <v>60</v>
      </c>
      <c r="E656" s="9" t="s">
        <v>1804</v>
      </c>
      <c r="F656" t="s">
        <v>367</v>
      </c>
      <c r="G656" t="s">
        <v>368</v>
      </c>
      <c r="H656" t="s">
        <v>1688</v>
      </c>
    </row>
    <row r="657" spans="1:8" x14ac:dyDescent="0.3">
      <c r="A657" s="6">
        <v>7</v>
      </c>
      <c r="B657" t="s">
        <v>175</v>
      </c>
      <c r="C657" s="9" t="s">
        <v>963</v>
      </c>
      <c r="D657" s="9">
        <v>64</v>
      </c>
      <c r="E657" s="9" t="s">
        <v>1804</v>
      </c>
      <c r="F657" t="s">
        <v>370</v>
      </c>
      <c r="G657" t="s">
        <v>66</v>
      </c>
      <c r="H657" t="s">
        <v>1799</v>
      </c>
    </row>
    <row r="658" spans="1:8" x14ac:dyDescent="0.3">
      <c r="A658" s="6">
        <v>7</v>
      </c>
      <c r="B658" t="s">
        <v>175</v>
      </c>
      <c r="C658" s="9" t="s">
        <v>963</v>
      </c>
      <c r="D658" s="9">
        <v>60</v>
      </c>
      <c r="E658" s="9" t="s">
        <v>1804</v>
      </c>
      <c r="F658" t="s">
        <v>371</v>
      </c>
      <c r="G658" t="s">
        <v>66</v>
      </c>
      <c r="H658" t="s">
        <v>1799</v>
      </c>
    </row>
    <row r="659" spans="1:8" x14ac:dyDescent="0.3">
      <c r="A659" s="6">
        <v>7</v>
      </c>
      <c r="B659" t="s">
        <v>175</v>
      </c>
      <c r="C659" s="9" t="s">
        <v>963</v>
      </c>
      <c r="D659" s="9">
        <v>64</v>
      </c>
      <c r="E659" s="9" t="s">
        <v>1804</v>
      </c>
      <c r="F659" t="s">
        <v>372</v>
      </c>
      <c r="G659" t="s">
        <v>312</v>
      </c>
      <c r="H659" t="s">
        <v>973</v>
      </c>
    </row>
    <row r="660" spans="1:8" x14ac:dyDescent="0.3">
      <c r="A660" s="6">
        <v>7</v>
      </c>
      <c r="B660" t="s">
        <v>175</v>
      </c>
      <c r="C660" s="9" t="s">
        <v>963</v>
      </c>
      <c r="D660" s="9">
        <v>72</v>
      </c>
      <c r="E660" s="9" t="s">
        <v>1804</v>
      </c>
      <c r="F660" t="s">
        <v>373</v>
      </c>
      <c r="G660" t="s">
        <v>832</v>
      </c>
      <c r="H660" t="s">
        <v>1828</v>
      </c>
    </row>
    <row r="661" spans="1:8" x14ac:dyDescent="0.3">
      <c r="A661" s="6">
        <v>7</v>
      </c>
      <c r="B661" t="s">
        <v>175</v>
      </c>
      <c r="C661" s="9" t="s">
        <v>963</v>
      </c>
      <c r="D661" s="9">
        <v>64</v>
      </c>
      <c r="E661" s="9" t="s">
        <v>1804</v>
      </c>
      <c r="F661" t="s">
        <v>125</v>
      </c>
      <c r="G661" t="s">
        <v>126</v>
      </c>
      <c r="H661" t="s">
        <v>1581</v>
      </c>
    </row>
    <row r="662" spans="1:8" x14ac:dyDescent="0.3">
      <c r="A662" s="6">
        <v>7</v>
      </c>
      <c r="B662" t="s">
        <v>175</v>
      </c>
      <c r="C662" s="9" t="s">
        <v>963</v>
      </c>
      <c r="D662" s="9">
        <v>64</v>
      </c>
      <c r="E662" s="9" t="s">
        <v>1804</v>
      </c>
      <c r="F662" t="s">
        <v>374</v>
      </c>
      <c r="G662" t="s">
        <v>129</v>
      </c>
      <c r="H662" t="s">
        <v>1582</v>
      </c>
    </row>
    <row r="663" spans="1:8" x14ac:dyDescent="0.3">
      <c r="A663" s="6">
        <v>7</v>
      </c>
      <c r="B663" t="s">
        <v>175</v>
      </c>
      <c r="C663" s="9" t="s">
        <v>963</v>
      </c>
      <c r="D663" s="9">
        <v>60</v>
      </c>
      <c r="E663" s="9" t="s">
        <v>1804</v>
      </c>
      <c r="F663" t="s">
        <v>128</v>
      </c>
      <c r="G663" t="s">
        <v>129</v>
      </c>
      <c r="H663" t="s">
        <v>1582</v>
      </c>
    </row>
    <row r="664" spans="1:8" x14ac:dyDescent="0.3">
      <c r="A664" s="6">
        <v>7</v>
      </c>
      <c r="B664" t="s">
        <v>175</v>
      </c>
      <c r="C664" s="9" t="s">
        <v>963</v>
      </c>
      <c r="D664" s="9">
        <v>60</v>
      </c>
      <c r="E664" s="9" t="s">
        <v>1804</v>
      </c>
      <c r="F664" t="s">
        <v>375</v>
      </c>
      <c r="G664" t="s">
        <v>376</v>
      </c>
      <c r="H664" t="s">
        <v>1586</v>
      </c>
    </row>
    <row r="665" spans="1:8" x14ac:dyDescent="0.3">
      <c r="A665" s="6">
        <v>7</v>
      </c>
      <c r="B665" t="s">
        <v>175</v>
      </c>
      <c r="C665" s="9" t="s">
        <v>963</v>
      </c>
      <c r="D665" s="9">
        <v>60</v>
      </c>
      <c r="E665" s="9" t="s">
        <v>1804</v>
      </c>
      <c r="F665" t="s">
        <v>378</v>
      </c>
      <c r="G665" t="s">
        <v>320</v>
      </c>
      <c r="H665" t="s">
        <v>1247</v>
      </c>
    </row>
    <row r="666" spans="1:8" x14ac:dyDescent="0.3">
      <c r="A666" s="6">
        <v>7</v>
      </c>
      <c r="B666" t="s">
        <v>175</v>
      </c>
      <c r="C666" s="9" t="s">
        <v>963</v>
      </c>
      <c r="D666" s="9">
        <v>0</v>
      </c>
      <c r="E666" s="9" t="s">
        <v>1804</v>
      </c>
      <c r="F666" t="s">
        <v>379</v>
      </c>
      <c r="G666" t="s">
        <v>1829</v>
      </c>
      <c r="H666" t="s">
        <v>1830</v>
      </c>
    </row>
    <row r="667" spans="1:8" x14ac:dyDescent="0.3">
      <c r="A667" s="6">
        <v>7</v>
      </c>
      <c r="B667" t="s">
        <v>175</v>
      </c>
      <c r="C667" s="9" t="s">
        <v>932</v>
      </c>
      <c r="D667" s="9">
        <v>0</v>
      </c>
      <c r="E667" s="9" t="s">
        <v>1804</v>
      </c>
      <c r="F667" t="s">
        <v>379</v>
      </c>
      <c r="G667" t="s">
        <v>1829</v>
      </c>
      <c r="H667" t="s">
        <v>1830</v>
      </c>
    </row>
    <row r="668" spans="1:8" x14ac:dyDescent="0.3">
      <c r="A668" s="6">
        <v>7</v>
      </c>
      <c r="B668" t="s">
        <v>175</v>
      </c>
      <c r="C668" s="9" t="s">
        <v>1807</v>
      </c>
      <c r="D668" s="9">
        <v>0</v>
      </c>
      <c r="E668" s="9" t="s">
        <v>1808</v>
      </c>
      <c r="F668" t="s">
        <v>379</v>
      </c>
      <c r="G668" t="s">
        <v>1829</v>
      </c>
      <c r="H668" t="s">
        <v>1830</v>
      </c>
    </row>
    <row r="669" spans="1:8" x14ac:dyDescent="0.3">
      <c r="A669" s="6">
        <v>8</v>
      </c>
      <c r="B669" t="s">
        <v>132</v>
      </c>
      <c r="C669" s="9" t="s">
        <v>932</v>
      </c>
      <c r="D669" s="9">
        <v>15</v>
      </c>
      <c r="E669" s="9" t="s">
        <v>1804</v>
      </c>
      <c r="F669" t="s">
        <v>133</v>
      </c>
      <c r="G669" t="s">
        <v>134</v>
      </c>
      <c r="H669" t="s">
        <v>947</v>
      </c>
    </row>
    <row r="670" spans="1:8" x14ac:dyDescent="0.3">
      <c r="A670" s="6">
        <v>8</v>
      </c>
      <c r="B670" t="s">
        <v>132</v>
      </c>
      <c r="C670" s="9" t="s">
        <v>932</v>
      </c>
      <c r="D670" s="9">
        <v>30</v>
      </c>
      <c r="E670" s="9" t="s">
        <v>1804</v>
      </c>
      <c r="F670" t="s">
        <v>136</v>
      </c>
      <c r="G670" t="s">
        <v>134</v>
      </c>
      <c r="H670" t="s">
        <v>948</v>
      </c>
    </row>
    <row r="671" spans="1:8" x14ac:dyDescent="0.3">
      <c r="A671" s="6">
        <v>8</v>
      </c>
      <c r="B671" t="s">
        <v>132</v>
      </c>
      <c r="C671" s="9" t="s">
        <v>976</v>
      </c>
      <c r="D671" s="9">
        <v>62</v>
      </c>
      <c r="E671" s="9" t="s">
        <v>1804</v>
      </c>
      <c r="F671" t="s">
        <v>137</v>
      </c>
      <c r="G671" t="s">
        <v>138</v>
      </c>
      <c r="H671" t="s">
        <v>1367</v>
      </c>
    </row>
    <row r="672" spans="1:8" x14ac:dyDescent="0.3">
      <c r="A672" s="6">
        <v>8</v>
      </c>
      <c r="B672" t="s">
        <v>132</v>
      </c>
      <c r="C672" s="9" t="s">
        <v>932</v>
      </c>
      <c r="D672" s="9">
        <v>14</v>
      </c>
      <c r="E672" s="9" t="s">
        <v>1804</v>
      </c>
      <c r="F672" t="s">
        <v>140</v>
      </c>
      <c r="G672" t="s">
        <v>138</v>
      </c>
      <c r="H672" t="s">
        <v>1368</v>
      </c>
    </row>
    <row r="673" spans="1:8" x14ac:dyDescent="0.3">
      <c r="A673" s="6">
        <v>8</v>
      </c>
      <c r="B673" t="s">
        <v>132</v>
      </c>
      <c r="C673" s="9" t="s">
        <v>932</v>
      </c>
      <c r="D673" s="9">
        <v>15</v>
      </c>
      <c r="E673" s="9" t="s">
        <v>1804</v>
      </c>
      <c r="F673" t="s">
        <v>141</v>
      </c>
      <c r="G673" t="s">
        <v>138</v>
      </c>
      <c r="H673" t="s">
        <v>1371</v>
      </c>
    </row>
    <row r="674" spans="1:8" x14ac:dyDescent="0.3">
      <c r="A674" s="6">
        <v>8</v>
      </c>
      <c r="B674" t="s">
        <v>132</v>
      </c>
      <c r="C674" s="9" t="s">
        <v>932</v>
      </c>
      <c r="D674" s="9">
        <v>17</v>
      </c>
      <c r="E674" s="9" t="s">
        <v>1804</v>
      </c>
      <c r="F674" t="s">
        <v>142</v>
      </c>
      <c r="G674" t="s">
        <v>138</v>
      </c>
      <c r="H674" t="s">
        <v>1372</v>
      </c>
    </row>
    <row r="675" spans="1:8" x14ac:dyDescent="0.3">
      <c r="A675" s="6">
        <v>8</v>
      </c>
      <c r="B675" t="s">
        <v>132</v>
      </c>
      <c r="C675" s="9" t="s">
        <v>932</v>
      </c>
      <c r="D675" s="9">
        <v>12</v>
      </c>
      <c r="E675" s="9" t="s">
        <v>1804</v>
      </c>
      <c r="F675" t="s">
        <v>143</v>
      </c>
      <c r="G675" t="s">
        <v>144</v>
      </c>
      <c r="H675" t="s">
        <v>1694</v>
      </c>
    </row>
    <row r="676" spans="1:8" x14ac:dyDescent="0.3">
      <c r="A676" s="6">
        <v>8</v>
      </c>
      <c r="B676" t="s">
        <v>132</v>
      </c>
      <c r="C676" s="9" t="s">
        <v>932</v>
      </c>
      <c r="D676" s="9">
        <v>30</v>
      </c>
      <c r="E676" s="9" t="s">
        <v>1804</v>
      </c>
      <c r="F676" t="s">
        <v>146</v>
      </c>
      <c r="G676" t="s">
        <v>147</v>
      </c>
      <c r="H676" t="s">
        <v>1377</v>
      </c>
    </row>
    <row r="677" spans="1:8" x14ac:dyDescent="0.3">
      <c r="A677" s="6">
        <v>8</v>
      </c>
      <c r="B677" t="s">
        <v>132</v>
      </c>
      <c r="C677" s="9" t="s">
        <v>932</v>
      </c>
      <c r="D677" s="9">
        <v>15</v>
      </c>
      <c r="E677" s="9" t="s">
        <v>1804</v>
      </c>
      <c r="F677" t="s">
        <v>149</v>
      </c>
      <c r="G677" t="s">
        <v>147</v>
      </c>
      <c r="H677" t="s">
        <v>1378</v>
      </c>
    </row>
    <row r="678" spans="1:8" x14ac:dyDescent="0.3">
      <c r="A678" s="6">
        <v>8</v>
      </c>
      <c r="B678" t="s">
        <v>132</v>
      </c>
      <c r="C678" s="9" t="s">
        <v>932</v>
      </c>
      <c r="D678" s="9">
        <v>13</v>
      </c>
      <c r="E678" s="9" t="s">
        <v>1804</v>
      </c>
      <c r="F678" t="s">
        <v>150</v>
      </c>
      <c r="G678" t="s">
        <v>147</v>
      </c>
      <c r="H678" t="s">
        <v>1379</v>
      </c>
    </row>
    <row r="679" spans="1:8" x14ac:dyDescent="0.3">
      <c r="A679" s="6">
        <v>8</v>
      </c>
      <c r="B679" t="s">
        <v>132</v>
      </c>
      <c r="C679" s="9" t="s">
        <v>932</v>
      </c>
      <c r="D679" s="9">
        <v>19</v>
      </c>
      <c r="E679" s="9" t="s">
        <v>1804</v>
      </c>
      <c r="F679" t="s">
        <v>151</v>
      </c>
      <c r="G679" t="s">
        <v>147</v>
      </c>
      <c r="H679" t="s">
        <v>1380</v>
      </c>
    </row>
    <row r="680" spans="1:8" x14ac:dyDescent="0.3">
      <c r="A680" s="6">
        <v>8</v>
      </c>
      <c r="B680" t="s">
        <v>132</v>
      </c>
      <c r="C680" s="9" t="s">
        <v>1266</v>
      </c>
      <c r="D680" s="9">
        <v>12</v>
      </c>
      <c r="E680" s="9" t="s">
        <v>1804</v>
      </c>
      <c r="F680" t="s">
        <v>17</v>
      </c>
      <c r="G680" t="s">
        <v>15</v>
      </c>
      <c r="H680" t="s">
        <v>1291</v>
      </c>
    </row>
    <row r="681" spans="1:8" x14ac:dyDescent="0.3">
      <c r="A681" s="6">
        <v>8</v>
      </c>
      <c r="B681" t="s">
        <v>132</v>
      </c>
      <c r="C681" s="9" t="s">
        <v>1807</v>
      </c>
      <c r="D681" s="9">
        <v>165</v>
      </c>
      <c r="E681" s="9" t="s">
        <v>1808</v>
      </c>
      <c r="F681" t="s">
        <v>152</v>
      </c>
      <c r="G681" t="s">
        <v>26</v>
      </c>
      <c r="H681" t="s">
        <v>1335</v>
      </c>
    </row>
    <row r="682" spans="1:8" x14ac:dyDescent="0.3">
      <c r="A682" s="6">
        <v>8</v>
      </c>
      <c r="B682" t="s">
        <v>132</v>
      </c>
      <c r="C682" s="9" t="s">
        <v>932</v>
      </c>
      <c r="D682" s="9">
        <v>12</v>
      </c>
      <c r="E682" s="9" t="s">
        <v>1804</v>
      </c>
      <c r="F682" t="s">
        <v>153</v>
      </c>
      <c r="G682" t="s">
        <v>108</v>
      </c>
      <c r="H682" t="s">
        <v>1150</v>
      </c>
    </row>
    <row r="683" spans="1:8" x14ac:dyDescent="0.3">
      <c r="A683" s="6">
        <v>8</v>
      </c>
      <c r="B683" t="s">
        <v>132</v>
      </c>
      <c r="C683" s="9" t="s">
        <v>932</v>
      </c>
      <c r="D683" s="9">
        <v>18</v>
      </c>
      <c r="E683" s="9" t="s">
        <v>1804</v>
      </c>
      <c r="F683" t="s">
        <v>154</v>
      </c>
      <c r="G683" t="s">
        <v>108</v>
      </c>
      <c r="H683" t="s">
        <v>1151</v>
      </c>
    </row>
    <row r="684" spans="1:8" x14ac:dyDescent="0.3">
      <c r="A684" s="6">
        <v>8</v>
      </c>
      <c r="B684" t="s">
        <v>132</v>
      </c>
      <c r="C684" s="9" t="s">
        <v>932</v>
      </c>
      <c r="D684" s="9">
        <v>35</v>
      </c>
      <c r="E684" s="9" t="s">
        <v>1804</v>
      </c>
      <c r="F684" t="s">
        <v>46</v>
      </c>
      <c r="G684" t="s">
        <v>47</v>
      </c>
      <c r="H684" t="s">
        <v>1409</v>
      </c>
    </row>
    <row r="685" spans="1:8" x14ac:dyDescent="0.3">
      <c r="A685" s="6">
        <v>8</v>
      </c>
      <c r="B685" t="s">
        <v>132</v>
      </c>
      <c r="C685" s="9" t="s">
        <v>932</v>
      </c>
      <c r="D685" s="9">
        <v>12</v>
      </c>
      <c r="E685" s="9" t="s">
        <v>1804</v>
      </c>
      <c r="F685" t="s">
        <v>49</v>
      </c>
      <c r="G685" t="s">
        <v>47</v>
      </c>
      <c r="H685" t="s">
        <v>1410</v>
      </c>
    </row>
    <row r="686" spans="1:8" x14ac:dyDescent="0.3">
      <c r="A686" s="6">
        <v>8</v>
      </c>
      <c r="B686" t="s">
        <v>132</v>
      </c>
      <c r="C686" s="9" t="s">
        <v>932</v>
      </c>
      <c r="D686" s="9">
        <v>18</v>
      </c>
      <c r="E686" s="9" t="s">
        <v>1804</v>
      </c>
      <c r="F686" t="s">
        <v>155</v>
      </c>
      <c r="G686" t="s">
        <v>118</v>
      </c>
      <c r="H686" t="s">
        <v>1415</v>
      </c>
    </row>
    <row r="687" spans="1:8" x14ac:dyDescent="0.3">
      <c r="A687" s="6">
        <v>8</v>
      </c>
      <c r="B687" t="s">
        <v>132</v>
      </c>
      <c r="C687" s="9" t="s">
        <v>976</v>
      </c>
      <c r="D687" s="9">
        <v>66</v>
      </c>
      <c r="E687" s="9" t="s">
        <v>1804</v>
      </c>
      <c r="F687" t="s">
        <v>156</v>
      </c>
      <c r="G687" t="s">
        <v>157</v>
      </c>
      <c r="H687" t="s">
        <v>1746</v>
      </c>
    </row>
    <row r="688" spans="1:8" x14ac:dyDescent="0.3">
      <c r="A688" s="6">
        <v>8</v>
      </c>
      <c r="B688" t="s">
        <v>132</v>
      </c>
      <c r="C688" s="9" t="s">
        <v>932</v>
      </c>
      <c r="D688" s="9">
        <v>34</v>
      </c>
      <c r="E688" s="9" t="s">
        <v>1804</v>
      </c>
      <c r="F688" t="s">
        <v>159</v>
      </c>
      <c r="G688" t="s">
        <v>157</v>
      </c>
      <c r="H688" t="s">
        <v>1749</v>
      </c>
    </row>
    <row r="689" spans="1:8" x14ac:dyDescent="0.3">
      <c r="A689" s="6">
        <v>8</v>
      </c>
      <c r="B689" t="s">
        <v>132</v>
      </c>
      <c r="C689" s="9" t="s">
        <v>932</v>
      </c>
      <c r="D689" s="9">
        <v>16</v>
      </c>
      <c r="E689" s="9" t="s">
        <v>1804</v>
      </c>
      <c r="F689" t="s">
        <v>160</v>
      </c>
      <c r="G689" t="s">
        <v>157</v>
      </c>
      <c r="H689" t="s">
        <v>1753</v>
      </c>
    </row>
    <row r="690" spans="1:8" x14ac:dyDescent="0.3">
      <c r="A690" s="6">
        <v>8</v>
      </c>
      <c r="B690" t="s">
        <v>132</v>
      </c>
      <c r="C690" s="9" t="s">
        <v>1807</v>
      </c>
      <c r="D690" s="9">
        <v>420</v>
      </c>
      <c r="E690" s="9" t="s">
        <v>1808</v>
      </c>
      <c r="F690" t="s">
        <v>68</v>
      </c>
      <c r="G690" t="s">
        <v>69</v>
      </c>
      <c r="H690" t="s">
        <v>1551</v>
      </c>
    </row>
    <row r="691" spans="1:8" x14ac:dyDescent="0.3">
      <c r="A691" s="6">
        <v>8</v>
      </c>
      <c r="B691" t="s">
        <v>132</v>
      </c>
      <c r="C691" s="9" t="s">
        <v>1807</v>
      </c>
      <c r="D691" s="9">
        <v>770</v>
      </c>
      <c r="E691" s="9" t="s">
        <v>1808</v>
      </c>
      <c r="F691" t="s">
        <v>71</v>
      </c>
      <c r="G691" t="s">
        <v>72</v>
      </c>
      <c r="H691" t="s">
        <v>1565</v>
      </c>
    </row>
    <row r="692" spans="1:8" x14ac:dyDescent="0.3">
      <c r="A692" s="6">
        <v>8</v>
      </c>
      <c r="B692" t="s">
        <v>132</v>
      </c>
      <c r="C692" s="9" t="s">
        <v>1807</v>
      </c>
      <c r="D692" s="9">
        <v>518</v>
      </c>
      <c r="E692" s="9" t="s">
        <v>1808</v>
      </c>
      <c r="F692" t="s">
        <v>74</v>
      </c>
      <c r="G692" t="s">
        <v>72</v>
      </c>
      <c r="H692" t="s">
        <v>1566</v>
      </c>
    </row>
    <row r="693" spans="1:8" x14ac:dyDescent="0.3">
      <c r="A693" s="6">
        <v>8</v>
      </c>
      <c r="B693" t="s">
        <v>132</v>
      </c>
      <c r="C693" s="9" t="s">
        <v>1814</v>
      </c>
      <c r="D693" s="9">
        <v>10000</v>
      </c>
      <c r="E693" s="9" t="s">
        <v>1808</v>
      </c>
      <c r="F693" t="s">
        <v>161</v>
      </c>
      <c r="G693" t="s">
        <v>722</v>
      </c>
      <c r="H693" t="s">
        <v>1831</v>
      </c>
    </row>
    <row r="694" spans="1:8" x14ac:dyDescent="0.3">
      <c r="A694" s="6">
        <v>8</v>
      </c>
      <c r="B694" t="s">
        <v>132</v>
      </c>
      <c r="C694" s="9" t="s">
        <v>1814</v>
      </c>
      <c r="D694" s="9">
        <v>10000</v>
      </c>
      <c r="E694" s="9" t="s">
        <v>1808</v>
      </c>
      <c r="F694" t="s">
        <v>162</v>
      </c>
      <c r="G694" t="s">
        <v>273</v>
      </c>
      <c r="H694" t="s">
        <v>1816</v>
      </c>
    </row>
    <row r="695" spans="1:8" x14ac:dyDescent="0.3">
      <c r="A695" s="6">
        <v>8</v>
      </c>
      <c r="B695" t="s">
        <v>132</v>
      </c>
      <c r="C695" s="9" t="s">
        <v>1814</v>
      </c>
      <c r="D695" s="9">
        <v>10000</v>
      </c>
      <c r="E695" s="9" t="s">
        <v>1808</v>
      </c>
      <c r="F695" t="s">
        <v>163</v>
      </c>
      <c r="G695" t="s">
        <v>635</v>
      </c>
      <c r="H695" t="s">
        <v>1817</v>
      </c>
    </row>
    <row r="696" spans="1:8" x14ac:dyDescent="0.3">
      <c r="A696" s="6">
        <v>8</v>
      </c>
      <c r="B696" t="s">
        <v>132</v>
      </c>
      <c r="C696" s="9" t="s">
        <v>1814</v>
      </c>
      <c r="D696" s="9">
        <v>10000</v>
      </c>
      <c r="E696" s="9" t="s">
        <v>1808</v>
      </c>
      <c r="F696" t="s">
        <v>164</v>
      </c>
      <c r="G696" t="s">
        <v>276</v>
      </c>
      <c r="H696" t="s">
        <v>1832</v>
      </c>
    </row>
    <row r="697" spans="1:8" x14ac:dyDescent="0.3">
      <c r="A697" s="6">
        <v>8</v>
      </c>
      <c r="B697" t="s">
        <v>132</v>
      </c>
      <c r="C697" s="9" t="s">
        <v>1809</v>
      </c>
      <c r="D697" s="9">
        <v>60</v>
      </c>
      <c r="E697" s="9" t="s">
        <v>1804</v>
      </c>
      <c r="F697" t="s">
        <v>78</v>
      </c>
      <c r="G697" t="s">
        <v>1810</v>
      </c>
      <c r="H697" t="s">
        <v>1811</v>
      </c>
    </row>
    <row r="698" spans="1:8" x14ac:dyDescent="0.3">
      <c r="A698" s="6">
        <v>8</v>
      </c>
      <c r="B698" t="s">
        <v>132</v>
      </c>
      <c r="C698" s="9" t="s">
        <v>963</v>
      </c>
      <c r="D698" s="9">
        <v>62</v>
      </c>
      <c r="E698" s="9" t="s">
        <v>1804</v>
      </c>
      <c r="F698" t="s">
        <v>165</v>
      </c>
      <c r="G698" t="s">
        <v>134</v>
      </c>
      <c r="H698" t="s">
        <v>971</v>
      </c>
    </row>
    <row r="699" spans="1:8" x14ac:dyDescent="0.3">
      <c r="A699" s="6">
        <v>8</v>
      </c>
      <c r="B699" t="s">
        <v>132</v>
      </c>
      <c r="C699" s="9" t="s">
        <v>963</v>
      </c>
      <c r="D699" s="9">
        <v>64</v>
      </c>
      <c r="E699" s="9" t="s">
        <v>1804</v>
      </c>
      <c r="F699" t="s">
        <v>166</v>
      </c>
      <c r="G699" t="s">
        <v>80</v>
      </c>
      <c r="H699" t="s">
        <v>1416</v>
      </c>
    </row>
    <row r="700" spans="1:8" x14ac:dyDescent="0.3">
      <c r="A700" s="6">
        <v>8</v>
      </c>
      <c r="B700" t="s">
        <v>132</v>
      </c>
      <c r="C700" s="9" t="s">
        <v>963</v>
      </c>
      <c r="D700" s="9">
        <v>60</v>
      </c>
      <c r="E700" s="9" t="s">
        <v>1804</v>
      </c>
      <c r="F700" t="s">
        <v>79</v>
      </c>
      <c r="G700" t="s">
        <v>80</v>
      </c>
      <c r="H700" t="s">
        <v>1416</v>
      </c>
    </row>
    <row r="701" spans="1:8" x14ac:dyDescent="0.3">
      <c r="A701" s="6">
        <v>8</v>
      </c>
      <c r="B701" t="s">
        <v>132</v>
      </c>
      <c r="C701" s="9" t="s">
        <v>963</v>
      </c>
      <c r="D701" s="9">
        <v>73</v>
      </c>
      <c r="E701" s="9" t="s">
        <v>1804</v>
      </c>
      <c r="F701" t="s">
        <v>90</v>
      </c>
      <c r="G701" t="s">
        <v>15</v>
      </c>
      <c r="H701" t="s">
        <v>1351</v>
      </c>
    </row>
    <row r="702" spans="1:8" x14ac:dyDescent="0.3">
      <c r="A702" s="6">
        <v>8</v>
      </c>
      <c r="B702" t="s">
        <v>132</v>
      </c>
      <c r="C702" s="9" t="s">
        <v>963</v>
      </c>
      <c r="D702" s="9">
        <v>72</v>
      </c>
      <c r="E702" s="9" t="s">
        <v>1804</v>
      </c>
      <c r="F702" t="s">
        <v>101</v>
      </c>
      <c r="G702" t="s">
        <v>102</v>
      </c>
      <c r="H702" t="s">
        <v>1365</v>
      </c>
    </row>
    <row r="703" spans="1:8" x14ac:dyDescent="0.3">
      <c r="A703" s="6">
        <v>8</v>
      </c>
      <c r="B703" t="s">
        <v>132</v>
      </c>
      <c r="C703" s="9" t="s">
        <v>963</v>
      </c>
      <c r="D703" s="9">
        <v>60</v>
      </c>
      <c r="E703" s="9" t="s">
        <v>1804</v>
      </c>
      <c r="F703" t="s">
        <v>167</v>
      </c>
      <c r="G703" t="s">
        <v>168</v>
      </c>
      <c r="H703" t="s">
        <v>1533</v>
      </c>
    </row>
    <row r="704" spans="1:8" x14ac:dyDescent="0.3">
      <c r="A704" s="6">
        <v>8</v>
      </c>
      <c r="B704" t="s">
        <v>132</v>
      </c>
      <c r="C704" s="9" t="s">
        <v>963</v>
      </c>
      <c r="D704" s="9">
        <v>60</v>
      </c>
      <c r="E704" s="9" t="s">
        <v>1804</v>
      </c>
      <c r="F704" t="s">
        <v>170</v>
      </c>
      <c r="G704" t="s">
        <v>171</v>
      </c>
      <c r="H704" t="s">
        <v>1535</v>
      </c>
    </row>
    <row r="705" spans="1:8" x14ac:dyDescent="0.3">
      <c r="A705" s="6">
        <v>8</v>
      </c>
      <c r="B705" t="s">
        <v>132</v>
      </c>
      <c r="C705" s="9" t="s">
        <v>963</v>
      </c>
      <c r="D705" s="9">
        <v>60</v>
      </c>
      <c r="E705" s="9" t="s">
        <v>1804</v>
      </c>
      <c r="F705" t="s">
        <v>107</v>
      </c>
      <c r="G705" t="s">
        <v>108</v>
      </c>
      <c r="H705" t="s">
        <v>1140</v>
      </c>
    </row>
    <row r="706" spans="1:8" x14ac:dyDescent="0.3">
      <c r="A706" s="6">
        <v>8</v>
      </c>
      <c r="B706" t="s">
        <v>132</v>
      </c>
      <c r="C706" s="9" t="s">
        <v>963</v>
      </c>
      <c r="D706" s="9">
        <v>64</v>
      </c>
      <c r="E706" s="9" t="s">
        <v>1804</v>
      </c>
      <c r="F706" t="s">
        <v>173</v>
      </c>
      <c r="G706" t="s">
        <v>118</v>
      </c>
      <c r="H706" t="s">
        <v>1419</v>
      </c>
    </row>
    <row r="707" spans="1:8" x14ac:dyDescent="0.3">
      <c r="A707" s="6">
        <v>8</v>
      </c>
      <c r="B707" t="s">
        <v>132</v>
      </c>
      <c r="C707" s="9" t="s">
        <v>963</v>
      </c>
      <c r="D707" s="9">
        <v>60</v>
      </c>
      <c r="E707" s="9" t="s">
        <v>1804</v>
      </c>
      <c r="F707" t="s">
        <v>117</v>
      </c>
      <c r="G707" t="s">
        <v>118</v>
      </c>
      <c r="H707" t="s">
        <v>1419</v>
      </c>
    </row>
    <row r="708" spans="1:8" x14ac:dyDescent="0.3">
      <c r="A708" s="6">
        <v>8</v>
      </c>
      <c r="B708" t="s">
        <v>132</v>
      </c>
      <c r="C708" s="9" t="s">
        <v>963</v>
      </c>
      <c r="D708" s="9">
        <v>60</v>
      </c>
      <c r="E708" s="9" t="s">
        <v>1804</v>
      </c>
      <c r="F708" t="s">
        <v>120</v>
      </c>
      <c r="G708" t="s">
        <v>51</v>
      </c>
      <c r="H708" t="s">
        <v>1590</v>
      </c>
    </row>
    <row r="709" spans="1:8" x14ac:dyDescent="0.3">
      <c r="A709" s="6">
        <v>9</v>
      </c>
      <c r="B709" t="s">
        <v>9</v>
      </c>
      <c r="C709" s="9" t="s">
        <v>1807</v>
      </c>
      <c r="D709" s="9">
        <v>1230</v>
      </c>
      <c r="E709" s="9" t="s">
        <v>1808</v>
      </c>
      <c r="F709" t="s">
        <v>10</v>
      </c>
      <c r="G709" t="s">
        <v>526</v>
      </c>
      <c r="H709" t="s">
        <v>1812</v>
      </c>
    </row>
    <row r="710" spans="1:8" x14ac:dyDescent="0.3">
      <c r="A710" s="6">
        <v>9</v>
      </c>
      <c r="B710" t="s">
        <v>9</v>
      </c>
      <c r="C710" s="9" t="s">
        <v>1266</v>
      </c>
      <c r="D710" s="9">
        <v>40</v>
      </c>
      <c r="E710" s="9" t="s">
        <v>1804</v>
      </c>
      <c r="F710" t="s">
        <v>11</v>
      </c>
      <c r="G710" t="s">
        <v>12</v>
      </c>
      <c r="H710" t="s">
        <v>1277</v>
      </c>
    </row>
    <row r="711" spans="1:8" x14ac:dyDescent="0.3">
      <c r="A711" s="6">
        <v>9</v>
      </c>
      <c r="B711" t="s">
        <v>9</v>
      </c>
      <c r="C711" s="9" t="s">
        <v>932</v>
      </c>
      <c r="D711" s="9">
        <v>42</v>
      </c>
      <c r="E711" s="9" t="s">
        <v>1804</v>
      </c>
      <c r="F711" t="s">
        <v>14</v>
      </c>
      <c r="G711" t="s">
        <v>15</v>
      </c>
      <c r="H711" t="s">
        <v>1290</v>
      </c>
    </row>
    <row r="712" spans="1:8" x14ac:dyDescent="0.3">
      <c r="A712" s="6">
        <v>9</v>
      </c>
      <c r="B712" t="s">
        <v>9</v>
      </c>
      <c r="C712" s="9" t="s">
        <v>1266</v>
      </c>
      <c r="D712" s="9">
        <v>12</v>
      </c>
      <c r="E712" s="9" t="s">
        <v>1804</v>
      </c>
      <c r="F712" t="s">
        <v>17</v>
      </c>
      <c r="G712" t="s">
        <v>15</v>
      </c>
      <c r="H712" t="s">
        <v>1291</v>
      </c>
    </row>
    <row r="713" spans="1:8" x14ac:dyDescent="0.3">
      <c r="A713" s="6">
        <v>9</v>
      </c>
      <c r="B713" t="s">
        <v>9</v>
      </c>
      <c r="C713" s="9" t="s">
        <v>932</v>
      </c>
      <c r="D713" s="9">
        <v>49</v>
      </c>
      <c r="E713" s="9" t="s">
        <v>1804</v>
      </c>
      <c r="F713" t="s">
        <v>18</v>
      </c>
      <c r="G713" t="s">
        <v>19</v>
      </c>
      <c r="H713" t="s">
        <v>1300</v>
      </c>
    </row>
    <row r="714" spans="1:8" x14ac:dyDescent="0.3">
      <c r="A714" s="6">
        <v>9</v>
      </c>
      <c r="B714" t="s">
        <v>9</v>
      </c>
      <c r="C714" s="9" t="s">
        <v>932</v>
      </c>
      <c r="D714" s="9">
        <v>59</v>
      </c>
      <c r="E714" s="9" t="s">
        <v>1804</v>
      </c>
      <c r="F714" t="s">
        <v>21</v>
      </c>
      <c r="G714" t="s">
        <v>19</v>
      </c>
      <c r="H714" t="s">
        <v>1302</v>
      </c>
    </row>
    <row r="715" spans="1:8" x14ac:dyDescent="0.3">
      <c r="A715" s="6">
        <v>9</v>
      </c>
      <c r="B715" t="s">
        <v>9</v>
      </c>
      <c r="C715" s="9" t="s">
        <v>1806</v>
      </c>
      <c r="D715" s="9">
        <v>9</v>
      </c>
      <c r="E715" s="9" t="s">
        <v>1804</v>
      </c>
      <c r="F715" t="s">
        <v>22</v>
      </c>
      <c r="G715" t="s">
        <v>99</v>
      </c>
      <c r="H715" t="s">
        <v>1357</v>
      </c>
    </row>
    <row r="716" spans="1:8" x14ac:dyDescent="0.3">
      <c r="A716" s="6">
        <v>9</v>
      </c>
      <c r="B716" t="s">
        <v>9</v>
      </c>
      <c r="C716" s="9" t="s">
        <v>1806</v>
      </c>
      <c r="D716" s="9">
        <v>9</v>
      </c>
      <c r="E716" s="9" t="s">
        <v>1804</v>
      </c>
      <c r="F716" t="s">
        <v>23</v>
      </c>
      <c r="G716" t="s">
        <v>102</v>
      </c>
      <c r="H716" t="s">
        <v>1365</v>
      </c>
    </row>
    <row r="717" spans="1:8" x14ac:dyDescent="0.3">
      <c r="A717" s="6">
        <v>9</v>
      </c>
      <c r="B717" t="s">
        <v>9</v>
      </c>
      <c r="C717" s="9" t="s">
        <v>1807</v>
      </c>
      <c r="D717" s="9">
        <v>1350</v>
      </c>
      <c r="E717" s="9" t="s">
        <v>1808</v>
      </c>
      <c r="F717" t="s">
        <v>24</v>
      </c>
      <c r="G717" t="s">
        <v>414</v>
      </c>
      <c r="H717" t="s">
        <v>1332</v>
      </c>
    </row>
    <row r="718" spans="1:8" x14ac:dyDescent="0.3">
      <c r="A718" s="6">
        <v>9</v>
      </c>
      <c r="B718" t="s">
        <v>9</v>
      </c>
      <c r="C718" s="9" t="s">
        <v>1807</v>
      </c>
      <c r="D718" s="9">
        <v>120</v>
      </c>
      <c r="E718" s="9" t="s">
        <v>1808</v>
      </c>
      <c r="F718" t="s">
        <v>25</v>
      </c>
      <c r="G718" t="s">
        <v>26</v>
      </c>
      <c r="H718" t="s">
        <v>1333</v>
      </c>
    </row>
    <row r="719" spans="1:8" x14ac:dyDescent="0.3">
      <c r="A719" s="6">
        <v>9</v>
      </c>
      <c r="B719" t="s">
        <v>9</v>
      </c>
      <c r="C719" s="9" t="s">
        <v>932</v>
      </c>
      <c r="D719" s="9">
        <v>36</v>
      </c>
      <c r="E719" s="9" t="s">
        <v>1804</v>
      </c>
      <c r="F719" t="s">
        <v>28</v>
      </c>
      <c r="G719" t="s">
        <v>29</v>
      </c>
      <c r="H719" t="s">
        <v>1180</v>
      </c>
    </row>
    <row r="720" spans="1:8" x14ac:dyDescent="0.3">
      <c r="A720" s="6">
        <v>9</v>
      </c>
      <c r="B720" t="s">
        <v>9</v>
      </c>
      <c r="C720" s="9" t="s">
        <v>932</v>
      </c>
      <c r="D720" s="9">
        <v>24</v>
      </c>
      <c r="E720" s="9" t="s">
        <v>1804</v>
      </c>
      <c r="F720" t="s">
        <v>31</v>
      </c>
      <c r="G720" t="s">
        <v>32</v>
      </c>
      <c r="H720" t="s">
        <v>1483</v>
      </c>
    </row>
    <row r="721" spans="1:8" x14ac:dyDescent="0.3">
      <c r="A721" s="6">
        <v>9</v>
      </c>
      <c r="B721" t="s">
        <v>9</v>
      </c>
      <c r="C721" s="9" t="s">
        <v>932</v>
      </c>
      <c r="D721" s="9">
        <v>21</v>
      </c>
      <c r="E721" s="9" t="s">
        <v>1804</v>
      </c>
      <c r="F721" t="s">
        <v>34</v>
      </c>
      <c r="G721" t="s">
        <v>32</v>
      </c>
      <c r="H721" t="s">
        <v>1485</v>
      </c>
    </row>
    <row r="722" spans="1:8" x14ac:dyDescent="0.3">
      <c r="A722" s="6">
        <v>9</v>
      </c>
      <c r="B722" t="s">
        <v>9</v>
      </c>
      <c r="C722" s="9" t="s">
        <v>932</v>
      </c>
      <c r="D722" s="9">
        <v>30</v>
      </c>
      <c r="E722" s="9" t="s">
        <v>1804</v>
      </c>
      <c r="F722" t="s">
        <v>35</v>
      </c>
      <c r="G722" t="s">
        <v>32</v>
      </c>
      <c r="H722" t="s">
        <v>1489</v>
      </c>
    </row>
    <row r="723" spans="1:8" x14ac:dyDescent="0.3">
      <c r="A723" s="6">
        <v>9</v>
      </c>
      <c r="B723" t="s">
        <v>9</v>
      </c>
      <c r="C723" s="9" t="s">
        <v>932</v>
      </c>
      <c r="D723" s="9">
        <v>21</v>
      </c>
      <c r="E723" s="9" t="s">
        <v>1804</v>
      </c>
      <c r="F723" t="s">
        <v>36</v>
      </c>
      <c r="G723" t="s">
        <v>32</v>
      </c>
      <c r="H723" t="s">
        <v>1492</v>
      </c>
    </row>
    <row r="724" spans="1:8" x14ac:dyDescent="0.3">
      <c r="A724" s="6">
        <v>9</v>
      </c>
      <c r="B724" t="s">
        <v>9</v>
      </c>
      <c r="C724" s="9" t="s">
        <v>932</v>
      </c>
      <c r="D724" s="9">
        <v>27</v>
      </c>
      <c r="E724" s="9" t="s">
        <v>1804</v>
      </c>
      <c r="F724" t="s">
        <v>37</v>
      </c>
      <c r="G724" t="s">
        <v>38</v>
      </c>
      <c r="H724" t="s">
        <v>1164</v>
      </c>
    </row>
    <row r="725" spans="1:8" x14ac:dyDescent="0.3">
      <c r="A725" s="6">
        <v>9</v>
      </c>
      <c r="B725" t="s">
        <v>9</v>
      </c>
      <c r="C725" s="9" t="s">
        <v>932</v>
      </c>
      <c r="D725" s="9">
        <v>27</v>
      </c>
      <c r="E725" s="9" t="s">
        <v>1804</v>
      </c>
      <c r="F725" t="s">
        <v>40</v>
      </c>
      <c r="G725" t="s">
        <v>41</v>
      </c>
      <c r="H725" t="s">
        <v>1169</v>
      </c>
    </row>
    <row r="726" spans="1:8" x14ac:dyDescent="0.3">
      <c r="A726" s="6">
        <v>9</v>
      </c>
      <c r="B726" t="s">
        <v>9</v>
      </c>
      <c r="C726" s="9" t="s">
        <v>932</v>
      </c>
      <c r="D726" s="9">
        <v>15</v>
      </c>
      <c r="E726" s="9" t="s">
        <v>1804</v>
      </c>
      <c r="F726" t="s">
        <v>43</v>
      </c>
      <c r="G726" t="s">
        <v>44</v>
      </c>
      <c r="H726" t="s">
        <v>1050</v>
      </c>
    </row>
    <row r="727" spans="1:8" x14ac:dyDescent="0.3">
      <c r="A727" s="6">
        <v>9</v>
      </c>
      <c r="B727" t="s">
        <v>9</v>
      </c>
      <c r="C727" s="9" t="s">
        <v>932</v>
      </c>
      <c r="D727" s="9">
        <v>35</v>
      </c>
      <c r="E727" s="9" t="s">
        <v>1804</v>
      </c>
      <c r="F727" t="s">
        <v>46</v>
      </c>
      <c r="G727" t="s">
        <v>47</v>
      </c>
      <c r="H727" t="s">
        <v>1409</v>
      </c>
    </row>
    <row r="728" spans="1:8" x14ac:dyDescent="0.3">
      <c r="A728" s="6">
        <v>9</v>
      </c>
      <c r="B728" t="s">
        <v>9</v>
      </c>
      <c r="C728" s="9" t="s">
        <v>932</v>
      </c>
      <c r="D728" s="9">
        <v>12</v>
      </c>
      <c r="E728" s="9" t="s">
        <v>1804</v>
      </c>
      <c r="F728" t="s">
        <v>49</v>
      </c>
      <c r="G728" t="s">
        <v>47</v>
      </c>
      <c r="H728" t="s">
        <v>1410</v>
      </c>
    </row>
    <row r="729" spans="1:8" x14ac:dyDescent="0.3">
      <c r="A729" s="6">
        <v>9</v>
      </c>
      <c r="B729" t="s">
        <v>9</v>
      </c>
      <c r="C729" s="9" t="s">
        <v>932</v>
      </c>
      <c r="D729" s="9">
        <v>12</v>
      </c>
      <c r="E729" s="9" t="s">
        <v>1804</v>
      </c>
      <c r="F729" t="s">
        <v>50</v>
      </c>
      <c r="G729" t="s">
        <v>51</v>
      </c>
      <c r="H729" t="s">
        <v>1598</v>
      </c>
    </row>
    <row r="730" spans="1:8" x14ac:dyDescent="0.3">
      <c r="A730" s="6">
        <v>9</v>
      </c>
      <c r="B730" t="s">
        <v>9</v>
      </c>
      <c r="C730" s="9" t="s">
        <v>932</v>
      </c>
      <c r="D730" s="9">
        <v>12</v>
      </c>
      <c r="E730" s="9" t="s">
        <v>1804</v>
      </c>
      <c r="F730" t="s">
        <v>53</v>
      </c>
      <c r="G730" t="s">
        <v>54</v>
      </c>
      <c r="H730" t="s">
        <v>1603</v>
      </c>
    </row>
    <row r="731" spans="1:8" x14ac:dyDescent="0.3">
      <c r="A731" s="6">
        <v>9</v>
      </c>
      <c r="B731" t="s">
        <v>9</v>
      </c>
      <c r="C731" s="9" t="s">
        <v>932</v>
      </c>
      <c r="D731" s="9">
        <v>12</v>
      </c>
      <c r="E731" s="9" t="s">
        <v>1804</v>
      </c>
      <c r="F731" t="s">
        <v>56</v>
      </c>
      <c r="G731" t="s">
        <v>57</v>
      </c>
      <c r="H731" t="s">
        <v>1623</v>
      </c>
    </row>
    <row r="732" spans="1:8" x14ac:dyDescent="0.3">
      <c r="A732" s="6">
        <v>9</v>
      </c>
      <c r="B732" t="s">
        <v>9</v>
      </c>
      <c r="C732" s="9" t="s">
        <v>932</v>
      </c>
      <c r="D732" s="9">
        <v>15</v>
      </c>
      <c r="E732" s="9" t="s">
        <v>1804</v>
      </c>
      <c r="F732" t="s">
        <v>59</v>
      </c>
      <c r="G732" t="s">
        <v>60</v>
      </c>
      <c r="H732" t="s">
        <v>1078</v>
      </c>
    </row>
    <row r="733" spans="1:8" x14ac:dyDescent="0.3">
      <c r="A733" s="6">
        <v>9</v>
      </c>
      <c r="B733" t="s">
        <v>9</v>
      </c>
      <c r="C733" s="9" t="s">
        <v>932</v>
      </c>
      <c r="D733" s="9">
        <v>15</v>
      </c>
      <c r="E733" s="9" t="s">
        <v>1804</v>
      </c>
      <c r="F733" t="s">
        <v>62</v>
      </c>
      <c r="G733" t="s">
        <v>63</v>
      </c>
      <c r="H733" t="s">
        <v>1103</v>
      </c>
    </row>
    <row r="734" spans="1:8" x14ac:dyDescent="0.3">
      <c r="A734" s="6">
        <v>9</v>
      </c>
      <c r="B734" t="s">
        <v>9</v>
      </c>
      <c r="C734" s="9" t="s">
        <v>932</v>
      </c>
      <c r="D734" s="9">
        <v>18</v>
      </c>
      <c r="E734" s="9" t="s">
        <v>1804</v>
      </c>
      <c r="F734" t="s">
        <v>65</v>
      </c>
      <c r="G734" t="s">
        <v>66</v>
      </c>
      <c r="H734" t="s">
        <v>1791</v>
      </c>
    </row>
    <row r="735" spans="1:8" x14ac:dyDescent="0.3">
      <c r="A735" s="6">
        <v>9</v>
      </c>
      <c r="B735" t="s">
        <v>9</v>
      </c>
      <c r="C735" s="9" t="s">
        <v>1807</v>
      </c>
      <c r="D735" s="9">
        <v>420</v>
      </c>
      <c r="E735" s="9" t="s">
        <v>1808</v>
      </c>
      <c r="F735" t="s">
        <v>68</v>
      </c>
      <c r="G735" t="s">
        <v>69</v>
      </c>
      <c r="H735" t="s">
        <v>1551</v>
      </c>
    </row>
    <row r="736" spans="1:8" x14ac:dyDescent="0.3">
      <c r="A736" s="6">
        <v>9</v>
      </c>
      <c r="B736" t="s">
        <v>9</v>
      </c>
      <c r="C736" s="9" t="s">
        <v>1807</v>
      </c>
      <c r="D736" s="9">
        <v>770</v>
      </c>
      <c r="E736" s="9" t="s">
        <v>1808</v>
      </c>
      <c r="F736" t="s">
        <v>71</v>
      </c>
      <c r="G736" t="s">
        <v>72</v>
      </c>
      <c r="H736" t="s">
        <v>1565</v>
      </c>
    </row>
    <row r="737" spans="1:8" x14ac:dyDescent="0.3">
      <c r="A737" s="6">
        <v>9</v>
      </c>
      <c r="B737" t="s">
        <v>9</v>
      </c>
      <c r="C737" s="9" t="s">
        <v>1807</v>
      </c>
      <c r="D737" s="9">
        <v>518</v>
      </c>
      <c r="E737" s="9" t="s">
        <v>1808</v>
      </c>
      <c r="F737" t="s">
        <v>74</v>
      </c>
      <c r="G737" t="s">
        <v>72</v>
      </c>
      <c r="H737" t="s">
        <v>1566</v>
      </c>
    </row>
    <row r="738" spans="1:8" x14ac:dyDescent="0.3">
      <c r="A738" s="6">
        <v>9</v>
      </c>
      <c r="B738" t="s">
        <v>9</v>
      </c>
      <c r="C738" s="9" t="s">
        <v>1807</v>
      </c>
      <c r="D738" s="9">
        <v>538</v>
      </c>
      <c r="E738" s="9" t="s">
        <v>1808</v>
      </c>
      <c r="F738" t="s">
        <v>75</v>
      </c>
      <c r="G738" t="s">
        <v>76</v>
      </c>
      <c r="H738" t="s">
        <v>1549</v>
      </c>
    </row>
    <row r="739" spans="1:8" x14ac:dyDescent="0.3">
      <c r="A739" s="6">
        <v>9</v>
      </c>
      <c r="B739" t="s">
        <v>9</v>
      </c>
      <c r="C739" s="9" t="s">
        <v>1809</v>
      </c>
      <c r="D739" s="9">
        <v>60</v>
      </c>
      <c r="E739" s="9" t="s">
        <v>1804</v>
      </c>
      <c r="F739" t="s">
        <v>78</v>
      </c>
      <c r="G739" t="s">
        <v>1810</v>
      </c>
      <c r="H739" t="s">
        <v>1811</v>
      </c>
    </row>
    <row r="740" spans="1:8" x14ac:dyDescent="0.3">
      <c r="A740" s="6">
        <v>9</v>
      </c>
      <c r="B740" t="s">
        <v>9</v>
      </c>
      <c r="C740" s="9" t="s">
        <v>963</v>
      </c>
      <c r="D740" s="9">
        <v>60</v>
      </c>
      <c r="E740" s="9" t="s">
        <v>1804</v>
      </c>
      <c r="F740" t="s">
        <v>79</v>
      </c>
      <c r="G740" t="s">
        <v>80</v>
      </c>
      <c r="H740" t="s">
        <v>1416</v>
      </c>
    </row>
    <row r="741" spans="1:8" x14ac:dyDescent="0.3">
      <c r="A741" s="6">
        <v>9</v>
      </c>
      <c r="B741" t="s">
        <v>9</v>
      </c>
      <c r="C741" s="9" t="s">
        <v>963</v>
      </c>
      <c r="D741" s="9">
        <v>64</v>
      </c>
      <c r="E741" s="9" t="s">
        <v>1804</v>
      </c>
      <c r="F741" t="s">
        <v>82</v>
      </c>
      <c r="G741" t="s">
        <v>83</v>
      </c>
      <c r="H741" t="s">
        <v>1340</v>
      </c>
    </row>
    <row r="742" spans="1:8" x14ac:dyDescent="0.3">
      <c r="A742" s="6">
        <v>9</v>
      </c>
      <c r="B742" t="s">
        <v>9</v>
      </c>
      <c r="C742" s="9" t="s">
        <v>963</v>
      </c>
      <c r="D742" s="9">
        <v>88</v>
      </c>
      <c r="E742" s="9" t="s">
        <v>1804</v>
      </c>
      <c r="F742" t="s">
        <v>84</v>
      </c>
      <c r="G742" t="s">
        <v>85</v>
      </c>
      <c r="H742" t="s">
        <v>1342</v>
      </c>
    </row>
    <row r="743" spans="1:8" x14ac:dyDescent="0.3">
      <c r="A743" s="6">
        <v>9</v>
      </c>
      <c r="B743" t="s">
        <v>9</v>
      </c>
      <c r="C743" s="9" t="s">
        <v>963</v>
      </c>
      <c r="D743" s="9">
        <v>74</v>
      </c>
      <c r="E743" s="9" t="s">
        <v>1804</v>
      </c>
      <c r="F743" t="s">
        <v>87</v>
      </c>
      <c r="G743" t="s">
        <v>88</v>
      </c>
      <c r="H743" t="s">
        <v>1349</v>
      </c>
    </row>
    <row r="744" spans="1:8" x14ac:dyDescent="0.3">
      <c r="A744" s="6">
        <v>9</v>
      </c>
      <c r="B744" t="s">
        <v>9</v>
      </c>
      <c r="C744" s="9" t="s">
        <v>963</v>
      </c>
      <c r="D744" s="9">
        <v>73</v>
      </c>
      <c r="E744" s="9" t="s">
        <v>1804</v>
      </c>
      <c r="F744" t="s">
        <v>90</v>
      </c>
      <c r="G744" t="s">
        <v>15</v>
      </c>
      <c r="H744" t="s">
        <v>1351</v>
      </c>
    </row>
    <row r="745" spans="1:8" x14ac:dyDescent="0.3">
      <c r="A745" s="6">
        <v>9</v>
      </c>
      <c r="B745" t="s">
        <v>9</v>
      </c>
      <c r="C745" s="9" t="s">
        <v>963</v>
      </c>
      <c r="D745" s="9">
        <v>77</v>
      </c>
      <c r="E745" s="9" t="s">
        <v>1804</v>
      </c>
      <c r="F745" t="s">
        <v>91</v>
      </c>
      <c r="G745" t="s">
        <v>92</v>
      </c>
      <c r="H745" t="s">
        <v>1353</v>
      </c>
    </row>
    <row r="746" spans="1:8" x14ac:dyDescent="0.3">
      <c r="A746" s="6">
        <v>9</v>
      </c>
      <c r="B746" t="s">
        <v>9</v>
      </c>
      <c r="C746" s="9" t="s">
        <v>963</v>
      </c>
      <c r="D746" s="9">
        <v>76</v>
      </c>
      <c r="E746" s="9" t="s">
        <v>1804</v>
      </c>
      <c r="F746" t="s">
        <v>94</v>
      </c>
      <c r="G746" t="s">
        <v>95</v>
      </c>
      <c r="H746" t="s">
        <v>1355</v>
      </c>
    </row>
    <row r="747" spans="1:8" x14ac:dyDescent="0.3">
      <c r="A747" s="6">
        <v>9</v>
      </c>
      <c r="B747" t="s">
        <v>9</v>
      </c>
      <c r="C747" s="9" t="s">
        <v>963</v>
      </c>
      <c r="D747" s="9">
        <v>74</v>
      </c>
      <c r="E747" s="9" t="s">
        <v>1804</v>
      </c>
      <c r="F747" t="s">
        <v>97</v>
      </c>
      <c r="G747" t="s">
        <v>19</v>
      </c>
      <c r="H747" t="s">
        <v>1356</v>
      </c>
    </row>
    <row r="748" spans="1:8" x14ac:dyDescent="0.3">
      <c r="A748" s="6">
        <v>9</v>
      </c>
      <c r="B748" t="s">
        <v>9</v>
      </c>
      <c r="C748" s="9" t="s">
        <v>963</v>
      </c>
      <c r="D748" s="9">
        <v>77</v>
      </c>
      <c r="E748" s="9" t="s">
        <v>1804</v>
      </c>
      <c r="F748" t="s">
        <v>98</v>
      </c>
      <c r="G748" t="s">
        <v>99</v>
      </c>
      <c r="H748" t="s">
        <v>1357</v>
      </c>
    </row>
    <row r="749" spans="1:8" x14ac:dyDescent="0.3">
      <c r="A749" s="6">
        <v>9</v>
      </c>
      <c r="B749" t="s">
        <v>9</v>
      </c>
      <c r="C749" s="9" t="s">
        <v>963</v>
      </c>
      <c r="D749" s="9">
        <v>72</v>
      </c>
      <c r="E749" s="9" t="s">
        <v>1804</v>
      </c>
      <c r="F749" t="s">
        <v>101</v>
      </c>
      <c r="G749" t="s">
        <v>102</v>
      </c>
      <c r="H749" t="s">
        <v>1365</v>
      </c>
    </row>
    <row r="750" spans="1:8" x14ac:dyDescent="0.3">
      <c r="A750" s="6">
        <v>9</v>
      </c>
      <c r="B750" t="s">
        <v>9</v>
      </c>
      <c r="C750" s="9" t="s">
        <v>963</v>
      </c>
      <c r="D750" s="9">
        <v>63</v>
      </c>
      <c r="E750" s="9" t="s">
        <v>1804</v>
      </c>
      <c r="F750" t="s">
        <v>104</v>
      </c>
      <c r="G750" t="s">
        <v>401</v>
      </c>
      <c r="H750" t="s">
        <v>1185</v>
      </c>
    </row>
    <row r="751" spans="1:8" x14ac:dyDescent="0.3">
      <c r="A751" s="6">
        <v>9</v>
      </c>
      <c r="B751" t="s">
        <v>9</v>
      </c>
      <c r="C751" s="9" t="s">
        <v>963</v>
      </c>
      <c r="D751" s="9">
        <v>63</v>
      </c>
      <c r="E751" s="9" t="s">
        <v>1804</v>
      </c>
      <c r="F751" t="s">
        <v>105</v>
      </c>
      <c r="G751" t="s">
        <v>171</v>
      </c>
      <c r="H751" t="s">
        <v>1535</v>
      </c>
    </row>
    <row r="752" spans="1:8" x14ac:dyDescent="0.3">
      <c r="A752" s="6">
        <v>9</v>
      </c>
      <c r="B752" t="s">
        <v>9</v>
      </c>
      <c r="C752" s="9" t="s">
        <v>963</v>
      </c>
      <c r="D752" s="9">
        <v>60</v>
      </c>
      <c r="E752" s="9" t="s">
        <v>1804</v>
      </c>
      <c r="F752" t="s">
        <v>106</v>
      </c>
      <c r="G752" t="s">
        <v>32</v>
      </c>
      <c r="H752" t="s">
        <v>1537</v>
      </c>
    </row>
    <row r="753" spans="1:8" x14ac:dyDescent="0.3">
      <c r="A753" s="6">
        <v>9</v>
      </c>
      <c r="B753" t="s">
        <v>9</v>
      </c>
      <c r="C753" s="9" t="s">
        <v>963</v>
      </c>
      <c r="D753" s="9">
        <v>60</v>
      </c>
      <c r="E753" s="9" t="s">
        <v>1804</v>
      </c>
      <c r="F753" t="s">
        <v>107</v>
      </c>
      <c r="G753" t="s">
        <v>108</v>
      </c>
      <c r="H753" t="s">
        <v>1140</v>
      </c>
    </row>
    <row r="754" spans="1:8" x14ac:dyDescent="0.3">
      <c r="A754" s="6">
        <v>9</v>
      </c>
      <c r="B754" t="s">
        <v>9</v>
      </c>
      <c r="C754" s="9" t="s">
        <v>963</v>
      </c>
      <c r="D754" s="9">
        <v>60</v>
      </c>
      <c r="E754" s="9" t="s">
        <v>1804</v>
      </c>
      <c r="F754" t="s">
        <v>110</v>
      </c>
      <c r="G754" t="s">
        <v>41</v>
      </c>
      <c r="H754" t="s">
        <v>1144</v>
      </c>
    </row>
    <row r="755" spans="1:8" x14ac:dyDescent="0.3">
      <c r="A755" s="6">
        <v>9</v>
      </c>
      <c r="B755" t="s">
        <v>9</v>
      </c>
      <c r="C755" s="9" t="s">
        <v>963</v>
      </c>
      <c r="D755" s="9">
        <v>60</v>
      </c>
      <c r="E755" s="9" t="s">
        <v>1804</v>
      </c>
      <c r="F755" t="s">
        <v>111</v>
      </c>
      <c r="G755" t="s">
        <v>112</v>
      </c>
      <c r="H755" t="s">
        <v>1146</v>
      </c>
    </row>
    <row r="756" spans="1:8" x14ac:dyDescent="0.3">
      <c r="A756" s="6">
        <v>9</v>
      </c>
      <c r="B756" t="s">
        <v>9</v>
      </c>
      <c r="C756" s="9" t="s">
        <v>963</v>
      </c>
      <c r="D756" s="9">
        <v>60</v>
      </c>
      <c r="E756" s="9" t="s">
        <v>1804</v>
      </c>
      <c r="F756" t="s">
        <v>114</v>
      </c>
      <c r="G756" t="s">
        <v>115</v>
      </c>
      <c r="H756" t="s">
        <v>1121</v>
      </c>
    </row>
    <row r="757" spans="1:8" x14ac:dyDescent="0.3">
      <c r="A757" s="6">
        <v>9</v>
      </c>
      <c r="B757" t="s">
        <v>9</v>
      </c>
      <c r="C757" s="9" t="s">
        <v>963</v>
      </c>
      <c r="D757" s="9">
        <v>60</v>
      </c>
      <c r="E757" s="9" t="s">
        <v>1804</v>
      </c>
      <c r="F757" t="s">
        <v>117</v>
      </c>
      <c r="G757" t="s">
        <v>118</v>
      </c>
      <c r="H757" t="s">
        <v>1419</v>
      </c>
    </row>
    <row r="758" spans="1:8" x14ac:dyDescent="0.3">
      <c r="A758" s="6">
        <v>9</v>
      </c>
      <c r="B758" t="s">
        <v>9</v>
      </c>
      <c r="C758" s="9" t="s">
        <v>963</v>
      </c>
      <c r="D758" s="9">
        <v>60</v>
      </c>
      <c r="E758" s="9" t="s">
        <v>1804</v>
      </c>
      <c r="F758" t="s">
        <v>120</v>
      </c>
      <c r="G758" t="s">
        <v>51</v>
      </c>
      <c r="H758" t="s">
        <v>1590</v>
      </c>
    </row>
    <row r="759" spans="1:8" x14ac:dyDescent="0.3">
      <c r="A759" s="6">
        <v>9</v>
      </c>
      <c r="B759" t="s">
        <v>9</v>
      </c>
      <c r="C759" s="9" t="s">
        <v>963</v>
      </c>
      <c r="D759" s="9">
        <v>64</v>
      </c>
      <c r="E759" s="9" t="s">
        <v>1804</v>
      </c>
      <c r="F759" t="s">
        <v>121</v>
      </c>
      <c r="G759" t="s">
        <v>122</v>
      </c>
      <c r="H759" t="s">
        <v>1125</v>
      </c>
    </row>
    <row r="760" spans="1:8" x14ac:dyDescent="0.3">
      <c r="A760" s="6">
        <v>9</v>
      </c>
      <c r="B760" t="s">
        <v>9</v>
      </c>
      <c r="C760" s="9" t="s">
        <v>963</v>
      </c>
      <c r="D760" s="9">
        <v>63</v>
      </c>
      <c r="E760" s="9" t="s">
        <v>1804</v>
      </c>
      <c r="F760" t="s">
        <v>124</v>
      </c>
      <c r="G760" t="s">
        <v>572</v>
      </c>
      <c r="H760" t="s">
        <v>1024</v>
      </c>
    </row>
    <row r="761" spans="1:8" x14ac:dyDescent="0.3">
      <c r="A761" s="6">
        <v>9</v>
      </c>
      <c r="B761" t="s">
        <v>9</v>
      </c>
      <c r="C761" s="9" t="s">
        <v>963</v>
      </c>
      <c r="D761" s="9">
        <v>64</v>
      </c>
      <c r="E761" s="9" t="s">
        <v>1804</v>
      </c>
      <c r="F761" t="s">
        <v>125</v>
      </c>
      <c r="G761" t="s">
        <v>126</v>
      </c>
      <c r="H761" t="s">
        <v>1581</v>
      </c>
    </row>
    <row r="762" spans="1:8" x14ac:dyDescent="0.3">
      <c r="A762" s="6">
        <v>9</v>
      </c>
      <c r="B762" t="s">
        <v>9</v>
      </c>
      <c r="C762" s="9" t="s">
        <v>963</v>
      </c>
      <c r="D762" s="9">
        <v>60</v>
      </c>
      <c r="E762" s="9" t="s">
        <v>1804</v>
      </c>
      <c r="F762" t="s">
        <v>128</v>
      </c>
      <c r="G762" t="s">
        <v>129</v>
      </c>
      <c r="H762" t="s">
        <v>1582</v>
      </c>
    </row>
    <row r="763" spans="1:8" x14ac:dyDescent="0.3">
      <c r="A763" s="6">
        <v>9</v>
      </c>
      <c r="B763" t="s">
        <v>9</v>
      </c>
      <c r="C763" s="9" t="s">
        <v>963</v>
      </c>
      <c r="D763" s="9">
        <v>60</v>
      </c>
      <c r="E763" s="9" t="s">
        <v>1804</v>
      </c>
      <c r="F763" t="s">
        <v>131</v>
      </c>
      <c r="G763" t="s">
        <v>376</v>
      </c>
      <c r="H763" t="s">
        <v>1818</v>
      </c>
    </row>
    <row r="764" spans="1:8" x14ac:dyDescent="0.3">
      <c r="A764" s="6">
        <v>10</v>
      </c>
      <c r="B764" t="s">
        <v>886</v>
      </c>
      <c r="C764" s="9" t="s">
        <v>932</v>
      </c>
      <c r="D764" s="9">
        <v>26</v>
      </c>
      <c r="E764" s="9" t="s">
        <v>1804</v>
      </c>
      <c r="F764" t="s">
        <v>859</v>
      </c>
      <c r="G764" t="s">
        <v>860</v>
      </c>
      <c r="H764" t="s">
        <v>935</v>
      </c>
    </row>
    <row r="765" spans="1:8" x14ac:dyDescent="0.3">
      <c r="A765" s="6">
        <v>10</v>
      </c>
      <c r="B765" t="s">
        <v>886</v>
      </c>
      <c r="C765" s="9" t="s">
        <v>932</v>
      </c>
      <c r="D765" s="9">
        <v>30</v>
      </c>
      <c r="E765" s="9" t="s">
        <v>1804</v>
      </c>
      <c r="F765" t="s">
        <v>176</v>
      </c>
      <c r="G765" t="s">
        <v>177</v>
      </c>
      <c r="H765" t="s">
        <v>1381</v>
      </c>
    </row>
    <row r="766" spans="1:8" x14ac:dyDescent="0.3">
      <c r="A766" s="6">
        <v>10</v>
      </c>
      <c r="B766" t="s">
        <v>886</v>
      </c>
      <c r="C766" s="9" t="s">
        <v>932</v>
      </c>
      <c r="D766" s="9">
        <v>18</v>
      </c>
      <c r="E766" s="9" t="s">
        <v>1804</v>
      </c>
      <c r="F766" t="s">
        <v>535</v>
      </c>
      <c r="G766" t="s">
        <v>177</v>
      </c>
      <c r="H766" t="s">
        <v>1383</v>
      </c>
    </row>
    <row r="767" spans="1:8" x14ac:dyDescent="0.3">
      <c r="A767" s="6">
        <v>10</v>
      </c>
      <c r="B767" t="s">
        <v>886</v>
      </c>
      <c r="C767" s="9" t="s">
        <v>932</v>
      </c>
      <c r="D767" s="9">
        <v>24</v>
      </c>
      <c r="E767" s="9" t="s">
        <v>1804</v>
      </c>
      <c r="F767" t="s">
        <v>536</v>
      </c>
      <c r="G767" t="s">
        <v>537</v>
      </c>
      <c r="H767" t="s">
        <v>1384</v>
      </c>
    </row>
    <row r="768" spans="1:8" x14ac:dyDescent="0.3">
      <c r="A768" s="6">
        <v>10</v>
      </c>
      <c r="B768" t="s">
        <v>886</v>
      </c>
      <c r="C768" s="9" t="s">
        <v>1807</v>
      </c>
      <c r="D768" s="9">
        <v>1230</v>
      </c>
      <c r="E768" s="9" t="s">
        <v>1808</v>
      </c>
      <c r="F768" t="s">
        <v>10</v>
      </c>
      <c r="G768" t="s">
        <v>526</v>
      </c>
      <c r="H768" t="s">
        <v>1812</v>
      </c>
    </row>
    <row r="769" spans="1:8" x14ac:dyDescent="0.3">
      <c r="A769" s="6">
        <v>10</v>
      </c>
      <c r="B769" t="s">
        <v>886</v>
      </c>
      <c r="C769" s="9" t="s">
        <v>932</v>
      </c>
      <c r="D769" s="9">
        <v>37</v>
      </c>
      <c r="E769" s="9" t="s">
        <v>1804</v>
      </c>
      <c r="F769" t="s">
        <v>198</v>
      </c>
      <c r="G769" t="s">
        <v>196</v>
      </c>
      <c r="H769" t="s">
        <v>1267</v>
      </c>
    </row>
    <row r="770" spans="1:8" x14ac:dyDescent="0.3">
      <c r="A770" s="6">
        <v>10</v>
      </c>
      <c r="B770" t="s">
        <v>886</v>
      </c>
      <c r="C770" s="9" t="s">
        <v>932</v>
      </c>
      <c r="D770" s="9">
        <v>30</v>
      </c>
      <c r="E770" s="9" t="s">
        <v>1804</v>
      </c>
      <c r="F770" t="s">
        <v>887</v>
      </c>
      <c r="G770" t="s">
        <v>888</v>
      </c>
      <c r="H770" t="s">
        <v>1270</v>
      </c>
    </row>
    <row r="771" spans="1:8" x14ac:dyDescent="0.3">
      <c r="A771" s="6">
        <v>10</v>
      </c>
      <c r="B771" t="s">
        <v>886</v>
      </c>
      <c r="C771" s="9" t="s">
        <v>932</v>
      </c>
      <c r="D771" s="9">
        <v>42</v>
      </c>
      <c r="E771" s="9" t="s">
        <v>1804</v>
      </c>
      <c r="F771" t="s">
        <v>14</v>
      </c>
      <c r="G771" t="s">
        <v>15</v>
      </c>
      <c r="H771" t="s">
        <v>1290</v>
      </c>
    </row>
    <row r="772" spans="1:8" x14ac:dyDescent="0.3">
      <c r="A772" s="6">
        <v>10</v>
      </c>
      <c r="B772" t="s">
        <v>886</v>
      </c>
      <c r="C772" s="9" t="s">
        <v>932</v>
      </c>
      <c r="D772" s="9">
        <v>12</v>
      </c>
      <c r="E772" s="9" t="s">
        <v>1804</v>
      </c>
      <c r="F772" t="s">
        <v>204</v>
      </c>
      <c r="G772" t="s">
        <v>15</v>
      </c>
      <c r="H772" t="s">
        <v>1292</v>
      </c>
    </row>
    <row r="773" spans="1:8" x14ac:dyDescent="0.3">
      <c r="A773" s="6">
        <v>10</v>
      </c>
      <c r="B773" t="s">
        <v>886</v>
      </c>
      <c r="C773" s="9" t="s">
        <v>932</v>
      </c>
      <c r="D773" s="9">
        <v>43</v>
      </c>
      <c r="E773" s="9" t="s">
        <v>1804</v>
      </c>
      <c r="F773" t="s">
        <v>206</v>
      </c>
      <c r="G773" t="s">
        <v>92</v>
      </c>
      <c r="H773" t="s">
        <v>1296</v>
      </c>
    </row>
    <row r="774" spans="1:8" x14ac:dyDescent="0.3">
      <c r="A774" s="6">
        <v>10</v>
      </c>
      <c r="B774" t="s">
        <v>886</v>
      </c>
      <c r="C774" s="9" t="s">
        <v>1806</v>
      </c>
      <c r="D774" s="9">
        <v>9</v>
      </c>
      <c r="E774" s="9" t="s">
        <v>1804</v>
      </c>
      <c r="F774" t="s">
        <v>540</v>
      </c>
      <c r="G774" t="s">
        <v>92</v>
      </c>
      <c r="H774" t="s">
        <v>1353</v>
      </c>
    </row>
    <row r="775" spans="1:8" x14ac:dyDescent="0.3">
      <c r="A775" s="6">
        <v>10</v>
      </c>
      <c r="B775" t="s">
        <v>886</v>
      </c>
      <c r="C775" s="9" t="s">
        <v>1806</v>
      </c>
      <c r="D775" s="9">
        <v>9</v>
      </c>
      <c r="E775" s="9" t="s">
        <v>1804</v>
      </c>
      <c r="F775" t="s">
        <v>890</v>
      </c>
      <c r="G775" t="s">
        <v>333</v>
      </c>
      <c r="H775" t="s">
        <v>1358</v>
      </c>
    </row>
    <row r="776" spans="1:8" x14ac:dyDescent="0.3">
      <c r="A776" s="6">
        <v>10</v>
      </c>
      <c r="B776" t="s">
        <v>886</v>
      </c>
      <c r="C776" s="9" t="s">
        <v>932</v>
      </c>
      <c r="D776" s="9">
        <v>24</v>
      </c>
      <c r="E776" s="9" t="s">
        <v>1804</v>
      </c>
      <c r="F776" t="s">
        <v>891</v>
      </c>
      <c r="G776" t="s">
        <v>892</v>
      </c>
      <c r="H776" t="s">
        <v>1312</v>
      </c>
    </row>
    <row r="777" spans="1:8" x14ac:dyDescent="0.3">
      <c r="A777" s="6">
        <v>10</v>
      </c>
      <c r="B777" t="s">
        <v>886</v>
      </c>
      <c r="C777" s="9" t="s">
        <v>1806</v>
      </c>
      <c r="D777" s="9">
        <v>9</v>
      </c>
      <c r="E777" s="9" t="s">
        <v>1804</v>
      </c>
      <c r="F777" t="s">
        <v>894</v>
      </c>
      <c r="G777" t="s">
        <v>462</v>
      </c>
      <c r="H777" t="s">
        <v>1360</v>
      </c>
    </row>
    <row r="778" spans="1:8" x14ac:dyDescent="0.3">
      <c r="A778" s="6">
        <v>10</v>
      </c>
      <c r="B778" t="s">
        <v>886</v>
      </c>
      <c r="C778" s="9" t="s">
        <v>932</v>
      </c>
      <c r="D778" s="9">
        <v>48</v>
      </c>
      <c r="E778" s="9" t="s">
        <v>1804</v>
      </c>
      <c r="F778" t="s">
        <v>895</v>
      </c>
      <c r="G778" t="s">
        <v>339</v>
      </c>
      <c r="H778" t="s">
        <v>1324</v>
      </c>
    </row>
    <row r="779" spans="1:8" x14ac:dyDescent="0.3">
      <c r="A779" s="6">
        <v>10</v>
      </c>
      <c r="B779" t="s">
        <v>886</v>
      </c>
      <c r="C779" s="9" t="s">
        <v>932</v>
      </c>
      <c r="D779" s="9">
        <v>31</v>
      </c>
      <c r="E779" s="9" t="s">
        <v>1804</v>
      </c>
      <c r="F779" t="s">
        <v>208</v>
      </c>
      <c r="G779" t="s">
        <v>209</v>
      </c>
      <c r="H779" t="s">
        <v>1325</v>
      </c>
    </row>
    <row r="780" spans="1:8" x14ac:dyDescent="0.3">
      <c r="A780" s="6">
        <v>10</v>
      </c>
      <c r="B780" t="s">
        <v>886</v>
      </c>
      <c r="C780" s="9" t="s">
        <v>932</v>
      </c>
      <c r="D780" s="9">
        <v>16</v>
      </c>
      <c r="E780" s="9" t="s">
        <v>1804</v>
      </c>
      <c r="F780" t="s">
        <v>502</v>
      </c>
      <c r="G780" t="s">
        <v>168</v>
      </c>
      <c r="H780" t="s">
        <v>1444</v>
      </c>
    </row>
    <row r="781" spans="1:8" x14ac:dyDescent="0.3">
      <c r="A781" s="6">
        <v>10</v>
      </c>
      <c r="B781" t="s">
        <v>886</v>
      </c>
      <c r="C781" s="9" t="s">
        <v>932</v>
      </c>
      <c r="D781" s="9">
        <v>18</v>
      </c>
      <c r="E781" s="9" t="s">
        <v>1804</v>
      </c>
      <c r="F781" t="s">
        <v>389</v>
      </c>
      <c r="G781" t="s">
        <v>171</v>
      </c>
      <c r="H781" t="s">
        <v>1447</v>
      </c>
    </row>
    <row r="782" spans="1:8" x14ac:dyDescent="0.3">
      <c r="A782" s="6">
        <v>10</v>
      </c>
      <c r="B782" t="s">
        <v>886</v>
      </c>
      <c r="C782" s="9" t="s">
        <v>932</v>
      </c>
      <c r="D782" s="9">
        <v>33</v>
      </c>
      <c r="E782" s="9" t="s">
        <v>1804</v>
      </c>
      <c r="F782" t="s">
        <v>390</v>
      </c>
      <c r="G782" t="s">
        <v>391</v>
      </c>
      <c r="H782" t="s">
        <v>1449</v>
      </c>
    </row>
    <row r="783" spans="1:8" x14ac:dyDescent="0.3">
      <c r="A783" s="6">
        <v>10</v>
      </c>
      <c r="B783" t="s">
        <v>886</v>
      </c>
      <c r="C783" s="9" t="s">
        <v>932</v>
      </c>
      <c r="D783" s="9">
        <v>15</v>
      </c>
      <c r="E783" s="9" t="s">
        <v>1804</v>
      </c>
      <c r="F783" t="s">
        <v>811</v>
      </c>
      <c r="G783" t="s">
        <v>812</v>
      </c>
      <c r="H783" t="s">
        <v>1452</v>
      </c>
    </row>
    <row r="784" spans="1:8" x14ac:dyDescent="0.3">
      <c r="A784" s="6">
        <v>10</v>
      </c>
      <c r="B784" t="s">
        <v>886</v>
      </c>
      <c r="C784" s="9" t="s">
        <v>932</v>
      </c>
      <c r="D784" s="9">
        <v>35</v>
      </c>
      <c r="E784" s="9" t="s">
        <v>1804</v>
      </c>
      <c r="F784" t="s">
        <v>421</v>
      </c>
      <c r="G784" t="s">
        <v>115</v>
      </c>
      <c r="H784" t="s">
        <v>1464</v>
      </c>
    </row>
    <row r="785" spans="1:8" x14ac:dyDescent="0.3">
      <c r="A785" s="6">
        <v>10</v>
      </c>
      <c r="B785" t="s">
        <v>886</v>
      </c>
      <c r="C785" s="9" t="s">
        <v>932</v>
      </c>
      <c r="D785" s="9">
        <v>24</v>
      </c>
      <c r="E785" s="9" t="s">
        <v>1804</v>
      </c>
      <c r="F785" t="s">
        <v>31</v>
      </c>
      <c r="G785" t="s">
        <v>32</v>
      </c>
      <c r="H785" t="s">
        <v>1483</v>
      </c>
    </row>
    <row r="786" spans="1:8" x14ac:dyDescent="0.3">
      <c r="A786" s="6">
        <v>10</v>
      </c>
      <c r="B786" t="s">
        <v>886</v>
      </c>
      <c r="C786" s="9" t="s">
        <v>932</v>
      </c>
      <c r="D786" s="9">
        <v>32</v>
      </c>
      <c r="E786" s="9" t="s">
        <v>1804</v>
      </c>
      <c r="F786" t="s">
        <v>219</v>
      </c>
      <c r="G786" t="s">
        <v>32</v>
      </c>
      <c r="H786" t="s">
        <v>1484</v>
      </c>
    </row>
    <row r="787" spans="1:8" x14ac:dyDescent="0.3">
      <c r="A787" s="6">
        <v>10</v>
      </c>
      <c r="B787" t="s">
        <v>886</v>
      </c>
      <c r="C787" s="9" t="s">
        <v>932</v>
      </c>
      <c r="D787" s="9">
        <v>21</v>
      </c>
      <c r="E787" s="9" t="s">
        <v>1804</v>
      </c>
      <c r="F787" t="s">
        <v>34</v>
      </c>
      <c r="G787" t="s">
        <v>32</v>
      </c>
      <c r="H787" t="s">
        <v>1485</v>
      </c>
    </row>
    <row r="788" spans="1:8" x14ac:dyDescent="0.3">
      <c r="A788" s="6">
        <v>10</v>
      </c>
      <c r="B788" t="s">
        <v>886</v>
      </c>
      <c r="C788" s="9" t="s">
        <v>932</v>
      </c>
      <c r="D788" s="9">
        <v>36</v>
      </c>
      <c r="E788" s="9" t="s">
        <v>1804</v>
      </c>
      <c r="F788" t="s">
        <v>541</v>
      </c>
      <c r="G788" t="s">
        <v>32</v>
      </c>
      <c r="H788" t="s">
        <v>1486</v>
      </c>
    </row>
    <row r="789" spans="1:8" x14ac:dyDescent="0.3">
      <c r="A789" s="6">
        <v>10</v>
      </c>
      <c r="B789" t="s">
        <v>886</v>
      </c>
      <c r="C789" s="9" t="s">
        <v>932</v>
      </c>
      <c r="D789" s="9">
        <v>30</v>
      </c>
      <c r="E789" s="9" t="s">
        <v>1804</v>
      </c>
      <c r="F789" t="s">
        <v>35</v>
      </c>
      <c r="G789" t="s">
        <v>32</v>
      </c>
      <c r="H789" t="s">
        <v>1489</v>
      </c>
    </row>
    <row r="790" spans="1:8" x14ac:dyDescent="0.3">
      <c r="A790" s="6">
        <v>10</v>
      </c>
      <c r="B790" t="s">
        <v>886</v>
      </c>
      <c r="C790" s="9" t="s">
        <v>932</v>
      </c>
      <c r="D790" s="9">
        <v>32</v>
      </c>
      <c r="E790" s="9" t="s">
        <v>1804</v>
      </c>
      <c r="F790" t="s">
        <v>221</v>
      </c>
      <c r="G790" t="s">
        <v>32</v>
      </c>
      <c r="H790" t="s">
        <v>1490</v>
      </c>
    </row>
    <row r="791" spans="1:8" x14ac:dyDescent="0.3">
      <c r="A791" s="6">
        <v>10</v>
      </c>
      <c r="B791" t="s">
        <v>886</v>
      </c>
      <c r="C791" s="9" t="s">
        <v>932</v>
      </c>
      <c r="D791" s="9">
        <v>21</v>
      </c>
      <c r="E791" s="9" t="s">
        <v>1804</v>
      </c>
      <c r="F791" t="s">
        <v>36</v>
      </c>
      <c r="G791" t="s">
        <v>32</v>
      </c>
      <c r="H791" t="s">
        <v>1492</v>
      </c>
    </row>
    <row r="792" spans="1:8" x14ac:dyDescent="0.3">
      <c r="A792" s="6">
        <v>10</v>
      </c>
      <c r="B792" t="s">
        <v>886</v>
      </c>
      <c r="C792" s="9" t="s">
        <v>932</v>
      </c>
      <c r="D792" s="9">
        <v>34</v>
      </c>
      <c r="E792" s="9" t="s">
        <v>1804</v>
      </c>
      <c r="F792" t="s">
        <v>422</v>
      </c>
      <c r="G792" t="s">
        <v>423</v>
      </c>
      <c r="H792" t="s">
        <v>1149</v>
      </c>
    </row>
    <row r="793" spans="1:8" x14ac:dyDescent="0.3">
      <c r="A793" s="6">
        <v>10</v>
      </c>
      <c r="B793" t="s">
        <v>886</v>
      </c>
      <c r="C793" s="9" t="s">
        <v>932</v>
      </c>
      <c r="D793" s="9">
        <v>12</v>
      </c>
      <c r="E793" s="9" t="s">
        <v>1804</v>
      </c>
      <c r="F793" t="s">
        <v>153</v>
      </c>
      <c r="G793" t="s">
        <v>108</v>
      </c>
      <c r="H793" t="s">
        <v>1150</v>
      </c>
    </row>
    <row r="794" spans="1:8" x14ac:dyDescent="0.3">
      <c r="A794" s="6">
        <v>10</v>
      </c>
      <c r="B794" t="s">
        <v>886</v>
      </c>
      <c r="C794" s="9" t="s">
        <v>932</v>
      </c>
      <c r="D794" s="9">
        <v>18</v>
      </c>
      <c r="E794" s="9" t="s">
        <v>1804</v>
      </c>
      <c r="F794" t="s">
        <v>154</v>
      </c>
      <c r="G794" t="s">
        <v>108</v>
      </c>
      <c r="H794" t="s">
        <v>1151</v>
      </c>
    </row>
    <row r="795" spans="1:8" x14ac:dyDescent="0.3">
      <c r="A795" s="6">
        <v>10</v>
      </c>
      <c r="B795" t="s">
        <v>886</v>
      </c>
      <c r="C795" s="9" t="s">
        <v>932</v>
      </c>
      <c r="D795" s="9">
        <v>27</v>
      </c>
      <c r="E795" s="9" t="s">
        <v>1804</v>
      </c>
      <c r="F795" t="s">
        <v>37</v>
      </c>
      <c r="G795" t="s">
        <v>38</v>
      </c>
      <c r="H795" t="s">
        <v>1164</v>
      </c>
    </row>
    <row r="796" spans="1:8" x14ac:dyDescent="0.3">
      <c r="A796" s="6">
        <v>10</v>
      </c>
      <c r="B796" t="s">
        <v>886</v>
      </c>
      <c r="C796" s="9" t="s">
        <v>932</v>
      </c>
      <c r="D796" s="9">
        <v>12</v>
      </c>
      <c r="E796" s="9" t="s">
        <v>1804</v>
      </c>
      <c r="F796" t="s">
        <v>226</v>
      </c>
      <c r="G796" t="s">
        <v>38</v>
      </c>
      <c r="H796" t="s">
        <v>1165</v>
      </c>
    </row>
    <row r="797" spans="1:8" x14ac:dyDescent="0.3">
      <c r="A797" s="6">
        <v>10</v>
      </c>
      <c r="B797" t="s">
        <v>886</v>
      </c>
      <c r="C797" s="9" t="s">
        <v>932</v>
      </c>
      <c r="D797" s="9">
        <v>18</v>
      </c>
      <c r="E797" s="9" t="s">
        <v>1804</v>
      </c>
      <c r="F797" t="s">
        <v>227</v>
      </c>
      <c r="G797" t="s">
        <v>41</v>
      </c>
      <c r="H797" t="s">
        <v>1167</v>
      </c>
    </row>
    <row r="798" spans="1:8" x14ac:dyDescent="0.3">
      <c r="A798" s="6">
        <v>10</v>
      </c>
      <c r="B798" t="s">
        <v>886</v>
      </c>
      <c r="C798" s="9" t="s">
        <v>932</v>
      </c>
      <c r="D798" s="9">
        <v>12</v>
      </c>
      <c r="E798" s="9" t="s">
        <v>1804</v>
      </c>
      <c r="F798" t="s">
        <v>228</v>
      </c>
      <c r="G798" t="s">
        <v>41</v>
      </c>
      <c r="H798" t="s">
        <v>1168</v>
      </c>
    </row>
    <row r="799" spans="1:8" x14ac:dyDescent="0.3">
      <c r="A799" s="6">
        <v>10</v>
      </c>
      <c r="B799" t="s">
        <v>886</v>
      </c>
      <c r="C799" s="9" t="s">
        <v>932</v>
      </c>
      <c r="D799" s="9">
        <v>27</v>
      </c>
      <c r="E799" s="9" t="s">
        <v>1804</v>
      </c>
      <c r="F799" t="s">
        <v>40</v>
      </c>
      <c r="G799" t="s">
        <v>41</v>
      </c>
      <c r="H799" t="s">
        <v>1169</v>
      </c>
    </row>
    <row r="800" spans="1:8" x14ac:dyDescent="0.3">
      <c r="A800" s="6">
        <v>10</v>
      </c>
      <c r="B800" t="s">
        <v>886</v>
      </c>
      <c r="C800" s="9" t="s">
        <v>932</v>
      </c>
      <c r="D800" s="9">
        <v>18</v>
      </c>
      <c r="E800" s="9" t="s">
        <v>1804</v>
      </c>
      <c r="F800" t="s">
        <v>229</v>
      </c>
      <c r="G800" t="s">
        <v>230</v>
      </c>
      <c r="H800" t="s">
        <v>1170</v>
      </c>
    </row>
    <row r="801" spans="1:8" x14ac:dyDescent="0.3">
      <c r="A801" s="6">
        <v>10</v>
      </c>
      <c r="B801" t="s">
        <v>886</v>
      </c>
      <c r="C801" s="9" t="s">
        <v>932</v>
      </c>
      <c r="D801" s="9">
        <v>24</v>
      </c>
      <c r="E801" s="9" t="s">
        <v>1804</v>
      </c>
      <c r="F801" t="s">
        <v>232</v>
      </c>
      <c r="G801" t="s">
        <v>144</v>
      </c>
      <c r="H801" t="s">
        <v>1171</v>
      </c>
    </row>
    <row r="802" spans="1:8" x14ac:dyDescent="0.3">
      <c r="A802" s="6">
        <v>10</v>
      </c>
      <c r="B802" t="s">
        <v>886</v>
      </c>
      <c r="C802" s="9" t="s">
        <v>932</v>
      </c>
      <c r="D802" s="9">
        <v>25</v>
      </c>
      <c r="E802" s="9" t="s">
        <v>1804</v>
      </c>
      <c r="F802" t="s">
        <v>394</v>
      </c>
      <c r="G802" t="s">
        <v>112</v>
      </c>
      <c r="H802" t="s">
        <v>1172</v>
      </c>
    </row>
    <row r="803" spans="1:8" x14ac:dyDescent="0.3">
      <c r="A803" s="6">
        <v>10</v>
      </c>
      <c r="B803" t="s">
        <v>886</v>
      </c>
      <c r="C803" s="9" t="s">
        <v>932</v>
      </c>
      <c r="D803" s="9">
        <v>12</v>
      </c>
      <c r="E803" s="9" t="s">
        <v>1804</v>
      </c>
      <c r="F803" t="s">
        <v>233</v>
      </c>
      <c r="G803" t="s">
        <v>112</v>
      </c>
      <c r="H803" t="s">
        <v>1146</v>
      </c>
    </row>
    <row r="804" spans="1:8" x14ac:dyDescent="0.3">
      <c r="A804" s="6">
        <v>10</v>
      </c>
      <c r="B804" t="s">
        <v>886</v>
      </c>
      <c r="C804" s="9" t="s">
        <v>932</v>
      </c>
      <c r="D804" s="9">
        <v>24</v>
      </c>
      <c r="E804" s="9" t="s">
        <v>1804</v>
      </c>
      <c r="F804" t="s">
        <v>544</v>
      </c>
      <c r="G804" t="s">
        <v>545</v>
      </c>
      <c r="H804" t="s">
        <v>1042</v>
      </c>
    </row>
    <row r="805" spans="1:8" x14ac:dyDescent="0.3">
      <c r="A805" s="6">
        <v>10</v>
      </c>
      <c r="B805" t="s">
        <v>886</v>
      </c>
      <c r="C805" s="9" t="s">
        <v>932</v>
      </c>
      <c r="D805" s="9">
        <v>12</v>
      </c>
      <c r="E805" s="9" t="s">
        <v>1804</v>
      </c>
      <c r="F805" t="s">
        <v>511</v>
      </c>
      <c r="G805" t="s">
        <v>235</v>
      </c>
      <c r="H805" t="s">
        <v>1046</v>
      </c>
    </row>
    <row r="806" spans="1:8" x14ac:dyDescent="0.3">
      <c r="A806" s="6">
        <v>10</v>
      </c>
      <c r="B806" t="s">
        <v>886</v>
      </c>
      <c r="C806" s="9" t="s">
        <v>932</v>
      </c>
      <c r="D806" s="9">
        <v>15</v>
      </c>
      <c r="E806" s="9" t="s">
        <v>1804</v>
      </c>
      <c r="F806" t="s">
        <v>625</v>
      </c>
      <c r="G806" t="s">
        <v>235</v>
      </c>
      <c r="H806" t="s">
        <v>1048</v>
      </c>
    </row>
    <row r="807" spans="1:8" x14ac:dyDescent="0.3">
      <c r="A807" s="6">
        <v>10</v>
      </c>
      <c r="B807" t="s">
        <v>886</v>
      </c>
      <c r="C807" s="9" t="s">
        <v>932</v>
      </c>
      <c r="D807" s="9">
        <v>15</v>
      </c>
      <c r="E807" s="9" t="s">
        <v>1804</v>
      </c>
      <c r="F807" t="s">
        <v>43</v>
      </c>
      <c r="G807" t="s">
        <v>44</v>
      </c>
      <c r="H807" t="s">
        <v>1050</v>
      </c>
    </row>
    <row r="808" spans="1:8" x14ac:dyDescent="0.3">
      <c r="A808" s="6">
        <v>10</v>
      </c>
      <c r="B808" t="s">
        <v>886</v>
      </c>
      <c r="C808" s="9" t="s">
        <v>932</v>
      </c>
      <c r="D808" s="9">
        <v>24</v>
      </c>
      <c r="E808" s="9" t="s">
        <v>1804</v>
      </c>
      <c r="F808" t="s">
        <v>427</v>
      </c>
      <c r="G808" t="s">
        <v>428</v>
      </c>
      <c r="H808" t="s">
        <v>1054</v>
      </c>
    </row>
    <row r="809" spans="1:8" x14ac:dyDescent="0.3">
      <c r="A809" s="6">
        <v>10</v>
      </c>
      <c r="B809" t="s">
        <v>886</v>
      </c>
      <c r="C809" s="9" t="s">
        <v>932</v>
      </c>
      <c r="D809" s="9">
        <v>12</v>
      </c>
      <c r="E809" s="9" t="s">
        <v>1804</v>
      </c>
      <c r="F809" t="s">
        <v>550</v>
      </c>
      <c r="G809" t="s">
        <v>551</v>
      </c>
      <c r="H809" t="s">
        <v>1059</v>
      </c>
    </row>
    <row r="810" spans="1:8" x14ac:dyDescent="0.3">
      <c r="A810" s="6">
        <v>10</v>
      </c>
      <c r="B810" t="s">
        <v>886</v>
      </c>
      <c r="C810" s="9" t="s">
        <v>932</v>
      </c>
      <c r="D810" s="9">
        <v>24</v>
      </c>
      <c r="E810" s="9" t="s">
        <v>1804</v>
      </c>
      <c r="F810" t="s">
        <v>237</v>
      </c>
      <c r="G810" t="s">
        <v>238</v>
      </c>
      <c r="H810" t="s">
        <v>1065</v>
      </c>
    </row>
    <row r="811" spans="1:8" x14ac:dyDescent="0.3">
      <c r="A811" s="6">
        <v>10</v>
      </c>
      <c r="B811" t="s">
        <v>886</v>
      </c>
      <c r="C811" s="9" t="s">
        <v>932</v>
      </c>
      <c r="D811" s="9">
        <v>35</v>
      </c>
      <c r="E811" s="9" t="s">
        <v>1804</v>
      </c>
      <c r="F811" t="s">
        <v>46</v>
      </c>
      <c r="G811" t="s">
        <v>47</v>
      </c>
      <c r="H811" t="s">
        <v>1409</v>
      </c>
    </row>
    <row r="812" spans="1:8" x14ac:dyDescent="0.3">
      <c r="A812" s="6">
        <v>10</v>
      </c>
      <c r="B812" t="s">
        <v>886</v>
      </c>
      <c r="C812" s="9" t="s">
        <v>932</v>
      </c>
      <c r="D812" s="9">
        <v>12</v>
      </c>
      <c r="E812" s="9" t="s">
        <v>1804</v>
      </c>
      <c r="F812" t="s">
        <v>49</v>
      </c>
      <c r="G812" t="s">
        <v>47</v>
      </c>
      <c r="H812" t="s">
        <v>1410</v>
      </c>
    </row>
    <row r="813" spans="1:8" x14ac:dyDescent="0.3">
      <c r="A813" s="6">
        <v>10</v>
      </c>
      <c r="B813" t="s">
        <v>886</v>
      </c>
      <c r="C813" s="9" t="s">
        <v>932</v>
      </c>
      <c r="D813" s="9">
        <v>18</v>
      </c>
      <c r="E813" s="9" t="s">
        <v>1804</v>
      </c>
      <c r="F813" t="s">
        <v>246</v>
      </c>
      <c r="G813" t="s">
        <v>51</v>
      </c>
      <c r="H813" t="s">
        <v>1596</v>
      </c>
    </row>
    <row r="814" spans="1:8" x14ac:dyDescent="0.3">
      <c r="A814" s="6">
        <v>10</v>
      </c>
      <c r="B814" t="s">
        <v>886</v>
      </c>
      <c r="C814" s="9" t="s">
        <v>932</v>
      </c>
      <c r="D814" s="9">
        <v>31</v>
      </c>
      <c r="E814" s="9" t="s">
        <v>1804</v>
      </c>
      <c r="F814" t="s">
        <v>556</v>
      </c>
      <c r="G814" t="s">
        <v>54</v>
      </c>
      <c r="H814" t="s">
        <v>1601</v>
      </c>
    </row>
    <row r="815" spans="1:8" x14ac:dyDescent="0.3">
      <c r="A815" s="6">
        <v>10</v>
      </c>
      <c r="B815" t="s">
        <v>886</v>
      </c>
      <c r="C815" s="9" t="s">
        <v>932</v>
      </c>
      <c r="D815" s="9">
        <v>12</v>
      </c>
      <c r="E815" s="9" t="s">
        <v>1804</v>
      </c>
      <c r="F815" t="s">
        <v>558</v>
      </c>
      <c r="G815" t="s">
        <v>559</v>
      </c>
      <c r="H815" t="s">
        <v>1610</v>
      </c>
    </row>
    <row r="816" spans="1:8" x14ac:dyDescent="0.3">
      <c r="A816" s="6">
        <v>10</v>
      </c>
      <c r="B816" t="s">
        <v>886</v>
      </c>
      <c r="C816" s="9" t="s">
        <v>932</v>
      </c>
      <c r="D816" s="9">
        <v>12</v>
      </c>
      <c r="E816" s="9" t="s">
        <v>1804</v>
      </c>
      <c r="F816" t="s">
        <v>561</v>
      </c>
      <c r="G816" t="s">
        <v>562</v>
      </c>
      <c r="H816" t="s">
        <v>1622</v>
      </c>
    </row>
    <row r="817" spans="1:8" x14ac:dyDescent="0.3">
      <c r="A817" s="6">
        <v>10</v>
      </c>
      <c r="B817" t="s">
        <v>886</v>
      </c>
      <c r="C817" s="9" t="s">
        <v>932</v>
      </c>
      <c r="D817" s="9">
        <v>12</v>
      </c>
      <c r="E817" s="9" t="s">
        <v>1804</v>
      </c>
      <c r="F817" t="s">
        <v>56</v>
      </c>
      <c r="G817" t="s">
        <v>57</v>
      </c>
      <c r="H817" t="s">
        <v>1623</v>
      </c>
    </row>
    <row r="818" spans="1:8" x14ac:dyDescent="0.3">
      <c r="A818" s="6">
        <v>10</v>
      </c>
      <c r="B818" t="s">
        <v>886</v>
      </c>
      <c r="C818" s="9" t="s">
        <v>932</v>
      </c>
      <c r="D818" s="9">
        <v>12</v>
      </c>
      <c r="E818" s="9" t="s">
        <v>1804</v>
      </c>
      <c r="F818" t="s">
        <v>781</v>
      </c>
      <c r="G818" t="s">
        <v>253</v>
      </c>
      <c r="H818" t="s">
        <v>1634</v>
      </c>
    </row>
    <row r="819" spans="1:8" x14ac:dyDescent="0.3">
      <c r="A819" s="6">
        <v>10</v>
      </c>
      <c r="B819" t="s">
        <v>886</v>
      </c>
      <c r="C819" s="9" t="s">
        <v>932</v>
      </c>
      <c r="D819" s="9">
        <v>12</v>
      </c>
      <c r="E819" s="9" t="s">
        <v>1804</v>
      </c>
      <c r="F819" t="s">
        <v>252</v>
      </c>
      <c r="G819" t="s">
        <v>253</v>
      </c>
      <c r="H819" t="s">
        <v>1635</v>
      </c>
    </row>
    <row r="820" spans="1:8" x14ac:dyDescent="0.3">
      <c r="A820" s="6">
        <v>10</v>
      </c>
      <c r="B820" t="s">
        <v>886</v>
      </c>
      <c r="C820" s="9" t="s">
        <v>932</v>
      </c>
      <c r="D820" s="9">
        <v>22</v>
      </c>
      <c r="E820" s="9" t="s">
        <v>1804</v>
      </c>
      <c r="F820" t="s">
        <v>259</v>
      </c>
      <c r="G820" t="s">
        <v>260</v>
      </c>
      <c r="H820" t="s">
        <v>986</v>
      </c>
    </row>
    <row r="821" spans="1:8" x14ac:dyDescent="0.3">
      <c r="A821" s="6">
        <v>10</v>
      </c>
      <c r="B821" t="s">
        <v>886</v>
      </c>
      <c r="C821" s="9" t="s">
        <v>932</v>
      </c>
      <c r="D821" s="9">
        <v>14</v>
      </c>
      <c r="E821" s="9" t="s">
        <v>1804</v>
      </c>
      <c r="F821" t="s">
        <v>262</v>
      </c>
      <c r="G821" t="s">
        <v>263</v>
      </c>
      <c r="H821" t="s">
        <v>989</v>
      </c>
    </row>
    <row r="822" spans="1:8" x14ac:dyDescent="0.3">
      <c r="A822" s="6">
        <v>10</v>
      </c>
      <c r="B822" t="s">
        <v>886</v>
      </c>
      <c r="C822" s="9" t="s">
        <v>932</v>
      </c>
      <c r="D822" s="9">
        <v>19</v>
      </c>
      <c r="E822" s="9" t="s">
        <v>1804</v>
      </c>
      <c r="F822" t="s">
        <v>265</v>
      </c>
      <c r="G822" t="s">
        <v>266</v>
      </c>
      <c r="H822" t="s">
        <v>1337</v>
      </c>
    </row>
    <row r="823" spans="1:8" x14ac:dyDescent="0.3">
      <c r="A823" s="6">
        <v>10</v>
      </c>
      <c r="B823" t="s">
        <v>886</v>
      </c>
      <c r="C823" s="9" t="s">
        <v>932</v>
      </c>
      <c r="D823" s="9">
        <v>19</v>
      </c>
      <c r="E823" s="9" t="s">
        <v>1804</v>
      </c>
      <c r="F823" t="s">
        <v>673</v>
      </c>
      <c r="G823" t="s">
        <v>674</v>
      </c>
      <c r="H823" t="s">
        <v>990</v>
      </c>
    </row>
    <row r="824" spans="1:8" x14ac:dyDescent="0.3">
      <c r="A824" s="6">
        <v>10</v>
      </c>
      <c r="B824" t="s">
        <v>886</v>
      </c>
      <c r="C824" s="9" t="s">
        <v>932</v>
      </c>
      <c r="D824" s="9">
        <v>15</v>
      </c>
      <c r="E824" s="9" t="s">
        <v>1804</v>
      </c>
      <c r="F824" t="s">
        <v>443</v>
      </c>
      <c r="G824" t="s">
        <v>444</v>
      </c>
      <c r="H824" t="s">
        <v>1649</v>
      </c>
    </row>
    <row r="825" spans="1:8" x14ac:dyDescent="0.3">
      <c r="A825" s="6">
        <v>10</v>
      </c>
      <c r="B825" t="s">
        <v>886</v>
      </c>
      <c r="C825" s="9" t="s">
        <v>1807</v>
      </c>
      <c r="D825" s="9">
        <v>1400</v>
      </c>
      <c r="E825" s="9" t="s">
        <v>1808</v>
      </c>
      <c r="F825" t="s">
        <v>446</v>
      </c>
      <c r="G825" t="s">
        <v>447</v>
      </c>
      <c r="H825" t="s">
        <v>1719</v>
      </c>
    </row>
    <row r="826" spans="1:8" x14ac:dyDescent="0.3">
      <c r="A826" s="6">
        <v>10</v>
      </c>
      <c r="B826" t="s">
        <v>886</v>
      </c>
      <c r="C826" s="9" t="s">
        <v>1807</v>
      </c>
      <c r="D826" s="9">
        <v>1800</v>
      </c>
      <c r="E826" s="9" t="s">
        <v>1808</v>
      </c>
      <c r="F826" t="s">
        <v>449</v>
      </c>
      <c r="G826" t="s">
        <v>450</v>
      </c>
      <c r="H826" t="s">
        <v>1711</v>
      </c>
    </row>
    <row r="827" spans="1:8" x14ac:dyDescent="0.3">
      <c r="A827" s="6">
        <v>10</v>
      </c>
      <c r="B827" t="s">
        <v>886</v>
      </c>
      <c r="C827" s="9" t="s">
        <v>1807</v>
      </c>
      <c r="D827" s="9">
        <v>1800</v>
      </c>
      <c r="E827" s="9" t="s">
        <v>1808</v>
      </c>
      <c r="F827" t="s">
        <v>280</v>
      </c>
      <c r="G827" t="s">
        <v>157</v>
      </c>
      <c r="H827" t="s">
        <v>1823</v>
      </c>
    </row>
    <row r="828" spans="1:8" x14ac:dyDescent="0.3">
      <c r="A828" s="6">
        <v>10</v>
      </c>
      <c r="B828" t="s">
        <v>886</v>
      </c>
      <c r="C828" s="9" t="s">
        <v>1807</v>
      </c>
      <c r="D828" s="9">
        <v>620</v>
      </c>
      <c r="E828" s="9" t="s">
        <v>1808</v>
      </c>
      <c r="F828" t="s">
        <v>896</v>
      </c>
      <c r="G828" t="s">
        <v>289</v>
      </c>
      <c r="H828" t="s">
        <v>1767</v>
      </c>
    </row>
    <row r="829" spans="1:8" x14ac:dyDescent="0.3">
      <c r="A829" s="6">
        <v>10</v>
      </c>
      <c r="B829" t="s">
        <v>886</v>
      </c>
      <c r="C829" s="9" t="s">
        <v>1807</v>
      </c>
      <c r="D829" s="9">
        <v>620</v>
      </c>
      <c r="E829" s="9" t="s">
        <v>1808</v>
      </c>
      <c r="F829" t="s">
        <v>897</v>
      </c>
      <c r="G829" t="s">
        <v>289</v>
      </c>
      <c r="H829" t="s">
        <v>1768</v>
      </c>
    </row>
    <row r="830" spans="1:8" x14ac:dyDescent="0.3">
      <c r="A830" s="6">
        <v>10</v>
      </c>
      <c r="B830" t="s">
        <v>886</v>
      </c>
      <c r="C830" s="9" t="s">
        <v>1807</v>
      </c>
      <c r="D830" s="9">
        <v>680</v>
      </c>
      <c r="E830" s="9" t="s">
        <v>1808</v>
      </c>
      <c r="F830" t="s">
        <v>898</v>
      </c>
      <c r="G830" t="s">
        <v>289</v>
      </c>
      <c r="H830" t="s">
        <v>1769</v>
      </c>
    </row>
    <row r="831" spans="1:8" x14ac:dyDescent="0.3">
      <c r="A831" s="6">
        <v>10</v>
      </c>
      <c r="B831" t="s">
        <v>886</v>
      </c>
      <c r="C831" s="9" t="s">
        <v>1807</v>
      </c>
      <c r="D831" s="9">
        <v>1050</v>
      </c>
      <c r="E831" s="9" t="s">
        <v>1808</v>
      </c>
      <c r="F831" t="s">
        <v>291</v>
      </c>
      <c r="G831" t="s">
        <v>292</v>
      </c>
      <c r="H831" t="s">
        <v>1678</v>
      </c>
    </row>
    <row r="832" spans="1:8" x14ac:dyDescent="0.3">
      <c r="A832" s="6">
        <v>10</v>
      </c>
      <c r="B832" t="s">
        <v>886</v>
      </c>
      <c r="C832" s="9" t="s">
        <v>932</v>
      </c>
      <c r="D832" s="9">
        <v>12</v>
      </c>
      <c r="E832" s="9" t="s">
        <v>1804</v>
      </c>
      <c r="F832" t="s">
        <v>294</v>
      </c>
      <c r="G832" t="s">
        <v>295</v>
      </c>
      <c r="H832" t="s">
        <v>1680</v>
      </c>
    </row>
    <row r="833" spans="1:8" x14ac:dyDescent="0.3">
      <c r="A833" s="6">
        <v>10</v>
      </c>
      <c r="B833" t="s">
        <v>886</v>
      </c>
      <c r="C833" s="9" t="s">
        <v>932</v>
      </c>
      <c r="D833" s="9">
        <v>15</v>
      </c>
      <c r="E833" s="9" t="s">
        <v>1804</v>
      </c>
      <c r="F833" t="s">
        <v>59</v>
      </c>
      <c r="G833" t="s">
        <v>60</v>
      </c>
      <c r="H833" t="s">
        <v>1078</v>
      </c>
    </row>
    <row r="834" spans="1:8" x14ac:dyDescent="0.3">
      <c r="A834" s="6">
        <v>10</v>
      </c>
      <c r="B834" t="s">
        <v>886</v>
      </c>
      <c r="C834" s="9" t="s">
        <v>932</v>
      </c>
      <c r="D834" s="9">
        <v>16</v>
      </c>
      <c r="E834" s="9" t="s">
        <v>1804</v>
      </c>
      <c r="F834" t="s">
        <v>746</v>
      </c>
      <c r="G834" t="s">
        <v>63</v>
      </c>
      <c r="H834" t="s">
        <v>1102</v>
      </c>
    </row>
    <row r="835" spans="1:8" x14ac:dyDescent="0.3">
      <c r="A835" s="6">
        <v>10</v>
      </c>
      <c r="B835" t="s">
        <v>886</v>
      </c>
      <c r="C835" s="9" t="s">
        <v>932</v>
      </c>
      <c r="D835" s="9">
        <v>12</v>
      </c>
      <c r="E835" s="9" t="s">
        <v>1804</v>
      </c>
      <c r="F835" t="s">
        <v>677</v>
      </c>
      <c r="G835" t="s">
        <v>312</v>
      </c>
      <c r="H835" t="s">
        <v>952</v>
      </c>
    </row>
    <row r="836" spans="1:8" x14ac:dyDescent="0.3">
      <c r="A836" s="6">
        <v>10</v>
      </c>
      <c r="B836" t="s">
        <v>886</v>
      </c>
      <c r="C836" s="9" t="s">
        <v>1806</v>
      </c>
      <c r="D836" s="9">
        <v>9</v>
      </c>
      <c r="E836" s="9" t="s">
        <v>1804</v>
      </c>
      <c r="F836" t="s">
        <v>315</v>
      </c>
      <c r="G836" t="s">
        <v>126</v>
      </c>
      <c r="H836" t="s">
        <v>1581</v>
      </c>
    </row>
    <row r="837" spans="1:8" x14ac:dyDescent="0.3">
      <c r="A837" s="6">
        <v>10</v>
      </c>
      <c r="B837" t="s">
        <v>886</v>
      </c>
      <c r="C837" s="9" t="s">
        <v>1807</v>
      </c>
      <c r="D837" s="9">
        <v>420</v>
      </c>
      <c r="E837" s="9" t="s">
        <v>1808</v>
      </c>
      <c r="F837" t="s">
        <v>68</v>
      </c>
      <c r="G837" t="s">
        <v>69</v>
      </c>
      <c r="H837" t="s">
        <v>1551</v>
      </c>
    </row>
    <row r="838" spans="1:8" x14ac:dyDescent="0.3">
      <c r="A838" s="6">
        <v>10</v>
      </c>
      <c r="B838" t="s">
        <v>886</v>
      </c>
      <c r="C838" s="9" t="s">
        <v>932</v>
      </c>
      <c r="D838" s="9">
        <v>24</v>
      </c>
      <c r="E838" s="9" t="s">
        <v>1804</v>
      </c>
      <c r="F838" t="s">
        <v>316</v>
      </c>
      <c r="G838" t="s">
        <v>129</v>
      </c>
      <c r="H838" t="s">
        <v>1562</v>
      </c>
    </row>
    <row r="839" spans="1:8" x14ac:dyDescent="0.3">
      <c r="A839" s="6">
        <v>10</v>
      </c>
      <c r="B839" t="s">
        <v>886</v>
      </c>
      <c r="C839" s="9" t="s">
        <v>932</v>
      </c>
      <c r="D839" s="9">
        <v>9</v>
      </c>
      <c r="E839" s="9" t="s">
        <v>1804</v>
      </c>
      <c r="F839" t="s">
        <v>574</v>
      </c>
      <c r="G839" t="s">
        <v>129</v>
      </c>
      <c r="H839" t="s">
        <v>1563</v>
      </c>
    </row>
    <row r="840" spans="1:8" x14ac:dyDescent="0.3">
      <c r="A840" s="6">
        <v>10</v>
      </c>
      <c r="B840" t="s">
        <v>886</v>
      </c>
      <c r="C840" s="9" t="s">
        <v>932</v>
      </c>
      <c r="D840" s="9">
        <v>28</v>
      </c>
      <c r="E840" s="9" t="s">
        <v>1804</v>
      </c>
      <c r="F840" t="s">
        <v>395</v>
      </c>
      <c r="G840" t="s">
        <v>396</v>
      </c>
      <c r="H840" t="s">
        <v>1564</v>
      </c>
    </row>
    <row r="841" spans="1:8" x14ac:dyDescent="0.3">
      <c r="A841" s="6">
        <v>10</v>
      </c>
      <c r="B841" t="s">
        <v>886</v>
      </c>
      <c r="C841" s="9" t="s">
        <v>1807</v>
      </c>
      <c r="D841" s="9">
        <v>770</v>
      </c>
      <c r="E841" s="9" t="s">
        <v>1808</v>
      </c>
      <c r="F841" t="s">
        <v>71</v>
      </c>
      <c r="G841" t="s">
        <v>72</v>
      </c>
      <c r="H841" t="s">
        <v>1565</v>
      </c>
    </row>
    <row r="842" spans="1:8" x14ac:dyDescent="0.3">
      <c r="A842" s="6">
        <v>10</v>
      </c>
      <c r="B842" t="s">
        <v>886</v>
      </c>
      <c r="C842" s="9" t="s">
        <v>1807</v>
      </c>
      <c r="D842" s="9">
        <v>319</v>
      </c>
      <c r="E842" s="9" t="s">
        <v>1808</v>
      </c>
      <c r="F842" t="s">
        <v>899</v>
      </c>
      <c r="G842" t="s">
        <v>72</v>
      </c>
      <c r="H842" t="s">
        <v>1570</v>
      </c>
    </row>
    <row r="843" spans="1:8" x14ac:dyDescent="0.3">
      <c r="A843" s="6">
        <v>10</v>
      </c>
      <c r="B843" t="s">
        <v>886</v>
      </c>
      <c r="C843" s="9" t="s">
        <v>1807</v>
      </c>
      <c r="D843" s="9">
        <v>40</v>
      </c>
      <c r="E843" s="9" t="s">
        <v>1808</v>
      </c>
      <c r="F843" t="s">
        <v>837</v>
      </c>
      <c r="G843" t="s">
        <v>835</v>
      </c>
      <c r="H843" t="s">
        <v>1573</v>
      </c>
    </row>
    <row r="844" spans="1:8" x14ac:dyDescent="0.3">
      <c r="A844" s="6">
        <v>10</v>
      </c>
      <c r="B844" t="s">
        <v>886</v>
      </c>
      <c r="C844" s="9" t="s">
        <v>1807</v>
      </c>
      <c r="D844" s="9">
        <v>120</v>
      </c>
      <c r="E844" s="9" t="s">
        <v>1808</v>
      </c>
      <c r="F844" t="s">
        <v>900</v>
      </c>
      <c r="G844" t="s">
        <v>749</v>
      </c>
      <c r="H844" t="s">
        <v>1575</v>
      </c>
    </row>
    <row r="845" spans="1:8" x14ac:dyDescent="0.3">
      <c r="A845" s="6">
        <v>10</v>
      </c>
      <c r="B845" t="s">
        <v>886</v>
      </c>
      <c r="C845" s="9" t="s">
        <v>932</v>
      </c>
      <c r="D845" s="9">
        <v>12</v>
      </c>
      <c r="E845" s="9" t="s">
        <v>1804</v>
      </c>
      <c r="F845" t="s">
        <v>578</v>
      </c>
      <c r="G845" t="s">
        <v>376</v>
      </c>
      <c r="H845" t="s">
        <v>1577</v>
      </c>
    </row>
    <row r="846" spans="1:8" x14ac:dyDescent="0.3">
      <c r="A846" s="6">
        <v>10</v>
      </c>
      <c r="B846" t="s">
        <v>886</v>
      </c>
      <c r="C846" s="9" t="s">
        <v>1807</v>
      </c>
      <c r="D846" s="9">
        <v>538</v>
      </c>
      <c r="E846" s="9" t="s">
        <v>1808</v>
      </c>
      <c r="F846" t="s">
        <v>75</v>
      </c>
      <c r="G846" t="s">
        <v>76</v>
      </c>
      <c r="H846" t="s">
        <v>1549</v>
      </c>
    </row>
    <row r="847" spans="1:8" x14ac:dyDescent="0.3">
      <c r="A847" s="6">
        <v>10</v>
      </c>
      <c r="B847" t="s">
        <v>886</v>
      </c>
      <c r="C847" s="9" t="s">
        <v>1807</v>
      </c>
      <c r="D847" s="9">
        <v>232</v>
      </c>
      <c r="E847" s="9" t="s">
        <v>1808</v>
      </c>
      <c r="F847" t="s">
        <v>606</v>
      </c>
      <c r="G847" t="s">
        <v>607</v>
      </c>
      <c r="H847" t="s">
        <v>1580</v>
      </c>
    </row>
    <row r="848" spans="1:8" x14ac:dyDescent="0.3">
      <c r="A848" s="6">
        <v>10</v>
      </c>
      <c r="B848" t="s">
        <v>886</v>
      </c>
      <c r="C848" s="9" t="s">
        <v>1814</v>
      </c>
      <c r="D848" s="9">
        <v>10000</v>
      </c>
      <c r="E848" s="9" t="s">
        <v>1808</v>
      </c>
      <c r="F848" t="s">
        <v>161</v>
      </c>
      <c r="G848" t="s">
        <v>722</v>
      </c>
      <c r="H848" t="s">
        <v>1831</v>
      </c>
    </row>
    <row r="849" spans="1:8" x14ac:dyDescent="0.3">
      <c r="A849" s="6">
        <v>10</v>
      </c>
      <c r="B849" t="s">
        <v>886</v>
      </c>
      <c r="C849" s="9" t="s">
        <v>1814</v>
      </c>
      <c r="D849" s="9">
        <v>10000</v>
      </c>
      <c r="E849" s="9" t="s">
        <v>1808</v>
      </c>
      <c r="F849" t="s">
        <v>162</v>
      </c>
      <c r="G849" t="s">
        <v>273</v>
      </c>
      <c r="H849" t="s">
        <v>1816</v>
      </c>
    </row>
    <row r="850" spans="1:8" x14ac:dyDescent="0.3">
      <c r="A850" s="6">
        <v>10</v>
      </c>
      <c r="B850" t="s">
        <v>886</v>
      </c>
      <c r="C850" s="9" t="s">
        <v>1814</v>
      </c>
      <c r="D850" s="9">
        <v>10000</v>
      </c>
      <c r="E850" s="9" t="s">
        <v>1808</v>
      </c>
      <c r="F850" t="s">
        <v>901</v>
      </c>
      <c r="G850" t="s">
        <v>1833</v>
      </c>
      <c r="H850" t="s">
        <v>1834</v>
      </c>
    </row>
    <row r="851" spans="1:8" x14ac:dyDescent="0.3">
      <c r="A851" s="6">
        <v>10</v>
      </c>
      <c r="B851" t="s">
        <v>886</v>
      </c>
      <c r="C851" s="9" t="s">
        <v>1814</v>
      </c>
      <c r="D851" s="9">
        <v>10000</v>
      </c>
      <c r="E851" s="9" t="s">
        <v>1808</v>
      </c>
      <c r="F851" t="s">
        <v>642</v>
      </c>
      <c r="G851" t="s">
        <v>1835</v>
      </c>
      <c r="H851" t="s">
        <v>1836</v>
      </c>
    </row>
    <row r="852" spans="1:8" x14ac:dyDescent="0.3">
      <c r="A852" s="6">
        <v>10</v>
      </c>
      <c r="B852" t="s">
        <v>886</v>
      </c>
      <c r="C852" s="9" t="s">
        <v>1814</v>
      </c>
      <c r="D852" s="9">
        <v>10000</v>
      </c>
      <c r="E852" s="9" t="s">
        <v>1808</v>
      </c>
      <c r="F852" t="s">
        <v>902</v>
      </c>
      <c r="G852" t="s">
        <v>635</v>
      </c>
      <c r="H852" t="s">
        <v>1837</v>
      </c>
    </row>
    <row r="853" spans="1:8" x14ac:dyDescent="0.3">
      <c r="A853" s="6">
        <v>10</v>
      </c>
      <c r="B853" t="s">
        <v>886</v>
      </c>
      <c r="C853" s="9" t="s">
        <v>1814</v>
      </c>
      <c r="D853" s="9">
        <v>10000</v>
      </c>
      <c r="E853" s="9" t="s">
        <v>1808</v>
      </c>
      <c r="F853" t="s">
        <v>164</v>
      </c>
      <c r="G853" t="s">
        <v>276</v>
      </c>
      <c r="H853" t="s">
        <v>1832</v>
      </c>
    </row>
    <row r="854" spans="1:8" x14ac:dyDescent="0.3">
      <c r="A854" s="6">
        <v>10</v>
      </c>
      <c r="B854" t="s">
        <v>886</v>
      </c>
      <c r="C854" s="9" t="s">
        <v>1814</v>
      </c>
      <c r="D854" s="9">
        <v>10000</v>
      </c>
      <c r="E854" s="9" t="s">
        <v>1808</v>
      </c>
      <c r="F854" t="s">
        <v>903</v>
      </c>
      <c r="G854" t="s">
        <v>1838</v>
      </c>
      <c r="H854" t="s">
        <v>1839</v>
      </c>
    </row>
    <row r="855" spans="1:8" x14ac:dyDescent="0.3">
      <c r="A855" s="6">
        <v>10</v>
      </c>
      <c r="B855" t="s">
        <v>886</v>
      </c>
      <c r="C855" s="9" t="s">
        <v>1809</v>
      </c>
      <c r="D855" s="9">
        <v>60</v>
      </c>
      <c r="E855" s="9" t="s">
        <v>1804</v>
      </c>
      <c r="F855" t="s">
        <v>78</v>
      </c>
      <c r="G855" t="s">
        <v>1810</v>
      </c>
      <c r="H855" t="s">
        <v>1811</v>
      </c>
    </row>
    <row r="856" spans="1:8" x14ac:dyDescent="0.3">
      <c r="A856" s="6">
        <v>10</v>
      </c>
      <c r="B856" t="s">
        <v>886</v>
      </c>
      <c r="C856" s="9" t="s">
        <v>963</v>
      </c>
      <c r="D856" s="9">
        <v>63</v>
      </c>
      <c r="E856" s="9" t="s">
        <v>1804</v>
      </c>
      <c r="F856" t="s">
        <v>878</v>
      </c>
      <c r="G856" t="s">
        <v>860</v>
      </c>
      <c r="H856" t="s">
        <v>965</v>
      </c>
    </row>
    <row r="857" spans="1:8" x14ac:dyDescent="0.3">
      <c r="A857" s="6">
        <v>10</v>
      </c>
      <c r="B857" t="s">
        <v>886</v>
      </c>
      <c r="C857" s="9" t="s">
        <v>963</v>
      </c>
      <c r="D857" s="9">
        <v>60</v>
      </c>
      <c r="E857" s="9" t="s">
        <v>1804</v>
      </c>
      <c r="F857" t="s">
        <v>79</v>
      </c>
      <c r="G857" t="s">
        <v>80</v>
      </c>
      <c r="H857" t="s">
        <v>1416</v>
      </c>
    </row>
    <row r="858" spans="1:8" x14ac:dyDescent="0.3">
      <c r="A858" s="6">
        <v>10</v>
      </c>
      <c r="B858" t="s">
        <v>886</v>
      </c>
      <c r="C858" s="9" t="s">
        <v>963</v>
      </c>
      <c r="D858" s="9">
        <v>64</v>
      </c>
      <c r="E858" s="9" t="s">
        <v>1804</v>
      </c>
      <c r="F858" t="s">
        <v>580</v>
      </c>
      <c r="G858" t="s">
        <v>177</v>
      </c>
      <c r="H858" t="s">
        <v>1385</v>
      </c>
    </row>
    <row r="859" spans="1:8" x14ac:dyDescent="0.3">
      <c r="A859" s="6">
        <v>10</v>
      </c>
      <c r="B859" t="s">
        <v>886</v>
      </c>
      <c r="C859" s="9" t="s">
        <v>963</v>
      </c>
      <c r="D859" s="9">
        <v>61</v>
      </c>
      <c r="E859" s="9" t="s">
        <v>1804</v>
      </c>
      <c r="F859" t="s">
        <v>324</v>
      </c>
      <c r="G859" t="s">
        <v>193</v>
      </c>
      <c r="H859" t="s">
        <v>1339</v>
      </c>
    </row>
    <row r="860" spans="1:8" x14ac:dyDescent="0.3">
      <c r="A860" s="6">
        <v>10</v>
      </c>
      <c r="B860" t="s">
        <v>886</v>
      </c>
      <c r="C860" s="9" t="s">
        <v>963</v>
      </c>
      <c r="D860" s="9">
        <v>88</v>
      </c>
      <c r="E860" s="9" t="s">
        <v>1804</v>
      </c>
      <c r="F860" t="s">
        <v>84</v>
      </c>
      <c r="G860" t="s">
        <v>85</v>
      </c>
      <c r="H860" t="s">
        <v>1342</v>
      </c>
    </row>
    <row r="861" spans="1:8" x14ac:dyDescent="0.3">
      <c r="A861" s="6">
        <v>10</v>
      </c>
      <c r="B861" t="s">
        <v>886</v>
      </c>
      <c r="C861" s="9" t="s">
        <v>963</v>
      </c>
      <c r="D861" s="9">
        <v>60</v>
      </c>
      <c r="E861" s="9" t="s">
        <v>1804</v>
      </c>
      <c r="F861" t="s">
        <v>904</v>
      </c>
      <c r="G861" t="s">
        <v>888</v>
      </c>
      <c r="H861" t="s">
        <v>1345</v>
      </c>
    </row>
    <row r="862" spans="1:8" x14ac:dyDescent="0.3">
      <c r="A862" s="6">
        <v>10</v>
      </c>
      <c r="B862" t="s">
        <v>886</v>
      </c>
      <c r="C862" s="9" t="s">
        <v>963</v>
      </c>
      <c r="D862" s="9">
        <v>73</v>
      </c>
      <c r="E862" s="9" t="s">
        <v>1804</v>
      </c>
      <c r="F862" t="s">
        <v>679</v>
      </c>
      <c r="G862" t="s">
        <v>680</v>
      </c>
      <c r="H862" t="s">
        <v>972</v>
      </c>
    </row>
    <row r="863" spans="1:8" x14ac:dyDescent="0.3">
      <c r="A863" s="6">
        <v>10</v>
      </c>
      <c r="B863" t="s">
        <v>886</v>
      </c>
      <c r="C863" s="9" t="s">
        <v>963</v>
      </c>
      <c r="D863" s="9">
        <v>77</v>
      </c>
      <c r="E863" s="9" t="s">
        <v>1804</v>
      </c>
      <c r="F863" t="s">
        <v>328</v>
      </c>
      <c r="G863" t="s">
        <v>329</v>
      </c>
      <c r="H863" t="s">
        <v>1350</v>
      </c>
    </row>
    <row r="864" spans="1:8" x14ac:dyDescent="0.3">
      <c r="A864" s="6">
        <v>10</v>
      </c>
      <c r="B864" t="s">
        <v>886</v>
      </c>
      <c r="C864" s="9" t="s">
        <v>963</v>
      </c>
      <c r="D864" s="9">
        <v>73</v>
      </c>
      <c r="E864" s="9" t="s">
        <v>1804</v>
      </c>
      <c r="F864" t="s">
        <v>90</v>
      </c>
      <c r="G864" t="s">
        <v>15</v>
      </c>
      <c r="H864" t="s">
        <v>1351</v>
      </c>
    </row>
    <row r="865" spans="1:8" x14ac:dyDescent="0.3">
      <c r="A865" s="6">
        <v>10</v>
      </c>
      <c r="B865" t="s">
        <v>886</v>
      </c>
      <c r="C865" s="9" t="s">
        <v>963</v>
      </c>
      <c r="D865" s="9">
        <v>75</v>
      </c>
      <c r="E865" s="9" t="s">
        <v>1804</v>
      </c>
      <c r="F865" t="s">
        <v>653</v>
      </c>
      <c r="G865" t="s">
        <v>654</v>
      </c>
      <c r="H865" t="s">
        <v>1352</v>
      </c>
    </row>
    <row r="866" spans="1:8" x14ac:dyDescent="0.3">
      <c r="A866" s="6">
        <v>10</v>
      </c>
      <c r="B866" t="s">
        <v>886</v>
      </c>
      <c r="C866" s="9" t="s">
        <v>963</v>
      </c>
      <c r="D866" s="9">
        <v>77</v>
      </c>
      <c r="E866" s="9" t="s">
        <v>1804</v>
      </c>
      <c r="F866" t="s">
        <v>91</v>
      </c>
      <c r="G866" t="s">
        <v>92</v>
      </c>
      <c r="H866" t="s">
        <v>1353</v>
      </c>
    </row>
    <row r="867" spans="1:8" x14ac:dyDescent="0.3">
      <c r="A867" s="6">
        <v>10</v>
      </c>
      <c r="B867" t="s">
        <v>886</v>
      </c>
      <c r="C867" s="9" t="s">
        <v>963</v>
      </c>
      <c r="D867" s="9">
        <v>77</v>
      </c>
      <c r="E867" s="9" t="s">
        <v>1804</v>
      </c>
      <c r="F867" t="s">
        <v>331</v>
      </c>
      <c r="G867" t="s">
        <v>92</v>
      </c>
      <c r="H867" t="s">
        <v>1354</v>
      </c>
    </row>
    <row r="868" spans="1:8" x14ac:dyDescent="0.3">
      <c r="A868" s="6">
        <v>10</v>
      </c>
      <c r="B868" t="s">
        <v>886</v>
      </c>
      <c r="C868" s="9" t="s">
        <v>963</v>
      </c>
      <c r="D868" s="9">
        <v>76</v>
      </c>
      <c r="E868" s="9" t="s">
        <v>1804</v>
      </c>
      <c r="F868" t="s">
        <v>94</v>
      </c>
      <c r="G868" t="s">
        <v>95</v>
      </c>
      <c r="H868" t="s">
        <v>1355</v>
      </c>
    </row>
    <row r="869" spans="1:8" x14ac:dyDescent="0.3">
      <c r="A869" s="6">
        <v>10</v>
      </c>
      <c r="B869" t="s">
        <v>886</v>
      </c>
      <c r="C869" s="9" t="s">
        <v>963</v>
      </c>
      <c r="D869" s="9">
        <v>77</v>
      </c>
      <c r="E869" s="9" t="s">
        <v>1804</v>
      </c>
      <c r="F869" t="s">
        <v>98</v>
      </c>
      <c r="G869" t="s">
        <v>99</v>
      </c>
      <c r="H869" t="s">
        <v>1357</v>
      </c>
    </row>
    <row r="870" spans="1:8" x14ac:dyDescent="0.3">
      <c r="A870" s="6">
        <v>10</v>
      </c>
      <c r="B870" t="s">
        <v>886</v>
      </c>
      <c r="C870" s="9" t="s">
        <v>963</v>
      </c>
      <c r="D870" s="9">
        <v>76</v>
      </c>
      <c r="E870" s="9" t="s">
        <v>1804</v>
      </c>
      <c r="F870" t="s">
        <v>332</v>
      </c>
      <c r="G870" t="s">
        <v>333</v>
      </c>
      <c r="H870" t="s">
        <v>1358</v>
      </c>
    </row>
    <row r="871" spans="1:8" x14ac:dyDescent="0.3">
      <c r="A871" s="6">
        <v>10</v>
      </c>
      <c r="B871" t="s">
        <v>886</v>
      </c>
      <c r="C871" s="9" t="s">
        <v>963</v>
      </c>
      <c r="D871" s="9">
        <v>65</v>
      </c>
      <c r="E871" s="9" t="s">
        <v>1804</v>
      </c>
      <c r="F871" t="s">
        <v>399</v>
      </c>
      <c r="G871" t="s">
        <v>1819</v>
      </c>
      <c r="H871" t="s">
        <v>1420</v>
      </c>
    </row>
    <row r="872" spans="1:8" x14ac:dyDescent="0.3">
      <c r="A872" s="6">
        <v>10</v>
      </c>
      <c r="B872" t="s">
        <v>886</v>
      </c>
      <c r="C872" s="9" t="s">
        <v>963</v>
      </c>
      <c r="D872" s="9">
        <v>72</v>
      </c>
      <c r="E872" s="9" t="s">
        <v>1804</v>
      </c>
      <c r="F872" t="s">
        <v>461</v>
      </c>
      <c r="G872" t="s">
        <v>462</v>
      </c>
      <c r="H872" t="s">
        <v>1360</v>
      </c>
    </row>
    <row r="873" spans="1:8" x14ac:dyDescent="0.3">
      <c r="A873" s="6">
        <v>10</v>
      </c>
      <c r="B873" t="s">
        <v>886</v>
      </c>
      <c r="C873" s="9" t="s">
        <v>963</v>
      </c>
      <c r="D873" s="9">
        <v>60</v>
      </c>
      <c r="E873" s="9" t="s">
        <v>1804</v>
      </c>
      <c r="F873" t="s">
        <v>905</v>
      </c>
      <c r="G873" t="s">
        <v>906</v>
      </c>
      <c r="H873" t="s">
        <v>1361</v>
      </c>
    </row>
    <row r="874" spans="1:8" x14ac:dyDescent="0.3">
      <c r="A874" s="6">
        <v>10</v>
      </c>
      <c r="B874" t="s">
        <v>886</v>
      </c>
      <c r="C874" s="9" t="s">
        <v>963</v>
      </c>
      <c r="D874" s="9">
        <v>60</v>
      </c>
      <c r="E874" s="9" t="s">
        <v>1804</v>
      </c>
      <c r="F874" t="s">
        <v>341</v>
      </c>
      <c r="G874" t="s">
        <v>209</v>
      </c>
      <c r="H874" t="s">
        <v>1363</v>
      </c>
    </row>
    <row r="875" spans="1:8" x14ac:dyDescent="0.3">
      <c r="A875" s="6">
        <v>10</v>
      </c>
      <c r="B875" t="s">
        <v>886</v>
      </c>
      <c r="C875" s="9" t="s">
        <v>963</v>
      </c>
      <c r="D875" s="9">
        <v>64</v>
      </c>
      <c r="E875" s="9" t="s">
        <v>1804</v>
      </c>
      <c r="F875" t="s">
        <v>908</v>
      </c>
      <c r="G875" t="s">
        <v>909</v>
      </c>
      <c r="H875" t="s">
        <v>1417</v>
      </c>
    </row>
    <row r="876" spans="1:8" x14ac:dyDescent="0.3">
      <c r="A876" s="6">
        <v>10</v>
      </c>
      <c r="B876" t="s">
        <v>886</v>
      </c>
      <c r="C876" s="9" t="s">
        <v>963</v>
      </c>
      <c r="D876" s="9">
        <v>72</v>
      </c>
      <c r="E876" s="9" t="s">
        <v>1804</v>
      </c>
      <c r="F876" t="s">
        <v>101</v>
      </c>
      <c r="G876" t="s">
        <v>102</v>
      </c>
      <c r="H876" t="s">
        <v>1365</v>
      </c>
    </row>
    <row r="877" spans="1:8" x14ac:dyDescent="0.3">
      <c r="A877" s="6">
        <v>10</v>
      </c>
      <c r="B877" t="s">
        <v>886</v>
      </c>
      <c r="C877" s="9" t="s">
        <v>963</v>
      </c>
      <c r="D877" s="9">
        <v>60</v>
      </c>
      <c r="E877" s="9" t="s">
        <v>1804</v>
      </c>
      <c r="F877" t="s">
        <v>342</v>
      </c>
      <c r="G877" t="s">
        <v>343</v>
      </c>
      <c r="H877" t="s">
        <v>1191</v>
      </c>
    </row>
    <row r="878" spans="1:8" x14ac:dyDescent="0.3">
      <c r="A878" s="6">
        <v>10</v>
      </c>
      <c r="B878" t="s">
        <v>886</v>
      </c>
      <c r="C878" s="9" t="s">
        <v>963</v>
      </c>
      <c r="D878" s="9">
        <v>60</v>
      </c>
      <c r="E878" s="9" t="s">
        <v>1804</v>
      </c>
      <c r="F878" t="s">
        <v>403</v>
      </c>
      <c r="G878" t="s">
        <v>386</v>
      </c>
      <c r="H878" t="s">
        <v>1432</v>
      </c>
    </row>
    <row r="879" spans="1:8" x14ac:dyDescent="0.3">
      <c r="A879" s="6">
        <v>10</v>
      </c>
      <c r="B879" t="s">
        <v>886</v>
      </c>
      <c r="C879" s="9" t="s">
        <v>963</v>
      </c>
      <c r="D879" s="9">
        <v>60</v>
      </c>
      <c r="E879" s="9" t="s">
        <v>1804</v>
      </c>
      <c r="F879" t="s">
        <v>167</v>
      </c>
      <c r="G879" t="s">
        <v>168</v>
      </c>
      <c r="H879" t="s">
        <v>1533</v>
      </c>
    </row>
    <row r="880" spans="1:8" x14ac:dyDescent="0.3">
      <c r="A880" s="6">
        <v>10</v>
      </c>
      <c r="B880" t="s">
        <v>886</v>
      </c>
      <c r="C880" s="9" t="s">
        <v>963</v>
      </c>
      <c r="D880" s="9">
        <v>60</v>
      </c>
      <c r="E880" s="9" t="s">
        <v>1804</v>
      </c>
      <c r="F880" t="s">
        <v>464</v>
      </c>
      <c r="G880" t="s">
        <v>168</v>
      </c>
      <c r="H880" t="s">
        <v>1534</v>
      </c>
    </row>
    <row r="881" spans="1:8" x14ac:dyDescent="0.3">
      <c r="A881" s="6">
        <v>10</v>
      </c>
      <c r="B881" t="s">
        <v>886</v>
      </c>
      <c r="C881" s="9" t="s">
        <v>963</v>
      </c>
      <c r="D881" s="9">
        <v>60</v>
      </c>
      <c r="E881" s="9" t="s">
        <v>1804</v>
      </c>
      <c r="F881" t="s">
        <v>170</v>
      </c>
      <c r="G881" t="s">
        <v>171</v>
      </c>
      <c r="H881" t="s">
        <v>1535</v>
      </c>
    </row>
    <row r="882" spans="1:8" x14ac:dyDescent="0.3">
      <c r="A882" s="6">
        <v>10</v>
      </c>
      <c r="B882" t="s">
        <v>886</v>
      </c>
      <c r="C882" s="9" t="s">
        <v>963</v>
      </c>
      <c r="D882" s="9">
        <v>63</v>
      </c>
      <c r="E882" s="9" t="s">
        <v>1804</v>
      </c>
      <c r="F882" t="s">
        <v>404</v>
      </c>
      <c r="G882" t="s">
        <v>115</v>
      </c>
      <c r="H882" t="s">
        <v>1536</v>
      </c>
    </row>
    <row r="883" spans="1:8" x14ac:dyDescent="0.3">
      <c r="A883" s="6">
        <v>10</v>
      </c>
      <c r="B883" t="s">
        <v>886</v>
      </c>
      <c r="C883" s="9" t="s">
        <v>963</v>
      </c>
      <c r="D883" s="9">
        <v>60</v>
      </c>
      <c r="E883" s="9" t="s">
        <v>1804</v>
      </c>
      <c r="F883" t="s">
        <v>686</v>
      </c>
      <c r="G883" t="s">
        <v>115</v>
      </c>
      <c r="H883" t="s">
        <v>1536</v>
      </c>
    </row>
    <row r="884" spans="1:8" x14ac:dyDescent="0.3">
      <c r="A884" s="6">
        <v>10</v>
      </c>
      <c r="B884" t="s">
        <v>886</v>
      </c>
      <c r="C884" s="9" t="s">
        <v>963</v>
      </c>
      <c r="D884" s="9">
        <v>60</v>
      </c>
      <c r="E884" s="9" t="s">
        <v>1804</v>
      </c>
      <c r="F884" t="s">
        <v>106</v>
      </c>
      <c r="G884" t="s">
        <v>32</v>
      </c>
      <c r="H884" t="s">
        <v>1537</v>
      </c>
    </row>
    <row r="885" spans="1:8" x14ac:dyDescent="0.3">
      <c r="A885" s="6">
        <v>10</v>
      </c>
      <c r="B885" t="s">
        <v>886</v>
      </c>
      <c r="C885" s="9" t="s">
        <v>963</v>
      </c>
      <c r="D885" s="9">
        <v>60</v>
      </c>
      <c r="E885" s="9" t="s">
        <v>1804</v>
      </c>
      <c r="F885" t="s">
        <v>725</v>
      </c>
      <c r="G885" t="s">
        <v>504</v>
      </c>
      <c r="H885" t="s">
        <v>1539</v>
      </c>
    </row>
    <row r="886" spans="1:8" x14ac:dyDescent="0.3">
      <c r="A886" s="6">
        <v>10</v>
      </c>
      <c r="B886" t="s">
        <v>886</v>
      </c>
      <c r="C886" s="9" t="s">
        <v>963</v>
      </c>
      <c r="D886" s="9">
        <v>60</v>
      </c>
      <c r="E886" s="9" t="s">
        <v>1804</v>
      </c>
      <c r="F886" t="s">
        <v>751</v>
      </c>
      <c r="G886" t="s">
        <v>752</v>
      </c>
      <c r="H886" t="s">
        <v>1540</v>
      </c>
    </row>
    <row r="887" spans="1:8" x14ac:dyDescent="0.3">
      <c r="A887" s="6">
        <v>10</v>
      </c>
      <c r="B887" t="s">
        <v>886</v>
      </c>
      <c r="C887" s="9" t="s">
        <v>963</v>
      </c>
      <c r="D887" s="9">
        <v>60</v>
      </c>
      <c r="E887" s="9" t="s">
        <v>1804</v>
      </c>
      <c r="F887" t="s">
        <v>107</v>
      </c>
      <c r="G887" t="s">
        <v>108</v>
      </c>
      <c r="H887" t="s">
        <v>1140</v>
      </c>
    </row>
    <row r="888" spans="1:8" x14ac:dyDescent="0.3">
      <c r="A888" s="6">
        <v>10</v>
      </c>
      <c r="B888" t="s">
        <v>886</v>
      </c>
      <c r="C888" s="9" t="s">
        <v>963</v>
      </c>
      <c r="D888" s="9">
        <v>60</v>
      </c>
      <c r="E888" s="9" t="s">
        <v>1804</v>
      </c>
      <c r="F888" t="s">
        <v>351</v>
      </c>
      <c r="G888" t="s">
        <v>38</v>
      </c>
      <c r="H888" t="s">
        <v>1142</v>
      </c>
    </row>
    <row r="889" spans="1:8" x14ac:dyDescent="0.3">
      <c r="A889" s="6">
        <v>10</v>
      </c>
      <c r="B889" t="s">
        <v>886</v>
      </c>
      <c r="C889" s="9" t="s">
        <v>963</v>
      </c>
      <c r="D889" s="9">
        <v>60</v>
      </c>
      <c r="E889" s="9" t="s">
        <v>1804</v>
      </c>
      <c r="F889" t="s">
        <v>528</v>
      </c>
      <c r="G889" t="s">
        <v>38</v>
      </c>
      <c r="H889" t="s">
        <v>1143</v>
      </c>
    </row>
    <row r="890" spans="1:8" x14ac:dyDescent="0.3">
      <c r="A890" s="6">
        <v>10</v>
      </c>
      <c r="B890" t="s">
        <v>886</v>
      </c>
      <c r="C890" s="9" t="s">
        <v>963</v>
      </c>
      <c r="D890" s="9">
        <v>60</v>
      </c>
      <c r="E890" s="9" t="s">
        <v>1804</v>
      </c>
      <c r="F890" t="s">
        <v>110</v>
      </c>
      <c r="G890" t="s">
        <v>41</v>
      </c>
      <c r="H890" t="s">
        <v>1144</v>
      </c>
    </row>
    <row r="891" spans="1:8" x14ac:dyDescent="0.3">
      <c r="A891" s="6">
        <v>10</v>
      </c>
      <c r="B891" t="s">
        <v>886</v>
      </c>
      <c r="C891" s="9" t="s">
        <v>963</v>
      </c>
      <c r="D891" s="9">
        <v>66</v>
      </c>
      <c r="E891" s="9" t="s">
        <v>1804</v>
      </c>
      <c r="F891" t="s">
        <v>353</v>
      </c>
      <c r="G891" t="s">
        <v>354</v>
      </c>
      <c r="H891" t="s">
        <v>1020</v>
      </c>
    </row>
    <row r="892" spans="1:8" x14ac:dyDescent="0.3">
      <c r="A892" s="6">
        <v>10</v>
      </c>
      <c r="B892" t="s">
        <v>886</v>
      </c>
      <c r="C892" s="9" t="s">
        <v>963</v>
      </c>
      <c r="D892" s="9">
        <v>60</v>
      </c>
      <c r="E892" s="9" t="s">
        <v>1804</v>
      </c>
      <c r="F892" t="s">
        <v>465</v>
      </c>
      <c r="G892" t="s">
        <v>235</v>
      </c>
      <c r="H892" t="s">
        <v>1117</v>
      </c>
    </row>
    <row r="893" spans="1:8" x14ac:dyDescent="0.3">
      <c r="A893" s="6">
        <v>10</v>
      </c>
      <c r="B893" t="s">
        <v>886</v>
      </c>
      <c r="C893" s="9" t="s">
        <v>963</v>
      </c>
      <c r="D893" s="9">
        <v>60</v>
      </c>
      <c r="E893" s="9" t="s">
        <v>1804</v>
      </c>
      <c r="F893" t="s">
        <v>114</v>
      </c>
      <c r="G893" t="s">
        <v>115</v>
      </c>
      <c r="H893" t="s">
        <v>1121</v>
      </c>
    </row>
    <row r="894" spans="1:8" x14ac:dyDescent="0.3">
      <c r="A894" s="6">
        <v>10</v>
      </c>
      <c r="B894" t="s">
        <v>886</v>
      </c>
      <c r="C894" s="9" t="s">
        <v>963</v>
      </c>
      <c r="D894" s="9">
        <v>60</v>
      </c>
      <c r="E894" s="9" t="s">
        <v>1804</v>
      </c>
      <c r="F894" t="s">
        <v>117</v>
      </c>
      <c r="G894" t="s">
        <v>118</v>
      </c>
      <c r="H894" t="s">
        <v>1419</v>
      </c>
    </row>
    <row r="895" spans="1:8" x14ac:dyDescent="0.3">
      <c r="A895" s="6">
        <v>10</v>
      </c>
      <c r="B895" t="s">
        <v>886</v>
      </c>
      <c r="C895" s="9" t="s">
        <v>963</v>
      </c>
      <c r="D895" s="9">
        <v>60</v>
      </c>
      <c r="E895" s="9" t="s">
        <v>1804</v>
      </c>
      <c r="F895" t="s">
        <v>120</v>
      </c>
      <c r="G895" t="s">
        <v>51</v>
      </c>
      <c r="H895" t="s">
        <v>1590</v>
      </c>
    </row>
    <row r="896" spans="1:8" x14ac:dyDescent="0.3">
      <c r="A896" s="6">
        <v>10</v>
      </c>
      <c r="B896" t="s">
        <v>886</v>
      </c>
      <c r="C896" s="9" t="s">
        <v>963</v>
      </c>
      <c r="D896" s="9">
        <v>68</v>
      </c>
      <c r="E896" s="9" t="s">
        <v>1804</v>
      </c>
      <c r="F896" t="s">
        <v>468</v>
      </c>
      <c r="G896" t="s">
        <v>54</v>
      </c>
      <c r="H896" t="s">
        <v>1682</v>
      </c>
    </row>
    <row r="897" spans="1:8" x14ac:dyDescent="0.3">
      <c r="A897" s="6">
        <v>10</v>
      </c>
      <c r="B897" t="s">
        <v>886</v>
      </c>
      <c r="C897" s="9" t="s">
        <v>963</v>
      </c>
      <c r="D897" s="9">
        <v>68</v>
      </c>
      <c r="E897" s="9" t="s">
        <v>1804</v>
      </c>
      <c r="F897" t="s">
        <v>472</v>
      </c>
      <c r="G897" t="s">
        <v>473</v>
      </c>
      <c r="H897" t="s">
        <v>1686</v>
      </c>
    </row>
    <row r="898" spans="1:8" x14ac:dyDescent="0.3">
      <c r="A898" s="6">
        <v>10</v>
      </c>
      <c r="B898" t="s">
        <v>886</v>
      </c>
      <c r="C898" s="9" t="s">
        <v>963</v>
      </c>
      <c r="D898" s="9">
        <v>60</v>
      </c>
      <c r="E898" s="9" t="s">
        <v>1804</v>
      </c>
      <c r="F898" t="s">
        <v>367</v>
      </c>
      <c r="G898" t="s">
        <v>368</v>
      </c>
      <c r="H898" t="s">
        <v>1688</v>
      </c>
    </row>
    <row r="899" spans="1:8" x14ac:dyDescent="0.3">
      <c r="A899" s="6">
        <v>10</v>
      </c>
      <c r="B899" t="s">
        <v>886</v>
      </c>
      <c r="C899" s="9" t="s">
        <v>963</v>
      </c>
      <c r="D899" s="9">
        <v>60</v>
      </c>
      <c r="E899" s="9" t="s">
        <v>1804</v>
      </c>
      <c r="F899" t="s">
        <v>371</v>
      </c>
      <c r="G899" t="s">
        <v>66</v>
      </c>
      <c r="H899" t="s">
        <v>1799</v>
      </c>
    </row>
    <row r="900" spans="1:8" x14ac:dyDescent="0.3">
      <c r="A900" s="6">
        <v>10</v>
      </c>
      <c r="B900" t="s">
        <v>886</v>
      </c>
      <c r="C900" s="9" t="s">
        <v>963</v>
      </c>
      <c r="D900" s="9">
        <v>64</v>
      </c>
      <c r="E900" s="9" t="s">
        <v>1804</v>
      </c>
      <c r="F900" t="s">
        <v>372</v>
      </c>
      <c r="G900" t="s">
        <v>312</v>
      </c>
      <c r="H900" t="s">
        <v>973</v>
      </c>
    </row>
    <row r="901" spans="1:8" x14ac:dyDescent="0.3">
      <c r="A901" s="6">
        <v>10</v>
      </c>
      <c r="B901" t="s">
        <v>886</v>
      </c>
      <c r="C901" s="9" t="s">
        <v>963</v>
      </c>
      <c r="D901" s="9">
        <v>64</v>
      </c>
      <c r="E901" s="9" t="s">
        <v>1804</v>
      </c>
      <c r="F901" t="s">
        <v>125</v>
      </c>
      <c r="G901" t="s">
        <v>126</v>
      </c>
      <c r="H901" t="s">
        <v>1581</v>
      </c>
    </row>
    <row r="902" spans="1:8" x14ac:dyDescent="0.3">
      <c r="A902" s="6">
        <v>10</v>
      </c>
      <c r="B902" t="s">
        <v>886</v>
      </c>
      <c r="C902" s="9" t="s">
        <v>963</v>
      </c>
      <c r="D902" s="9">
        <v>60</v>
      </c>
      <c r="E902" s="9" t="s">
        <v>1804</v>
      </c>
      <c r="F902" t="s">
        <v>128</v>
      </c>
      <c r="G902" t="s">
        <v>129</v>
      </c>
      <c r="H902" t="s">
        <v>1582</v>
      </c>
    </row>
    <row r="903" spans="1:8" x14ac:dyDescent="0.3">
      <c r="A903" s="6">
        <v>10</v>
      </c>
      <c r="B903" t="s">
        <v>886</v>
      </c>
      <c r="C903" s="9" t="s">
        <v>963</v>
      </c>
      <c r="D903" s="9">
        <v>60</v>
      </c>
      <c r="E903" s="9" t="s">
        <v>1804</v>
      </c>
      <c r="F903" t="s">
        <v>131</v>
      </c>
      <c r="G903" t="s">
        <v>376</v>
      </c>
      <c r="H903" t="s">
        <v>1818</v>
      </c>
    </row>
    <row r="904" spans="1:8" x14ac:dyDescent="0.3">
      <c r="A904" s="6">
        <v>11</v>
      </c>
      <c r="B904" t="s">
        <v>858</v>
      </c>
      <c r="C904" s="9" t="s">
        <v>932</v>
      </c>
      <c r="D904" s="9">
        <v>26</v>
      </c>
      <c r="E904" s="9" t="s">
        <v>1804</v>
      </c>
      <c r="F904" t="s">
        <v>859</v>
      </c>
      <c r="G904" t="s">
        <v>860</v>
      </c>
      <c r="H904" t="s">
        <v>935</v>
      </c>
    </row>
    <row r="905" spans="1:8" x14ac:dyDescent="0.3">
      <c r="A905" s="6">
        <v>11</v>
      </c>
      <c r="B905" t="s">
        <v>858</v>
      </c>
      <c r="C905" s="9" t="s">
        <v>932</v>
      </c>
      <c r="D905" s="9">
        <v>12</v>
      </c>
      <c r="E905" s="9" t="s">
        <v>1804</v>
      </c>
      <c r="F905" t="s">
        <v>530</v>
      </c>
      <c r="G905" t="s">
        <v>531</v>
      </c>
      <c r="H905" t="s">
        <v>938</v>
      </c>
    </row>
    <row r="906" spans="1:8" x14ac:dyDescent="0.3">
      <c r="A906" s="6">
        <v>11</v>
      </c>
      <c r="B906" t="s">
        <v>858</v>
      </c>
      <c r="C906" s="9" t="s">
        <v>932</v>
      </c>
      <c r="D906" s="9">
        <v>18</v>
      </c>
      <c r="E906" s="9" t="s">
        <v>1804</v>
      </c>
      <c r="F906" t="s">
        <v>533</v>
      </c>
      <c r="G906" t="s">
        <v>531</v>
      </c>
      <c r="H906" t="s">
        <v>939</v>
      </c>
    </row>
    <row r="907" spans="1:8" x14ac:dyDescent="0.3">
      <c r="A907" s="6">
        <v>11</v>
      </c>
      <c r="B907" t="s">
        <v>858</v>
      </c>
      <c r="C907" s="9" t="s">
        <v>932</v>
      </c>
      <c r="D907" s="9">
        <v>30</v>
      </c>
      <c r="E907" s="9" t="s">
        <v>1804</v>
      </c>
      <c r="F907" t="s">
        <v>534</v>
      </c>
      <c r="G907" t="s">
        <v>531</v>
      </c>
      <c r="H907" t="s">
        <v>940</v>
      </c>
    </row>
    <row r="908" spans="1:8" x14ac:dyDescent="0.3">
      <c r="A908" s="6">
        <v>11</v>
      </c>
      <c r="B908" t="s">
        <v>858</v>
      </c>
      <c r="C908" s="9" t="s">
        <v>932</v>
      </c>
      <c r="D908" s="9">
        <v>12</v>
      </c>
      <c r="E908" s="9" t="s">
        <v>1804</v>
      </c>
      <c r="F908" t="s">
        <v>143</v>
      </c>
      <c r="G908" t="s">
        <v>144</v>
      </c>
      <c r="H908" t="s">
        <v>1694</v>
      </c>
    </row>
    <row r="909" spans="1:8" x14ac:dyDescent="0.3">
      <c r="A909" s="6">
        <v>11</v>
      </c>
      <c r="B909" t="s">
        <v>858</v>
      </c>
      <c r="C909" s="9" t="s">
        <v>932</v>
      </c>
      <c r="D909" s="9">
        <v>30</v>
      </c>
      <c r="E909" s="9" t="s">
        <v>1804</v>
      </c>
      <c r="F909" t="s">
        <v>146</v>
      </c>
      <c r="G909" t="s">
        <v>147</v>
      </c>
      <c r="H909" t="s">
        <v>1377</v>
      </c>
    </row>
    <row r="910" spans="1:8" x14ac:dyDescent="0.3">
      <c r="A910" s="6">
        <v>11</v>
      </c>
      <c r="B910" t="s">
        <v>858</v>
      </c>
      <c r="C910" s="9" t="s">
        <v>932</v>
      </c>
      <c r="D910" s="9">
        <v>15</v>
      </c>
      <c r="E910" s="9" t="s">
        <v>1804</v>
      </c>
      <c r="F910" t="s">
        <v>149</v>
      </c>
      <c r="G910" t="s">
        <v>147</v>
      </c>
      <c r="H910" t="s">
        <v>1378</v>
      </c>
    </row>
    <row r="911" spans="1:8" x14ac:dyDescent="0.3">
      <c r="A911" s="6">
        <v>11</v>
      </c>
      <c r="B911" t="s">
        <v>858</v>
      </c>
      <c r="C911" s="9" t="s">
        <v>932</v>
      </c>
      <c r="D911" s="9">
        <v>24</v>
      </c>
      <c r="E911" s="9" t="s">
        <v>1804</v>
      </c>
      <c r="F911" t="s">
        <v>536</v>
      </c>
      <c r="G911" t="s">
        <v>537</v>
      </c>
      <c r="H911" t="s">
        <v>1384</v>
      </c>
    </row>
    <row r="912" spans="1:8" x14ac:dyDescent="0.3">
      <c r="A912" s="6">
        <v>11</v>
      </c>
      <c r="B912" t="s">
        <v>858</v>
      </c>
      <c r="C912" s="9" t="s">
        <v>932</v>
      </c>
      <c r="D912" s="9">
        <v>30</v>
      </c>
      <c r="E912" s="9" t="s">
        <v>1804</v>
      </c>
      <c r="F912" t="s">
        <v>498</v>
      </c>
      <c r="G912" t="s">
        <v>499</v>
      </c>
      <c r="H912" t="s">
        <v>1695</v>
      </c>
    </row>
    <row r="913" spans="1:8" x14ac:dyDescent="0.3">
      <c r="A913" s="6">
        <v>11</v>
      </c>
      <c r="B913" t="s">
        <v>858</v>
      </c>
      <c r="C913" s="9" t="s">
        <v>1266</v>
      </c>
      <c r="D913" s="9">
        <v>50</v>
      </c>
      <c r="E913" s="9" t="s">
        <v>1804</v>
      </c>
      <c r="F913" t="s">
        <v>8</v>
      </c>
      <c r="G913" t="s">
        <v>526</v>
      </c>
      <c r="H913" t="s">
        <v>1805</v>
      </c>
    </row>
    <row r="914" spans="1:8" x14ac:dyDescent="0.3">
      <c r="A914" s="6">
        <v>11</v>
      </c>
      <c r="B914" t="s">
        <v>858</v>
      </c>
      <c r="C914" s="9" t="s">
        <v>1807</v>
      </c>
      <c r="D914" s="9">
        <v>1300</v>
      </c>
      <c r="E914" s="9" t="s">
        <v>1808</v>
      </c>
      <c r="F914" t="s">
        <v>199</v>
      </c>
      <c r="G914" t="s">
        <v>200</v>
      </c>
      <c r="H914" t="s">
        <v>1271</v>
      </c>
    </row>
    <row r="915" spans="1:8" x14ac:dyDescent="0.3">
      <c r="A915" s="6">
        <v>11</v>
      </c>
      <c r="B915" t="s">
        <v>858</v>
      </c>
      <c r="C915" s="9" t="s">
        <v>1807</v>
      </c>
      <c r="D915" s="9">
        <v>1050</v>
      </c>
      <c r="E915" s="9" t="s">
        <v>1808</v>
      </c>
      <c r="F915" t="s">
        <v>203</v>
      </c>
      <c r="G915" t="s">
        <v>12</v>
      </c>
      <c r="H915" t="s">
        <v>1821</v>
      </c>
    </row>
    <row r="916" spans="1:8" x14ac:dyDescent="0.3">
      <c r="A916" s="6">
        <v>11</v>
      </c>
      <c r="B916" t="s">
        <v>858</v>
      </c>
      <c r="C916" s="9" t="s">
        <v>932</v>
      </c>
      <c r="D916" s="9">
        <v>42</v>
      </c>
      <c r="E916" s="9" t="s">
        <v>1804</v>
      </c>
      <c r="F916" t="s">
        <v>14</v>
      </c>
      <c r="G916" t="s">
        <v>15</v>
      </c>
      <c r="H916" t="s">
        <v>1290</v>
      </c>
    </row>
    <row r="917" spans="1:8" x14ac:dyDescent="0.3">
      <c r="A917" s="6">
        <v>11</v>
      </c>
      <c r="B917" t="s">
        <v>858</v>
      </c>
      <c r="C917" s="9" t="s">
        <v>1266</v>
      </c>
      <c r="D917" s="9">
        <v>12</v>
      </c>
      <c r="E917" s="9" t="s">
        <v>1804</v>
      </c>
      <c r="F917" t="s">
        <v>17</v>
      </c>
      <c r="G917" t="s">
        <v>15</v>
      </c>
      <c r="H917" t="s">
        <v>1291</v>
      </c>
    </row>
    <row r="918" spans="1:8" x14ac:dyDescent="0.3">
      <c r="A918" s="6">
        <v>11</v>
      </c>
      <c r="B918" t="s">
        <v>858</v>
      </c>
      <c r="C918" s="9" t="s">
        <v>1807</v>
      </c>
      <c r="D918" s="9">
        <v>1330</v>
      </c>
      <c r="E918" s="9" t="s">
        <v>1808</v>
      </c>
      <c r="F918" t="s">
        <v>207</v>
      </c>
      <c r="G918" t="s">
        <v>19</v>
      </c>
      <c r="H918" t="s">
        <v>1301</v>
      </c>
    </row>
    <row r="919" spans="1:8" x14ac:dyDescent="0.3">
      <c r="A919" s="6">
        <v>11</v>
      </c>
      <c r="B919" t="s">
        <v>858</v>
      </c>
      <c r="C919" s="9" t="s">
        <v>1807</v>
      </c>
      <c r="D919" s="9">
        <v>165</v>
      </c>
      <c r="E919" s="9" t="s">
        <v>1808</v>
      </c>
      <c r="F919" t="s">
        <v>410</v>
      </c>
      <c r="G919" t="s">
        <v>411</v>
      </c>
      <c r="H919" t="s">
        <v>1313</v>
      </c>
    </row>
    <row r="920" spans="1:8" x14ac:dyDescent="0.3">
      <c r="A920" s="6">
        <v>11</v>
      </c>
      <c r="B920" t="s">
        <v>858</v>
      </c>
      <c r="C920" s="9" t="s">
        <v>1807</v>
      </c>
      <c r="D920" s="9">
        <v>1350</v>
      </c>
      <c r="E920" s="9" t="s">
        <v>1808</v>
      </c>
      <c r="F920" t="s">
        <v>413</v>
      </c>
      <c r="G920" t="s">
        <v>414</v>
      </c>
      <c r="H920" t="s">
        <v>1332</v>
      </c>
    </row>
    <row r="921" spans="1:8" x14ac:dyDescent="0.3">
      <c r="A921" s="6">
        <v>11</v>
      </c>
      <c r="B921" t="s">
        <v>858</v>
      </c>
      <c r="C921" s="9" t="s">
        <v>1807</v>
      </c>
      <c r="D921" s="9">
        <v>165</v>
      </c>
      <c r="E921" s="9" t="s">
        <v>1808</v>
      </c>
      <c r="F921" t="s">
        <v>152</v>
      </c>
      <c r="G921" t="s">
        <v>26</v>
      </c>
      <c r="H921" t="s">
        <v>1335</v>
      </c>
    </row>
    <row r="922" spans="1:8" x14ac:dyDescent="0.3">
      <c r="A922" s="6">
        <v>11</v>
      </c>
      <c r="B922" t="s">
        <v>858</v>
      </c>
      <c r="C922" s="9" t="s">
        <v>932</v>
      </c>
      <c r="D922" s="9">
        <v>36</v>
      </c>
      <c r="E922" s="9" t="s">
        <v>1804</v>
      </c>
      <c r="F922" t="s">
        <v>28</v>
      </c>
      <c r="G922" t="s">
        <v>29</v>
      </c>
      <c r="H922" t="s">
        <v>1180</v>
      </c>
    </row>
    <row r="923" spans="1:8" x14ac:dyDescent="0.3">
      <c r="A923" s="6">
        <v>11</v>
      </c>
      <c r="B923" t="s">
        <v>858</v>
      </c>
      <c r="C923" s="9" t="s">
        <v>932</v>
      </c>
      <c r="D923" s="9">
        <v>12</v>
      </c>
      <c r="E923" s="9" t="s">
        <v>1804</v>
      </c>
      <c r="F923" t="s">
        <v>483</v>
      </c>
      <c r="G923" t="s">
        <v>29</v>
      </c>
      <c r="H923" t="s">
        <v>1182</v>
      </c>
    </row>
    <row r="924" spans="1:8" x14ac:dyDescent="0.3">
      <c r="A924" s="6">
        <v>11</v>
      </c>
      <c r="B924" t="s">
        <v>858</v>
      </c>
      <c r="C924" s="9" t="s">
        <v>932</v>
      </c>
      <c r="D924" s="9">
        <v>12</v>
      </c>
      <c r="E924" s="9" t="s">
        <v>1804</v>
      </c>
      <c r="F924" t="s">
        <v>589</v>
      </c>
      <c r="G924" t="s">
        <v>29</v>
      </c>
      <c r="H924" t="s">
        <v>1184</v>
      </c>
    </row>
    <row r="925" spans="1:8" x14ac:dyDescent="0.3">
      <c r="A925" s="6">
        <v>11</v>
      </c>
      <c r="B925" t="s">
        <v>858</v>
      </c>
      <c r="C925" s="9" t="s">
        <v>1807</v>
      </c>
      <c r="D925" s="9">
        <v>600</v>
      </c>
      <c r="E925" s="9" t="s">
        <v>1808</v>
      </c>
      <c r="F925" t="s">
        <v>623</v>
      </c>
      <c r="G925" t="s">
        <v>29</v>
      </c>
      <c r="H925" t="s">
        <v>1185</v>
      </c>
    </row>
    <row r="926" spans="1:8" x14ac:dyDescent="0.3">
      <c r="A926" s="6">
        <v>11</v>
      </c>
      <c r="B926" t="s">
        <v>858</v>
      </c>
      <c r="C926" s="9" t="s">
        <v>932</v>
      </c>
      <c r="D926" s="9">
        <v>39</v>
      </c>
      <c r="E926" s="9" t="s">
        <v>1804</v>
      </c>
      <c r="F926" t="s">
        <v>417</v>
      </c>
      <c r="G926" t="s">
        <v>215</v>
      </c>
      <c r="H926" t="s">
        <v>1028</v>
      </c>
    </row>
    <row r="927" spans="1:8" x14ac:dyDescent="0.3">
      <c r="A927" s="6">
        <v>11</v>
      </c>
      <c r="B927" t="s">
        <v>858</v>
      </c>
      <c r="C927" s="9" t="s">
        <v>932</v>
      </c>
      <c r="D927" s="9">
        <v>12</v>
      </c>
      <c r="E927" s="9" t="s">
        <v>1804</v>
      </c>
      <c r="F927" t="s">
        <v>214</v>
      </c>
      <c r="G927" t="s">
        <v>215</v>
      </c>
      <c r="H927" t="s">
        <v>1029</v>
      </c>
    </row>
    <row r="928" spans="1:8" x14ac:dyDescent="0.3">
      <c r="A928" s="6">
        <v>11</v>
      </c>
      <c r="B928" t="s">
        <v>858</v>
      </c>
      <c r="C928" s="9" t="s">
        <v>932</v>
      </c>
      <c r="D928" s="9">
        <v>18</v>
      </c>
      <c r="E928" s="9" t="s">
        <v>1804</v>
      </c>
      <c r="F928" t="s">
        <v>217</v>
      </c>
      <c r="G928" t="s">
        <v>168</v>
      </c>
      <c r="H928" t="s">
        <v>1442</v>
      </c>
    </row>
    <row r="929" spans="1:8" x14ac:dyDescent="0.3">
      <c r="A929" s="6">
        <v>11</v>
      </c>
      <c r="B929" t="s">
        <v>858</v>
      </c>
      <c r="C929" s="9" t="s">
        <v>932</v>
      </c>
      <c r="D929" s="9">
        <v>16</v>
      </c>
      <c r="E929" s="9" t="s">
        <v>1804</v>
      </c>
      <c r="F929" t="s">
        <v>502</v>
      </c>
      <c r="G929" t="s">
        <v>168</v>
      </c>
      <c r="H929" t="s">
        <v>1444</v>
      </c>
    </row>
    <row r="930" spans="1:8" x14ac:dyDescent="0.3">
      <c r="A930" s="6">
        <v>11</v>
      </c>
      <c r="B930" t="s">
        <v>858</v>
      </c>
      <c r="C930" s="9" t="s">
        <v>932</v>
      </c>
      <c r="D930" s="9">
        <v>18</v>
      </c>
      <c r="E930" s="9" t="s">
        <v>1804</v>
      </c>
      <c r="F930" t="s">
        <v>389</v>
      </c>
      <c r="G930" t="s">
        <v>171</v>
      </c>
      <c r="H930" t="s">
        <v>1447</v>
      </c>
    </row>
    <row r="931" spans="1:8" x14ac:dyDescent="0.3">
      <c r="A931" s="6">
        <v>11</v>
      </c>
      <c r="B931" t="s">
        <v>858</v>
      </c>
      <c r="C931" s="9" t="s">
        <v>1807</v>
      </c>
      <c r="D931" s="9">
        <v>1050</v>
      </c>
      <c r="E931" s="9" t="s">
        <v>1808</v>
      </c>
      <c r="F931" t="s">
        <v>862</v>
      </c>
      <c r="G931" t="s">
        <v>863</v>
      </c>
      <c r="H931" t="s">
        <v>1130</v>
      </c>
    </row>
    <row r="932" spans="1:8" x14ac:dyDescent="0.3">
      <c r="A932" s="6">
        <v>11</v>
      </c>
      <c r="B932" t="s">
        <v>858</v>
      </c>
      <c r="C932" s="9" t="s">
        <v>1807</v>
      </c>
      <c r="D932" s="9">
        <v>1050</v>
      </c>
      <c r="E932" s="9" t="s">
        <v>1808</v>
      </c>
      <c r="F932" t="s">
        <v>600</v>
      </c>
      <c r="G932" t="s">
        <v>423</v>
      </c>
      <c r="H932" t="s">
        <v>1139</v>
      </c>
    </row>
    <row r="933" spans="1:8" x14ac:dyDescent="0.3">
      <c r="A933" s="6">
        <v>11</v>
      </c>
      <c r="B933" t="s">
        <v>858</v>
      </c>
      <c r="C933" s="9" t="s">
        <v>932</v>
      </c>
      <c r="D933" s="9">
        <v>12</v>
      </c>
      <c r="E933" s="9" t="s">
        <v>1804</v>
      </c>
      <c r="F933" t="s">
        <v>153</v>
      </c>
      <c r="G933" t="s">
        <v>108</v>
      </c>
      <c r="H933" t="s">
        <v>1150</v>
      </c>
    </row>
    <row r="934" spans="1:8" x14ac:dyDescent="0.3">
      <c r="A934" s="6">
        <v>11</v>
      </c>
      <c r="B934" t="s">
        <v>858</v>
      </c>
      <c r="C934" s="9" t="s">
        <v>932</v>
      </c>
      <c r="D934" s="9">
        <v>18</v>
      </c>
      <c r="E934" s="9" t="s">
        <v>1804</v>
      </c>
      <c r="F934" t="s">
        <v>154</v>
      </c>
      <c r="G934" t="s">
        <v>108</v>
      </c>
      <c r="H934" t="s">
        <v>1151</v>
      </c>
    </row>
    <row r="935" spans="1:8" x14ac:dyDescent="0.3">
      <c r="A935" s="6">
        <v>11</v>
      </c>
      <c r="B935" t="s">
        <v>858</v>
      </c>
      <c r="C935" s="9" t="s">
        <v>932</v>
      </c>
      <c r="D935" s="9">
        <v>21</v>
      </c>
      <c r="E935" s="9" t="s">
        <v>1804</v>
      </c>
      <c r="F935" t="s">
        <v>507</v>
      </c>
      <c r="G935" t="s">
        <v>108</v>
      </c>
      <c r="H935" t="s">
        <v>1154</v>
      </c>
    </row>
    <row r="936" spans="1:8" x14ac:dyDescent="0.3">
      <c r="A936" s="6">
        <v>11</v>
      </c>
      <c r="B936" t="s">
        <v>858</v>
      </c>
      <c r="C936" s="9" t="s">
        <v>932</v>
      </c>
      <c r="D936" s="9">
        <v>18</v>
      </c>
      <c r="E936" s="9" t="s">
        <v>1804</v>
      </c>
      <c r="F936" t="s">
        <v>227</v>
      </c>
      <c r="G936" t="s">
        <v>41</v>
      </c>
      <c r="H936" t="s">
        <v>1167</v>
      </c>
    </row>
    <row r="937" spans="1:8" x14ac:dyDescent="0.3">
      <c r="A937" s="6">
        <v>11</v>
      </c>
      <c r="B937" t="s">
        <v>858</v>
      </c>
      <c r="C937" s="9" t="s">
        <v>932</v>
      </c>
      <c r="D937" s="9">
        <v>12</v>
      </c>
      <c r="E937" s="9" t="s">
        <v>1804</v>
      </c>
      <c r="F937" t="s">
        <v>228</v>
      </c>
      <c r="G937" t="s">
        <v>41</v>
      </c>
      <c r="H937" t="s">
        <v>1168</v>
      </c>
    </row>
    <row r="938" spans="1:8" x14ac:dyDescent="0.3">
      <c r="A938" s="6">
        <v>11</v>
      </c>
      <c r="B938" t="s">
        <v>858</v>
      </c>
      <c r="C938" s="9" t="s">
        <v>932</v>
      </c>
      <c r="D938" s="9">
        <v>27</v>
      </c>
      <c r="E938" s="9" t="s">
        <v>1804</v>
      </c>
      <c r="F938" t="s">
        <v>40</v>
      </c>
      <c r="G938" t="s">
        <v>41</v>
      </c>
      <c r="H938" t="s">
        <v>1169</v>
      </c>
    </row>
    <row r="939" spans="1:8" x14ac:dyDescent="0.3">
      <c r="A939" s="6">
        <v>11</v>
      </c>
      <c r="B939" t="s">
        <v>858</v>
      </c>
      <c r="C939" s="9" t="s">
        <v>1807</v>
      </c>
      <c r="D939" s="9">
        <v>1050</v>
      </c>
      <c r="E939" s="9" t="s">
        <v>1808</v>
      </c>
      <c r="F939" t="s">
        <v>804</v>
      </c>
      <c r="G939" t="s">
        <v>805</v>
      </c>
      <c r="H939" t="s">
        <v>1157</v>
      </c>
    </row>
    <row r="940" spans="1:8" x14ac:dyDescent="0.3">
      <c r="A940" s="6">
        <v>11</v>
      </c>
      <c r="B940" t="s">
        <v>858</v>
      </c>
      <c r="C940" s="9" t="s">
        <v>932</v>
      </c>
      <c r="D940" s="9">
        <v>18</v>
      </c>
      <c r="E940" s="9" t="s">
        <v>1804</v>
      </c>
      <c r="F940" t="s">
        <v>229</v>
      </c>
      <c r="G940" t="s">
        <v>230</v>
      </c>
      <c r="H940" t="s">
        <v>1170</v>
      </c>
    </row>
    <row r="941" spans="1:8" x14ac:dyDescent="0.3">
      <c r="A941" s="6">
        <v>11</v>
      </c>
      <c r="B941" t="s">
        <v>858</v>
      </c>
      <c r="C941" s="9" t="s">
        <v>932</v>
      </c>
      <c r="D941" s="9">
        <v>24</v>
      </c>
      <c r="E941" s="9" t="s">
        <v>1804</v>
      </c>
      <c r="F941" t="s">
        <v>232</v>
      </c>
      <c r="G941" t="s">
        <v>144</v>
      </c>
      <c r="H941" t="s">
        <v>1171</v>
      </c>
    </row>
    <row r="942" spans="1:8" x14ac:dyDescent="0.3">
      <c r="A942" s="6">
        <v>11</v>
      </c>
      <c r="B942" t="s">
        <v>858</v>
      </c>
      <c r="C942" s="9" t="s">
        <v>932</v>
      </c>
      <c r="D942" s="9">
        <v>15</v>
      </c>
      <c r="E942" s="9" t="s">
        <v>1804</v>
      </c>
      <c r="F942" t="s">
        <v>43</v>
      </c>
      <c r="G942" t="s">
        <v>44</v>
      </c>
      <c r="H942" t="s">
        <v>1050</v>
      </c>
    </row>
    <row r="943" spans="1:8" x14ac:dyDescent="0.3">
      <c r="A943" s="6">
        <v>11</v>
      </c>
      <c r="B943" t="s">
        <v>858</v>
      </c>
      <c r="C943" s="9" t="s">
        <v>932</v>
      </c>
      <c r="D943" s="9">
        <v>12</v>
      </c>
      <c r="E943" s="9" t="s">
        <v>1804</v>
      </c>
      <c r="F943" t="s">
        <v>865</v>
      </c>
      <c r="G943" t="s">
        <v>812</v>
      </c>
      <c r="H943" t="s">
        <v>1840</v>
      </c>
    </row>
    <row r="944" spans="1:8" x14ac:dyDescent="0.3">
      <c r="A944" s="6">
        <v>11</v>
      </c>
      <c r="B944" t="s">
        <v>858</v>
      </c>
      <c r="C944" s="9" t="s">
        <v>932</v>
      </c>
      <c r="D944" s="9">
        <v>9</v>
      </c>
      <c r="E944" s="9" t="s">
        <v>1804</v>
      </c>
      <c r="F944" t="s">
        <v>512</v>
      </c>
      <c r="G944" t="s">
        <v>513</v>
      </c>
      <c r="H944" t="s">
        <v>1531</v>
      </c>
    </row>
    <row r="945" spans="1:8" x14ac:dyDescent="0.3">
      <c r="A945" s="6">
        <v>11</v>
      </c>
      <c r="B945" t="s">
        <v>858</v>
      </c>
      <c r="C945" s="9" t="s">
        <v>932</v>
      </c>
      <c r="D945" s="9">
        <v>15</v>
      </c>
      <c r="E945" s="9" t="s">
        <v>1804</v>
      </c>
      <c r="F945" t="s">
        <v>515</v>
      </c>
      <c r="G945" t="s">
        <v>238</v>
      </c>
      <c r="H945" t="s">
        <v>1064</v>
      </c>
    </row>
    <row r="946" spans="1:8" x14ac:dyDescent="0.3">
      <c r="A946" s="6">
        <v>11</v>
      </c>
      <c r="B946" t="s">
        <v>858</v>
      </c>
      <c r="C946" s="9" t="s">
        <v>932</v>
      </c>
      <c r="D946" s="9">
        <v>24</v>
      </c>
      <c r="E946" s="9" t="s">
        <v>1804</v>
      </c>
      <c r="F946" t="s">
        <v>237</v>
      </c>
      <c r="G946" t="s">
        <v>238</v>
      </c>
      <c r="H946" t="s">
        <v>1065</v>
      </c>
    </row>
    <row r="947" spans="1:8" x14ac:dyDescent="0.3">
      <c r="A947" s="6">
        <v>11</v>
      </c>
      <c r="B947" t="s">
        <v>858</v>
      </c>
      <c r="C947" s="9" t="s">
        <v>932</v>
      </c>
      <c r="D947" s="9">
        <v>24</v>
      </c>
      <c r="E947" s="9" t="s">
        <v>1804</v>
      </c>
      <c r="F947" t="s">
        <v>553</v>
      </c>
      <c r="G947" t="s">
        <v>238</v>
      </c>
      <c r="H947" t="s">
        <v>1066</v>
      </c>
    </row>
    <row r="948" spans="1:8" x14ac:dyDescent="0.3">
      <c r="A948" s="6">
        <v>11</v>
      </c>
      <c r="B948" t="s">
        <v>858</v>
      </c>
      <c r="C948" s="9" t="s">
        <v>1807</v>
      </c>
      <c r="D948" s="9">
        <v>1200</v>
      </c>
      <c r="E948" s="9" t="s">
        <v>1808</v>
      </c>
      <c r="F948" t="s">
        <v>240</v>
      </c>
      <c r="G948" t="s">
        <v>241</v>
      </c>
      <c r="H948" t="s">
        <v>1427</v>
      </c>
    </row>
    <row r="949" spans="1:8" x14ac:dyDescent="0.3">
      <c r="A949" s="6">
        <v>11</v>
      </c>
      <c r="B949" t="s">
        <v>858</v>
      </c>
      <c r="C949" s="9" t="s">
        <v>1807</v>
      </c>
      <c r="D949" s="9">
        <v>1200</v>
      </c>
      <c r="E949" s="9" t="s">
        <v>1808</v>
      </c>
      <c r="F949" t="s">
        <v>430</v>
      </c>
      <c r="G949" t="s">
        <v>431</v>
      </c>
      <c r="H949" t="s">
        <v>1428</v>
      </c>
    </row>
    <row r="950" spans="1:8" x14ac:dyDescent="0.3">
      <c r="A950" s="6">
        <v>11</v>
      </c>
      <c r="B950" t="s">
        <v>858</v>
      </c>
      <c r="C950" s="9" t="s">
        <v>1807</v>
      </c>
      <c r="D950" s="9">
        <v>260</v>
      </c>
      <c r="E950" s="9" t="s">
        <v>1808</v>
      </c>
      <c r="F950" t="s">
        <v>243</v>
      </c>
      <c r="G950" t="s">
        <v>244</v>
      </c>
      <c r="H950" t="s">
        <v>1429</v>
      </c>
    </row>
    <row r="951" spans="1:8" x14ac:dyDescent="0.3">
      <c r="A951" s="6">
        <v>11</v>
      </c>
      <c r="B951" t="s">
        <v>858</v>
      </c>
      <c r="C951" s="9" t="s">
        <v>1807</v>
      </c>
      <c r="D951" s="9">
        <v>600</v>
      </c>
      <c r="E951" s="9" t="s">
        <v>1808</v>
      </c>
      <c r="F951" t="s">
        <v>712</v>
      </c>
      <c r="G951" t="s">
        <v>713</v>
      </c>
      <c r="H951" t="s">
        <v>1430</v>
      </c>
    </row>
    <row r="952" spans="1:8" x14ac:dyDescent="0.3">
      <c r="A952" s="6">
        <v>11</v>
      </c>
      <c r="B952" t="s">
        <v>858</v>
      </c>
      <c r="C952" s="9" t="s">
        <v>1807</v>
      </c>
      <c r="D952" s="9">
        <v>240</v>
      </c>
      <c r="E952" s="9" t="s">
        <v>1808</v>
      </c>
      <c r="F952" t="s">
        <v>715</v>
      </c>
      <c r="G952" t="s">
        <v>716</v>
      </c>
      <c r="H952" t="s">
        <v>1431</v>
      </c>
    </row>
    <row r="953" spans="1:8" x14ac:dyDescent="0.3">
      <c r="A953" s="6">
        <v>11</v>
      </c>
      <c r="B953" t="s">
        <v>858</v>
      </c>
      <c r="C953" s="9" t="s">
        <v>932</v>
      </c>
      <c r="D953" s="9">
        <v>35</v>
      </c>
      <c r="E953" s="9" t="s">
        <v>1804</v>
      </c>
      <c r="F953" t="s">
        <v>46</v>
      </c>
      <c r="G953" t="s">
        <v>47</v>
      </c>
      <c r="H953" t="s">
        <v>1409</v>
      </c>
    </row>
    <row r="954" spans="1:8" x14ac:dyDescent="0.3">
      <c r="A954" s="6">
        <v>11</v>
      </c>
      <c r="B954" t="s">
        <v>858</v>
      </c>
      <c r="C954" s="9" t="s">
        <v>932</v>
      </c>
      <c r="D954" s="9">
        <v>12</v>
      </c>
      <c r="E954" s="9" t="s">
        <v>1804</v>
      </c>
      <c r="F954" t="s">
        <v>49</v>
      </c>
      <c r="G954" t="s">
        <v>47</v>
      </c>
      <c r="H954" t="s">
        <v>1410</v>
      </c>
    </row>
    <row r="955" spans="1:8" x14ac:dyDescent="0.3">
      <c r="A955" s="6">
        <v>11</v>
      </c>
      <c r="B955" t="s">
        <v>858</v>
      </c>
      <c r="C955" s="9" t="s">
        <v>932</v>
      </c>
      <c r="D955" s="9">
        <v>18</v>
      </c>
      <c r="E955" s="9" t="s">
        <v>1804</v>
      </c>
      <c r="F955" t="s">
        <v>155</v>
      </c>
      <c r="G955" t="s">
        <v>118</v>
      </c>
      <c r="H955" t="s">
        <v>1415</v>
      </c>
    </row>
    <row r="956" spans="1:8" x14ac:dyDescent="0.3">
      <c r="A956" s="6">
        <v>11</v>
      </c>
      <c r="B956" t="s">
        <v>858</v>
      </c>
      <c r="C956" s="9" t="s">
        <v>932</v>
      </c>
      <c r="D956" s="9">
        <v>31</v>
      </c>
      <c r="E956" s="9" t="s">
        <v>1804</v>
      </c>
      <c r="F956" t="s">
        <v>556</v>
      </c>
      <c r="G956" t="s">
        <v>54</v>
      </c>
      <c r="H956" t="s">
        <v>1601</v>
      </c>
    </row>
    <row r="957" spans="1:8" x14ac:dyDescent="0.3">
      <c r="A957" s="6">
        <v>11</v>
      </c>
      <c r="B957" t="s">
        <v>858</v>
      </c>
      <c r="C957" s="9" t="s">
        <v>932</v>
      </c>
      <c r="D957" s="9">
        <v>14</v>
      </c>
      <c r="E957" s="9" t="s">
        <v>1804</v>
      </c>
      <c r="F957" t="s">
        <v>557</v>
      </c>
      <c r="G957" t="s">
        <v>54</v>
      </c>
      <c r="H957" t="s">
        <v>1602</v>
      </c>
    </row>
    <row r="958" spans="1:8" x14ac:dyDescent="0.3">
      <c r="A958" s="6">
        <v>11</v>
      </c>
      <c r="B958" t="s">
        <v>858</v>
      </c>
      <c r="C958" s="9" t="s">
        <v>932</v>
      </c>
      <c r="D958" s="9">
        <v>12</v>
      </c>
      <c r="E958" s="9" t="s">
        <v>1804</v>
      </c>
      <c r="F958" t="s">
        <v>558</v>
      </c>
      <c r="G958" t="s">
        <v>559</v>
      </c>
      <c r="H958" t="s">
        <v>1610</v>
      </c>
    </row>
    <row r="959" spans="1:8" x14ac:dyDescent="0.3">
      <c r="A959" s="6">
        <v>11</v>
      </c>
      <c r="B959" t="s">
        <v>858</v>
      </c>
      <c r="C959" s="9" t="s">
        <v>932</v>
      </c>
      <c r="D959" s="9">
        <v>12</v>
      </c>
      <c r="E959" s="9" t="s">
        <v>1804</v>
      </c>
      <c r="F959" t="s">
        <v>561</v>
      </c>
      <c r="G959" t="s">
        <v>562</v>
      </c>
      <c r="H959" t="s">
        <v>1622</v>
      </c>
    </row>
    <row r="960" spans="1:8" x14ac:dyDescent="0.3">
      <c r="A960" s="6">
        <v>11</v>
      </c>
      <c r="B960" t="s">
        <v>858</v>
      </c>
      <c r="C960" s="9" t="s">
        <v>976</v>
      </c>
      <c r="D960" s="9">
        <v>64</v>
      </c>
      <c r="E960" s="9" t="s">
        <v>1804</v>
      </c>
      <c r="F960" t="s">
        <v>866</v>
      </c>
      <c r="G960" t="s">
        <v>249</v>
      </c>
      <c r="H960" t="s">
        <v>975</v>
      </c>
    </row>
    <row r="961" spans="1:8" x14ac:dyDescent="0.3">
      <c r="A961" s="6">
        <v>11</v>
      </c>
      <c r="B961" t="s">
        <v>858</v>
      </c>
      <c r="C961" s="9" t="s">
        <v>932</v>
      </c>
      <c r="D961" s="9">
        <v>12</v>
      </c>
      <c r="E961" s="9" t="s">
        <v>1804</v>
      </c>
      <c r="F961" t="s">
        <v>867</v>
      </c>
      <c r="G961" t="s">
        <v>249</v>
      </c>
      <c r="H961" t="s">
        <v>977</v>
      </c>
    </row>
    <row r="962" spans="1:8" x14ac:dyDescent="0.3">
      <c r="A962" s="6">
        <v>11</v>
      </c>
      <c r="B962" t="s">
        <v>858</v>
      </c>
      <c r="C962" s="9" t="s">
        <v>932</v>
      </c>
      <c r="D962" s="9">
        <v>24</v>
      </c>
      <c r="E962" s="9" t="s">
        <v>1804</v>
      </c>
      <c r="F962" t="s">
        <v>868</v>
      </c>
      <c r="G962" t="s">
        <v>249</v>
      </c>
      <c r="H962" t="s">
        <v>978</v>
      </c>
    </row>
    <row r="963" spans="1:8" x14ac:dyDescent="0.3">
      <c r="A963" s="6">
        <v>11</v>
      </c>
      <c r="B963" t="s">
        <v>858</v>
      </c>
      <c r="C963" s="9" t="s">
        <v>1807</v>
      </c>
      <c r="D963" s="9">
        <v>1350</v>
      </c>
      <c r="E963" s="9" t="s">
        <v>1808</v>
      </c>
      <c r="F963" t="s">
        <v>251</v>
      </c>
      <c r="G963" t="s">
        <v>249</v>
      </c>
      <c r="H963" t="s">
        <v>980</v>
      </c>
    </row>
    <row r="964" spans="1:8" x14ac:dyDescent="0.3">
      <c r="A964" s="6">
        <v>11</v>
      </c>
      <c r="B964" t="s">
        <v>858</v>
      </c>
      <c r="C964" s="9" t="s">
        <v>932</v>
      </c>
      <c r="D964" s="9">
        <v>12</v>
      </c>
      <c r="E964" s="9" t="s">
        <v>1804</v>
      </c>
      <c r="F964" t="s">
        <v>869</v>
      </c>
      <c r="G964" t="s">
        <v>870</v>
      </c>
      <c r="H964" t="s">
        <v>1630</v>
      </c>
    </row>
    <row r="965" spans="1:8" x14ac:dyDescent="0.3">
      <c r="A965" s="6">
        <v>11</v>
      </c>
      <c r="B965" t="s">
        <v>858</v>
      </c>
      <c r="C965" s="9" t="s">
        <v>976</v>
      </c>
      <c r="D965" s="9">
        <v>68</v>
      </c>
      <c r="E965" s="9" t="s">
        <v>1804</v>
      </c>
      <c r="F965" t="s">
        <v>255</v>
      </c>
      <c r="G965" t="s">
        <v>256</v>
      </c>
      <c r="H965" t="s">
        <v>1715</v>
      </c>
    </row>
    <row r="966" spans="1:8" x14ac:dyDescent="0.3">
      <c r="A966" s="6">
        <v>11</v>
      </c>
      <c r="B966" t="s">
        <v>858</v>
      </c>
      <c r="C966" s="9" t="s">
        <v>932</v>
      </c>
      <c r="D966" s="9">
        <v>24</v>
      </c>
      <c r="E966" s="9" t="s">
        <v>1804</v>
      </c>
      <c r="F966" t="s">
        <v>258</v>
      </c>
      <c r="G966" t="s">
        <v>256</v>
      </c>
      <c r="H966" t="s">
        <v>1716</v>
      </c>
    </row>
    <row r="967" spans="1:8" x14ac:dyDescent="0.3">
      <c r="A967" s="6">
        <v>11</v>
      </c>
      <c r="B967" t="s">
        <v>858</v>
      </c>
      <c r="C967" s="9" t="s">
        <v>932</v>
      </c>
      <c r="D967" s="9">
        <v>44</v>
      </c>
      <c r="E967" s="9" t="s">
        <v>1804</v>
      </c>
      <c r="F967" t="s">
        <v>633</v>
      </c>
      <c r="G967" t="s">
        <v>256</v>
      </c>
      <c r="H967" t="s">
        <v>1717</v>
      </c>
    </row>
    <row r="968" spans="1:8" x14ac:dyDescent="0.3">
      <c r="A968" s="6">
        <v>11</v>
      </c>
      <c r="B968" t="s">
        <v>858</v>
      </c>
      <c r="C968" s="9" t="s">
        <v>932</v>
      </c>
      <c r="D968" s="9">
        <v>22</v>
      </c>
      <c r="E968" s="9" t="s">
        <v>1804</v>
      </c>
      <c r="F968" t="s">
        <v>259</v>
      </c>
      <c r="G968" t="s">
        <v>260</v>
      </c>
      <c r="H968" t="s">
        <v>986</v>
      </c>
    </row>
    <row r="969" spans="1:8" x14ac:dyDescent="0.3">
      <c r="A969" s="6">
        <v>11</v>
      </c>
      <c r="B969" t="s">
        <v>858</v>
      </c>
      <c r="C969" s="9" t="s">
        <v>932</v>
      </c>
      <c r="D969" s="9">
        <v>14</v>
      </c>
      <c r="E969" s="9" t="s">
        <v>1804</v>
      </c>
      <c r="F969" t="s">
        <v>262</v>
      </c>
      <c r="G969" t="s">
        <v>263</v>
      </c>
      <c r="H969" t="s">
        <v>989</v>
      </c>
    </row>
    <row r="970" spans="1:8" x14ac:dyDescent="0.3">
      <c r="A970" s="6">
        <v>11</v>
      </c>
      <c r="B970" t="s">
        <v>858</v>
      </c>
      <c r="C970" s="9" t="s">
        <v>1807</v>
      </c>
      <c r="D970" s="9">
        <v>750</v>
      </c>
      <c r="E970" s="9" t="s">
        <v>1808</v>
      </c>
      <c r="F970" t="s">
        <v>278</v>
      </c>
      <c r="G970" t="s">
        <v>276</v>
      </c>
      <c r="H970" t="s">
        <v>1013</v>
      </c>
    </row>
    <row r="971" spans="1:8" x14ac:dyDescent="0.3">
      <c r="A971" s="6">
        <v>11</v>
      </c>
      <c r="B971" t="s">
        <v>858</v>
      </c>
      <c r="C971" s="9" t="s">
        <v>1807</v>
      </c>
      <c r="D971" s="9">
        <v>600</v>
      </c>
      <c r="E971" s="9" t="s">
        <v>1808</v>
      </c>
      <c r="F971" t="s">
        <v>637</v>
      </c>
      <c r="G971" t="s">
        <v>276</v>
      </c>
      <c r="H971" t="s">
        <v>1014</v>
      </c>
    </row>
    <row r="972" spans="1:8" x14ac:dyDescent="0.3">
      <c r="A972" s="6">
        <v>11</v>
      </c>
      <c r="B972" t="s">
        <v>858</v>
      </c>
      <c r="C972" s="9" t="s">
        <v>1807</v>
      </c>
      <c r="D972" s="9">
        <v>1050</v>
      </c>
      <c r="E972" s="9" t="s">
        <v>1808</v>
      </c>
      <c r="F972" t="s">
        <v>788</v>
      </c>
      <c r="G972" t="s">
        <v>450</v>
      </c>
      <c r="H972" t="s">
        <v>1724</v>
      </c>
    </row>
    <row r="973" spans="1:8" x14ac:dyDescent="0.3">
      <c r="A973" s="6">
        <v>11</v>
      </c>
      <c r="B973" t="s">
        <v>858</v>
      </c>
      <c r="C973" s="9" t="s">
        <v>1807</v>
      </c>
      <c r="D973" s="9">
        <v>750</v>
      </c>
      <c r="E973" s="9" t="s">
        <v>1808</v>
      </c>
      <c r="F973" t="s">
        <v>789</v>
      </c>
      <c r="G973" t="s">
        <v>450</v>
      </c>
      <c r="H973" t="s">
        <v>1725</v>
      </c>
    </row>
    <row r="974" spans="1:8" x14ac:dyDescent="0.3">
      <c r="A974" s="6">
        <v>11</v>
      </c>
      <c r="B974" t="s">
        <v>858</v>
      </c>
      <c r="C974" s="9" t="s">
        <v>1807</v>
      </c>
      <c r="D974" s="9">
        <v>1050</v>
      </c>
      <c r="E974" s="9" t="s">
        <v>1808</v>
      </c>
      <c r="F974" t="s">
        <v>291</v>
      </c>
      <c r="G974" t="s">
        <v>292</v>
      </c>
      <c r="H974" t="s">
        <v>1678</v>
      </c>
    </row>
    <row r="975" spans="1:8" x14ac:dyDescent="0.3">
      <c r="A975" s="6">
        <v>11</v>
      </c>
      <c r="B975" t="s">
        <v>858</v>
      </c>
      <c r="C975" s="9" t="s">
        <v>1807</v>
      </c>
      <c r="D975" s="9">
        <v>320</v>
      </c>
      <c r="E975" s="9" t="s">
        <v>1808</v>
      </c>
      <c r="F975" t="s">
        <v>304</v>
      </c>
      <c r="G975" t="s">
        <v>305</v>
      </c>
      <c r="H975" t="s">
        <v>1785</v>
      </c>
    </row>
    <row r="976" spans="1:8" x14ac:dyDescent="0.3">
      <c r="A976" s="6">
        <v>11</v>
      </c>
      <c r="B976" t="s">
        <v>858</v>
      </c>
      <c r="C976" s="9" t="s">
        <v>932</v>
      </c>
      <c r="D976" s="9">
        <v>15</v>
      </c>
      <c r="E976" s="9" t="s">
        <v>1804</v>
      </c>
      <c r="F976" t="s">
        <v>59</v>
      </c>
      <c r="G976" t="s">
        <v>60</v>
      </c>
      <c r="H976" t="s">
        <v>1078</v>
      </c>
    </row>
    <row r="977" spans="1:8" x14ac:dyDescent="0.3">
      <c r="A977" s="6">
        <v>11</v>
      </c>
      <c r="B977" t="s">
        <v>858</v>
      </c>
      <c r="C977" s="9" t="s">
        <v>1807</v>
      </c>
      <c r="D977" s="9">
        <v>420</v>
      </c>
      <c r="E977" s="9" t="s">
        <v>1808</v>
      </c>
      <c r="F977" t="s">
        <v>68</v>
      </c>
      <c r="G977" t="s">
        <v>69</v>
      </c>
      <c r="H977" t="s">
        <v>1551</v>
      </c>
    </row>
    <row r="978" spans="1:8" x14ac:dyDescent="0.3">
      <c r="A978" s="6">
        <v>11</v>
      </c>
      <c r="B978" t="s">
        <v>858</v>
      </c>
      <c r="C978" s="9" t="s">
        <v>1807</v>
      </c>
      <c r="D978" s="9">
        <v>198</v>
      </c>
      <c r="E978" s="9" t="s">
        <v>1808</v>
      </c>
      <c r="F978" t="s">
        <v>484</v>
      </c>
      <c r="G978" t="s">
        <v>69</v>
      </c>
      <c r="H978" t="s">
        <v>1556</v>
      </c>
    </row>
    <row r="979" spans="1:8" x14ac:dyDescent="0.3">
      <c r="A979" s="6">
        <v>11</v>
      </c>
      <c r="B979" t="s">
        <v>858</v>
      </c>
      <c r="C979" s="9" t="s">
        <v>1807</v>
      </c>
      <c r="D979" s="9">
        <v>770</v>
      </c>
      <c r="E979" s="9" t="s">
        <v>1808</v>
      </c>
      <c r="F979" t="s">
        <v>71</v>
      </c>
      <c r="G979" t="s">
        <v>72</v>
      </c>
      <c r="H979" t="s">
        <v>1565</v>
      </c>
    </row>
    <row r="980" spans="1:8" x14ac:dyDescent="0.3">
      <c r="A980" s="6">
        <v>11</v>
      </c>
      <c r="B980" t="s">
        <v>858</v>
      </c>
      <c r="C980" s="9" t="s">
        <v>1807</v>
      </c>
      <c r="D980" s="9">
        <v>518</v>
      </c>
      <c r="E980" s="9" t="s">
        <v>1808</v>
      </c>
      <c r="F980" t="s">
        <v>74</v>
      </c>
      <c r="G980" t="s">
        <v>72</v>
      </c>
      <c r="H980" t="s">
        <v>1566</v>
      </c>
    </row>
    <row r="981" spans="1:8" x14ac:dyDescent="0.3">
      <c r="A981" s="6">
        <v>11</v>
      </c>
      <c r="B981" t="s">
        <v>858</v>
      </c>
      <c r="C981" s="9" t="s">
        <v>1807</v>
      </c>
      <c r="D981" s="9">
        <v>68</v>
      </c>
      <c r="E981" s="9" t="s">
        <v>1808</v>
      </c>
      <c r="F981" t="s">
        <v>834</v>
      </c>
      <c r="G981" t="s">
        <v>835</v>
      </c>
      <c r="H981" t="s">
        <v>1572</v>
      </c>
    </row>
    <row r="982" spans="1:8" x14ac:dyDescent="0.3">
      <c r="A982" s="6">
        <v>11</v>
      </c>
      <c r="B982" t="s">
        <v>858</v>
      </c>
      <c r="C982" s="9" t="s">
        <v>1807</v>
      </c>
      <c r="D982" s="9">
        <v>398</v>
      </c>
      <c r="E982" s="9" t="s">
        <v>1808</v>
      </c>
      <c r="F982" t="s">
        <v>318</v>
      </c>
      <c r="G982" t="s">
        <v>76</v>
      </c>
      <c r="H982" t="s">
        <v>1578</v>
      </c>
    </row>
    <row r="983" spans="1:8" x14ac:dyDescent="0.3">
      <c r="A983" s="6">
        <v>11</v>
      </c>
      <c r="B983" t="s">
        <v>858</v>
      </c>
      <c r="C983" s="9" t="s">
        <v>932</v>
      </c>
      <c r="D983" s="9">
        <v>24</v>
      </c>
      <c r="E983" s="9" t="s">
        <v>1804</v>
      </c>
      <c r="F983" t="s">
        <v>319</v>
      </c>
      <c r="G983" t="s">
        <v>320</v>
      </c>
      <c r="H983" t="s">
        <v>1245</v>
      </c>
    </row>
    <row r="984" spans="1:8" x14ac:dyDescent="0.3">
      <c r="A984" s="6">
        <v>11</v>
      </c>
      <c r="B984" t="s">
        <v>858</v>
      </c>
      <c r="C984" s="9" t="s">
        <v>932</v>
      </c>
      <c r="D984" s="9">
        <v>24</v>
      </c>
      <c r="E984" s="9" t="s">
        <v>1804</v>
      </c>
      <c r="F984" t="s">
        <v>322</v>
      </c>
      <c r="G984" t="s">
        <v>320</v>
      </c>
      <c r="H984" t="s">
        <v>1246</v>
      </c>
    </row>
    <row r="985" spans="1:8" x14ac:dyDescent="0.3">
      <c r="A985" s="6">
        <v>11</v>
      </c>
      <c r="B985" t="s">
        <v>858</v>
      </c>
      <c r="C985" s="9" t="s">
        <v>1814</v>
      </c>
      <c r="D985" s="9">
        <v>10000</v>
      </c>
      <c r="E985" s="9" t="s">
        <v>1808</v>
      </c>
      <c r="F985" t="s">
        <v>873</v>
      </c>
      <c r="G985" t="s">
        <v>1841</v>
      </c>
      <c r="H985" t="s">
        <v>1842</v>
      </c>
    </row>
    <row r="986" spans="1:8" x14ac:dyDescent="0.3">
      <c r="A986" s="6">
        <v>11</v>
      </c>
      <c r="B986" t="s">
        <v>858</v>
      </c>
      <c r="C986" s="9" t="s">
        <v>1814</v>
      </c>
      <c r="D986" s="9">
        <v>10000</v>
      </c>
      <c r="E986" s="9" t="s">
        <v>1808</v>
      </c>
      <c r="F986" t="s">
        <v>162</v>
      </c>
      <c r="G986" t="s">
        <v>273</v>
      </c>
      <c r="H986" t="s">
        <v>1816</v>
      </c>
    </row>
    <row r="987" spans="1:8" x14ac:dyDescent="0.3">
      <c r="A987" s="6">
        <v>11</v>
      </c>
      <c r="B987" t="s">
        <v>858</v>
      </c>
      <c r="C987" s="9" t="s">
        <v>1814</v>
      </c>
      <c r="D987" s="9">
        <v>10000</v>
      </c>
      <c r="E987" s="9" t="s">
        <v>1808</v>
      </c>
      <c r="F987" t="s">
        <v>163</v>
      </c>
      <c r="G987" t="s">
        <v>635</v>
      </c>
      <c r="H987" t="s">
        <v>1817</v>
      </c>
    </row>
    <row r="988" spans="1:8" x14ac:dyDescent="0.3">
      <c r="A988" s="6">
        <v>11</v>
      </c>
      <c r="B988" t="s">
        <v>858</v>
      </c>
      <c r="C988" s="9" t="s">
        <v>1814</v>
      </c>
      <c r="D988" s="9">
        <v>10000</v>
      </c>
      <c r="E988" s="9" t="s">
        <v>1808</v>
      </c>
      <c r="F988" t="s">
        <v>164</v>
      </c>
      <c r="G988" t="s">
        <v>276</v>
      </c>
      <c r="H988" t="s">
        <v>1832</v>
      </c>
    </row>
    <row r="989" spans="1:8" x14ac:dyDescent="0.3">
      <c r="A989" s="6">
        <v>11</v>
      </c>
      <c r="B989" t="s">
        <v>858</v>
      </c>
      <c r="C989" s="9" t="s">
        <v>1814</v>
      </c>
      <c r="D989" s="9">
        <v>10000</v>
      </c>
      <c r="E989" s="9" t="s">
        <v>1808</v>
      </c>
      <c r="F989" t="s">
        <v>874</v>
      </c>
      <c r="G989" t="s">
        <v>740</v>
      </c>
      <c r="H989" t="s">
        <v>1843</v>
      </c>
    </row>
    <row r="990" spans="1:8" x14ac:dyDescent="0.3">
      <c r="A990" s="6">
        <v>11</v>
      </c>
      <c r="B990" t="s">
        <v>858</v>
      </c>
      <c r="C990" s="9" t="s">
        <v>1809</v>
      </c>
      <c r="D990" s="9">
        <v>60</v>
      </c>
      <c r="E990" s="9" t="s">
        <v>1804</v>
      </c>
      <c r="F990" t="s">
        <v>78</v>
      </c>
      <c r="G990" t="s">
        <v>1810</v>
      </c>
      <c r="H990" t="s">
        <v>1811</v>
      </c>
    </row>
    <row r="991" spans="1:8" x14ac:dyDescent="0.3">
      <c r="A991" s="6">
        <v>11</v>
      </c>
      <c r="B991" t="s">
        <v>858</v>
      </c>
      <c r="C991" s="9" t="s">
        <v>963</v>
      </c>
      <c r="D991" s="9">
        <v>60</v>
      </c>
      <c r="E991" s="9" t="s">
        <v>1804</v>
      </c>
      <c r="F991" t="s">
        <v>875</v>
      </c>
      <c r="G991" t="s">
        <v>876</v>
      </c>
      <c r="H991" t="s">
        <v>962</v>
      </c>
    </row>
    <row r="992" spans="1:8" x14ac:dyDescent="0.3">
      <c r="A992" s="6">
        <v>11</v>
      </c>
      <c r="B992" t="s">
        <v>858</v>
      </c>
      <c r="C992" s="9" t="s">
        <v>963</v>
      </c>
      <c r="D992" s="9">
        <v>63</v>
      </c>
      <c r="E992" s="9" t="s">
        <v>1804</v>
      </c>
      <c r="F992" t="s">
        <v>878</v>
      </c>
      <c r="G992" t="s">
        <v>860</v>
      </c>
      <c r="H992" t="s">
        <v>965</v>
      </c>
    </row>
    <row r="993" spans="1:8" x14ac:dyDescent="0.3">
      <c r="A993" s="6">
        <v>11</v>
      </c>
      <c r="B993" t="s">
        <v>858</v>
      </c>
      <c r="C993" s="9" t="s">
        <v>963</v>
      </c>
      <c r="D993" s="9">
        <v>60</v>
      </c>
      <c r="E993" s="9" t="s">
        <v>1804</v>
      </c>
      <c r="F993" t="s">
        <v>579</v>
      </c>
      <c r="G993" t="s">
        <v>531</v>
      </c>
      <c r="H993" t="s">
        <v>967</v>
      </c>
    </row>
    <row r="994" spans="1:8" x14ac:dyDescent="0.3">
      <c r="A994" s="6">
        <v>11</v>
      </c>
      <c r="B994" t="s">
        <v>858</v>
      </c>
      <c r="C994" s="9" t="s">
        <v>963</v>
      </c>
      <c r="D994" s="9">
        <v>69</v>
      </c>
      <c r="E994" s="9" t="s">
        <v>1804</v>
      </c>
      <c r="F994" t="s">
        <v>879</v>
      </c>
      <c r="G994" t="s">
        <v>880</v>
      </c>
      <c r="H994" t="s">
        <v>968</v>
      </c>
    </row>
    <row r="995" spans="1:8" x14ac:dyDescent="0.3">
      <c r="A995" s="6">
        <v>11</v>
      </c>
      <c r="B995" t="s">
        <v>858</v>
      </c>
      <c r="C995" s="9" t="s">
        <v>963</v>
      </c>
      <c r="D995" s="9">
        <v>60</v>
      </c>
      <c r="E995" s="9" t="s">
        <v>1804</v>
      </c>
      <c r="F995" t="s">
        <v>79</v>
      </c>
      <c r="G995" t="s">
        <v>80</v>
      </c>
      <c r="H995" t="s">
        <v>1416</v>
      </c>
    </row>
    <row r="996" spans="1:8" x14ac:dyDescent="0.3">
      <c r="A996" s="6">
        <v>11</v>
      </c>
      <c r="B996" t="s">
        <v>858</v>
      </c>
      <c r="C996" s="9" t="s">
        <v>963</v>
      </c>
      <c r="D996" s="9">
        <v>60</v>
      </c>
      <c r="E996" s="9" t="s">
        <v>1804</v>
      </c>
      <c r="F996" t="s">
        <v>643</v>
      </c>
      <c r="G996" t="s">
        <v>499</v>
      </c>
      <c r="H996" t="s">
        <v>1703</v>
      </c>
    </row>
    <row r="997" spans="1:8" x14ac:dyDescent="0.3">
      <c r="A997" s="6">
        <v>11</v>
      </c>
      <c r="B997" t="s">
        <v>858</v>
      </c>
      <c r="C997" s="9" t="s">
        <v>963</v>
      </c>
      <c r="D997" s="9">
        <v>70</v>
      </c>
      <c r="E997" s="9" t="s">
        <v>1804</v>
      </c>
      <c r="F997" t="s">
        <v>525</v>
      </c>
      <c r="G997" t="s">
        <v>526</v>
      </c>
      <c r="H997" t="s">
        <v>1341</v>
      </c>
    </row>
    <row r="998" spans="1:8" x14ac:dyDescent="0.3">
      <c r="A998" s="6">
        <v>11</v>
      </c>
      <c r="B998" t="s">
        <v>858</v>
      </c>
      <c r="C998" s="9" t="s">
        <v>963</v>
      </c>
      <c r="D998" s="9">
        <v>88</v>
      </c>
      <c r="E998" s="9" t="s">
        <v>1804</v>
      </c>
      <c r="F998" t="s">
        <v>84</v>
      </c>
      <c r="G998" t="s">
        <v>85</v>
      </c>
      <c r="H998" t="s">
        <v>1342</v>
      </c>
    </row>
    <row r="999" spans="1:8" x14ac:dyDescent="0.3">
      <c r="A999" s="6">
        <v>11</v>
      </c>
      <c r="B999" t="s">
        <v>858</v>
      </c>
      <c r="C999" s="9" t="s">
        <v>963</v>
      </c>
      <c r="D999" s="9">
        <v>60</v>
      </c>
      <c r="E999" s="9" t="s">
        <v>1804</v>
      </c>
      <c r="F999" t="s">
        <v>612</v>
      </c>
      <c r="G999" t="s">
        <v>613</v>
      </c>
      <c r="H999" t="s">
        <v>1343</v>
      </c>
    </row>
    <row r="1000" spans="1:8" x14ac:dyDescent="0.3">
      <c r="A1000" s="6">
        <v>11</v>
      </c>
      <c r="B1000" t="s">
        <v>858</v>
      </c>
      <c r="C1000" s="9" t="s">
        <v>963</v>
      </c>
      <c r="D1000" s="9">
        <v>70</v>
      </c>
      <c r="E1000" s="9" t="s">
        <v>1804</v>
      </c>
      <c r="F1000" t="s">
        <v>325</v>
      </c>
      <c r="G1000" t="s">
        <v>196</v>
      </c>
      <c r="H1000" t="s">
        <v>1344</v>
      </c>
    </row>
    <row r="1001" spans="1:8" x14ac:dyDescent="0.3">
      <c r="A1001" s="6">
        <v>11</v>
      </c>
      <c r="B1001" t="s">
        <v>858</v>
      </c>
      <c r="C1001" s="9" t="s">
        <v>963</v>
      </c>
      <c r="D1001" s="9">
        <v>74</v>
      </c>
      <c r="E1001" s="9" t="s">
        <v>1804</v>
      </c>
      <c r="F1001" t="s">
        <v>87</v>
      </c>
      <c r="G1001" t="s">
        <v>88</v>
      </c>
      <c r="H1001" t="s">
        <v>1349</v>
      </c>
    </row>
    <row r="1002" spans="1:8" x14ac:dyDescent="0.3">
      <c r="A1002" s="6">
        <v>11</v>
      </c>
      <c r="B1002" t="s">
        <v>858</v>
      </c>
      <c r="C1002" s="9" t="s">
        <v>963</v>
      </c>
      <c r="D1002" s="9">
        <v>73</v>
      </c>
      <c r="E1002" s="9" t="s">
        <v>1804</v>
      </c>
      <c r="F1002" t="s">
        <v>90</v>
      </c>
      <c r="G1002" t="s">
        <v>15</v>
      </c>
      <c r="H1002" t="s">
        <v>1351</v>
      </c>
    </row>
    <row r="1003" spans="1:8" x14ac:dyDescent="0.3">
      <c r="A1003" s="6">
        <v>11</v>
      </c>
      <c r="B1003" t="s">
        <v>858</v>
      </c>
      <c r="C1003" s="9" t="s">
        <v>963</v>
      </c>
      <c r="D1003" s="9">
        <v>77</v>
      </c>
      <c r="E1003" s="9" t="s">
        <v>1804</v>
      </c>
      <c r="F1003" t="s">
        <v>91</v>
      </c>
      <c r="G1003" t="s">
        <v>92</v>
      </c>
      <c r="H1003" t="s">
        <v>1353</v>
      </c>
    </row>
    <row r="1004" spans="1:8" x14ac:dyDescent="0.3">
      <c r="A1004" s="6">
        <v>11</v>
      </c>
      <c r="B1004" t="s">
        <v>858</v>
      </c>
      <c r="C1004" s="9" t="s">
        <v>963</v>
      </c>
      <c r="D1004" s="9">
        <v>76</v>
      </c>
      <c r="E1004" s="9" t="s">
        <v>1804</v>
      </c>
      <c r="F1004" t="s">
        <v>94</v>
      </c>
      <c r="G1004" t="s">
        <v>95</v>
      </c>
      <c r="H1004" t="s">
        <v>1355</v>
      </c>
    </row>
    <row r="1005" spans="1:8" x14ac:dyDescent="0.3">
      <c r="A1005" s="6">
        <v>11</v>
      </c>
      <c r="B1005" t="s">
        <v>858</v>
      </c>
      <c r="C1005" s="9" t="s">
        <v>963</v>
      </c>
      <c r="D1005" s="9">
        <v>76</v>
      </c>
      <c r="E1005" s="9" t="s">
        <v>1804</v>
      </c>
      <c r="F1005" t="s">
        <v>332</v>
      </c>
      <c r="G1005" t="s">
        <v>333</v>
      </c>
      <c r="H1005" t="s">
        <v>1358</v>
      </c>
    </row>
    <row r="1006" spans="1:8" x14ac:dyDescent="0.3">
      <c r="A1006" s="6">
        <v>11</v>
      </c>
      <c r="B1006" t="s">
        <v>858</v>
      </c>
      <c r="C1006" s="9" t="s">
        <v>963</v>
      </c>
      <c r="D1006" s="9">
        <v>72</v>
      </c>
      <c r="E1006" s="9" t="s">
        <v>1804</v>
      </c>
      <c r="F1006" t="s">
        <v>101</v>
      </c>
      <c r="G1006" t="s">
        <v>102</v>
      </c>
      <c r="H1006" t="s">
        <v>1365</v>
      </c>
    </row>
    <row r="1007" spans="1:8" x14ac:dyDescent="0.3">
      <c r="A1007" s="6">
        <v>11</v>
      </c>
      <c r="B1007" t="s">
        <v>858</v>
      </c>
      <c r="C1007" s="9" t="s">
        <v>1807</v>
      </c>
      <c r="D1007" s="9">
        <v>450</v>
      </c>
      <c r="E1007" s="9" t="s">
        <v>1808</v>
      </c>
      <c r="F1007" t="s">
        <v>882</v>
      </c>
      <c r="G1007" t="s">
        <v>883</v>
      </c>
      <c r="H1007" t="s">
        <v>927</v>
      </c>
    </row>
    <row r="1008" spans="1:8" x14ac:dyDescent="0.3">
      <c r="A1008" s="6">
        <v>11</v>
      </c>
      <c r="B1008" t="s">
        <v>858</v>
      </c>
      <c r="C1008" s="9" t="s">
        <v>1807</v>
      </c>
      <c r="D1008" s="9">
        <v>450</v>
      </c>
      <c r="E1008" s="9" t="s">
        <v>1808</v>
      </c>
      <c r="F1008" t="s">
        <v>884</v>
      </c>
      <c r="G1008" t="s">
        <v>885</v>
      </c>
      <c r="H1008" t="s">
        <v>929</v>
      </c>
    </row>
    <row r="1009" spans="1:8" x14ac:dyDescent="0.3">
      <c r="A1009" s="6">
        <v>11</v>
      </c>
      <c r="B1009" t="s">
        <v>858</v>
      </c>
      <c r="C1009" s="9" t="s">
        <v>963</v>
      </c>
      <c r="D1009" s="9">
        <v>63</v>
      </c>
      <c r="E1009" s="9" t="s">
        <v>1804</v>
      </c>
      <c r="F1009" t="s">
        <v>104</v>
      </c>
      <c r="G1009" t="s">
        <v>401</v>
      </c>
      <c r="H1009" t="s">
        <v>1185</v>
      </c>
    </row>
    <row r="1010" spans="1:8" x14ac:dyDescent="0.3">
      <c r="A1010" s="6">
        <v>11</v>
      </c>
      <c r="B1010" t="s">
        <v>858</v>
      </c>
      <c r="C1010" s="9" t="s">
        <v>963</v>
      </c>
      <c r="D1010" s="9">
        <v>60</v>
      </c>
      <c r="E1010" s="9" t="s">
        <v>1804</v>
      </c>
      <c r="F1010" t="s">
        <v>400</v>
      </c>
      <c r="G1010" t="s">
        <v>401</v>
      </c>
      <c r="H1010" t="s">
        <v>1185</v>
      </c>
    </row>
    <row r="1011" spans="1:8" x14ac:dyDescent="0.3">
      <c r="A1011" s="6">
        <v>11</v>
      </c>
      <c r="B1011" t="s">
        <v>858</v>
      </c>
      <c r="C1011" s="9" t="s">
        <v>963</v>
      </c>
      <c r="D1011" s="9">
        <v>75</v>
      </c>
      <c r="E1011" s="9" t="s">
        <v>1804</v>
      </c>
      <c r="F1011" t="s">
        <v>345</v>
      </c>
      <c r="G1011" t="s">
        <v>215</v>
      </c>
      <c r="H1011" t="s">
        <v>1115</v>
      </c>
    </row>
    <row r="1012" spans="1:8" x14ac:dyDescent="0.3">
      <c r="A1012" s="6">
        <v>11</v>
      </c>
      <c r="B1012" t="s">
        <v>858</v>
      </c>
      <c r="C1012" s="9" t="s">
        <v>963</v>
      </c>
      <c r="D1012" s="9">
        <v>60</v>
      </c>
      <c r="E1012" s="9" t="s">
        <v>1804</v>
      </c>
      <c r="F1012" t="s">
        <v>403</v>
      </c>
      <c r="G1012" t="s">
        <v>386</v>
      </c>
      <c r="H1012" t="s">
        <v>1432</v>
      </c>
    </row>
    <row r="1013" spans="1:8" x14ac:dyDescent="0.3">
      <c r="A1013" s="6">
        <v>11</v>
      </c>
      <c r="B1013" t="s">
        <v>858</v>
      </c>
      <c r="C1013" s="9" t="s">
        <v>963</v>
      </c>
      <c r="D1013" s="9">
        <v>60</v>
      </c>
      <c r="E1013" s="9" t="s">
        <v>1804</v>
      </c>
      <c r="F1013" t="s">
        <v>167</v>
      </c>
      <c r="G1013" t="s">
        <v>168</v>
      </c>
      <c r="H1013" t="s">
        <v>1533</v>
      </c>
    </row>
    <row r="1014" spans="1:8" x14ac:dyDescent="0.3">
      <c r="A1014" s="6">
        <v>11</v>
      </c>
      <c r="B1014" t="s">
        <v>858</v>
      </c>
      <c r="C1014" s="9" t="s">
        <v>963</v>
      </c>
      <c r="D1014" s="9">
        <v>60</v>
      </c>
      <c r="E1014" s="9" t="s">
        <v>1804</v>
      </c>
      <c r="F1014" t="s">
        <v>107</v>
      </c>
      <c r="G1014" t="s">
        <v>108</v>
      </c>
      <c r="H1014" t="s">
        <v>1140</v>
      </c>
    </row>
    <row r="1015" spans="1:8" x14ac:dyDescent="0.3">
      <c r="A1015" s="6">
        <v>11</v>
      </c>
      <c r="B1015" t="s">
        <v>858</v>
      </c>
      <c r="C1015" s="9" t="s">
        <v>963</v>
      </c>
      <c r="D1015" s="9">
        <v>60</v>
      </c>
      <c r="E1015" s="9" t="s">
        <v>1804</v>
      </c>
      <c r="F1015" t="s">
        <v>110</v>
      </c>
      <c r="G1015" t="s">
        <v>41</v>
      </c>
      <c r="H1015" t="s">
        <v>1144</v>
      </c>
    </row>
    <row r="1016" spans="1:8" x14ac:dyDescent="0.3">
      <c r="A1016" s="6">
        <v>11</v>
      </c>
      <c r="B1016" t="s">
        <v>858</v>
      </c>
      <c r="C1016" s="9" t="s">
        <v>963</v>
      </c>
      <c r="D1016" s="9">
        <v>66</v>
      </c>
      <c r="E1016" s="9" t="s">
        <v>1804</v>
      </c>
      <c r="F1016" t="s">
        <v>353</v>
      </c>
      <c r="G1016" t="s">
        <v>354</v>
      </c>
      <c r="H1016" t="s">
        <v>1020</v>
      </c>
    </row>
    <row r="1017" spans="1:8" x14ac:dyDescent="0.3">
      <c r="A1017" s="6">
        <v>11</v>
      </c>
      <c r="B1017" t="s">
        <v>858</v>
      </c>
      <c r="C1017" s="9" t="s">
        <v>963</v>
      </c>
      <c r="D1017" s="9">
        <v>60</v>
      </c>
      <c r="E1017" s="9" t="s">
        <v>1804</v>
      </c>
      <c r="F1017" t="s">
        <v>114</v>
      </c>
      <c r="G1017" t="s">
        <v>115</v>
      </c>
      <c r="H1017" t="s">
        <v>1121</v>
      </c>
    </row>
    <row r="1018" spans="1:8" x14ac:dyDescent="0.3">
      <c r="A1018" s="6">
        <v>11</v>
      </c>
      <c r="B1018" t="s">
        <v>858</v>
      </c>
      <c r="C1018" s="9" t="s">
        <v>963</v>
      </c>
      <c r="D1018" s="9">
        <v>64</v>
      </c>
      <c r="E1018" s="9" t="s">
        <v>1804</v>
      </c>
      <c r="F1018" t="s">
        <v>583</v>
      </c>
      <c r="G1018" t="s">
        <v>238</v>
      </c>
      <c r="H1018" t="s">
        <v>1122</v>
      </c>
    </row>
    <row r="1019" spans="1:8" x14ac:dyDescent="0.3">
      <c r="A1019" s="6">
        <v>11</v>
      </c>
      <c r="B1019" t="s">
        <v>858</v>
      </c>
      <c r="C1019" s="9" t="s">
        <v>963</v>
      </c>
      <c r="D1019" s="9">
        <v>60</v>
      </c>
      <c r="E1019" s="9" t="s">
        <v>1804</v>
      </c>
      <c r="F1019" t="s">
        <v>117</v>
      </c>
      <c r="G1019" t="s">
        <v>118</v>
      </c>
      <c r="H1019" t="s">
        <v>1419</v>
      </c>
    </row>
    <row r="1020" spans="1:8" x14ac:dyDescent="0.3">
      <c r="A1020" s="6">
        <v>11</v>
      </c>
      <c r="B1020" t="s">
        <v>858</v>
      </c>
      <c r="C1020" s="9" t="s">
        <v>963</v>
      </c>
      <c r="D1020" s="9">
        <v>68</v>
      </c>
      <c r="E1020" s="9" t="s">
        <v>1804</v>
      </c>
      <c r="F1020" t="s">
        <v>468</v>
      </c>
      <c r="G1020" t="s">
        <v>54</v>
      </c>
      <c r="H1020" t="s">
        <v>1682</v>
      </c>
    </row>
    <row r="1021" spans="1:8" x14ac:dyDescent="0.3">
      <c r="A1021" s="6">
        <v>11</v>
      </c>
      <c r="B1021" t="s">
        <v>858</v>
      </c>
      <c r="C1021" s="9" t="s">
        <v>963</v>
      </c>
      <c r="D1021" s="9">
        <v>68</v>
      </c>
      <c r="E1021" s="9" t="s">
        <v>1804</v>
      </c>
      <c r="F1021" t="s">
        <v>796</v>
      </c>
      <c r="G1021" t="s">
        <v>54</v>
      </c>
      <c r="H1021" t="s">
        <v>1218</v>
      </c>
    </row>
    <row r="1022" spans="1:8" x14ac:dyDescent="0.3">
      <c r="A1022" s="6">
        <v>11</v>
      </c>
      <c r="B1022" t="s">
        <v>858</v>
      </c>
      <c r="C1022" s="9" t="s">
        <v>963</v>
      </c>
      <c r="D1022" s="9">
        <v>60</v>
      </c>
      <c r="E1022" s="9" t="s">
        <v>1804</v>
      </c>
      <c r="F1022" t="s">
        <v>358</v>
      </c>
      <c r="G1022" t="s">
        <v>359</v>
      </c>
      <c r="H1022" t="s">
        <v>1021</v>
      </c>
    </row>
    <row r="1023" spans="1:8" x14ac:dyDescent="0.3">
      <c r="A1023" s="6">
        <v>11</v>
      </c>
      <c r="B1023" t="s">
        <v>858</v>
      </c>
      <c r="C1023" s="9" t="s">
        <v>963</v>
      </c>
      <c r="D1023" s="9">
        <v>62</v>
      </c>
      <c r="E1023" s="9" t="s">
        <v>1804</v>
      </c>
      <c r="F1023" t="s">
        <v>405</v>
      </c>
      <c r="G1023" t="s">
        <v>260</v>
      </c>
      <c r="H1023" t="s">
        <v>1022</v>
      </c>
    </row>
    <row r="1024" spans="1:8" x14ac:dyDescent="0.3">
      <c r="A1024" s="6">
        <v>11</v>
      </c>
      <c r="B1024" t="s">
        <v>858</v>
      </c>
      <c r="C1024" s="9" t="s">
        <v>963</v>
      </c>
      <c r="D1024" s="9">
        <v>63</v>
      </c>
      <c r="E1024" s="9" t="s">
        <v>1804</v>
      </c>
      <c r="F1024" t="s">
        <v>124</v>
      </c>
      <c r="G1024" t="s">
        <v>572</v>
      </c>
      <c r="H1024" t="s">
        <v>1024</v>
      </c>
    </row>
    <row r="1025" spans="1:8" x14ac:dyDescent="0.3">
      <c r="A1025" s="6">
        <v>11</v>
      </c>
      <c r="B1025" t="s">
        <v>858</v>
      </c>
      <c r="C1025" s="9" t="s">
        <v>963</v>
      </c>
      <c r="D1025" s="9">
        <v>64</v>
      </c>
      <c r="E1025" s="9" t="s">
        <v>1804</v>
      </c>
      <c r="F1025" t="s">
        <v>125</v>
      </c>
      <c r="G1025" t="s">
        <v>126</v>
      </c>
      <c r="H1025" t="s">
        <v>1581</v>
      </c>
    </row>
    <row r="1026" spans="1:8" x14ac:dyDescent="0.3">
      <c r="A1026" s="6">
        <v>11</v>
      </c>
      <c r="B1026" t="s">
        <v>858</v>
      </c>
      <c r="C1026" s="9" t="s">
        <v>963</v>
      </c>
      <c r="D1026" s="9">
        <v>60</v>
      </c>
      <c r="E1026" s="9" t="s">
        <v>1804</v>
      </c>
      <c r="F1026" t="s">
        <v>128</v>
      </c>
      <c r="G1026" t="s">
        <v>129</v>
      </c>
      <c r="H1026" t="s">
        <v>1582</v>
      </c>
    </row>
    <row r="1027" spans="1:8" x14ac:dyDescent="0.3">
      <c r="A1027" s="6">
        <v>11</v>
      </c>
      <c r="B1027" t="s">
        <v>858</v>
      </c>
      <c r="C1027" s="9" t="s">
        <v>963</v>
      </c>
      <c r="D1027" s="9">
        <v>60</v>
      </c>
      <c r="E1027" s="9" t="s">
        <v>1804</v>
      </c>
      <c r="F1027" t="s">
        <v>131</v>
      </c>
      <c r="G1027" t="s">
        <v>376</v>
      </c>
      <c r="H1027" t="s">
        <v>1818</v>
      </c>
    </row>
    <row r="1028" spans="1:8" x14ac:dyDescent="0.3">
      <c r="A1028" s="6">
        <v>11</v>
      </c>
      <c r="B1028" t="s">
        <v>858</v>
      </c>
      <c r="C1028" s="9" t="s">
        <v>963</v>
      </c>
      <c r="D1028" s="9">
        <v>60</v>
      </c>
      <c r="E1028" s="9" t="s">
        <v>1804</v>
      </c>
      <c r="F1028" t="s">
        <v>378</v>
      </c>
      <c r="G1028" t="s">
        <v>320</v>
      </c>
      <c r="H1028" t="s">
        <v>1247</v>
      </c>
    </row>
    <row r="1029" spans="1:8" x14ac:dyDescent="0.3">
      <c r="A1029" s="6">
        <v>12</v>
      </c>
      <c r="B1029" t="s">
        <v>856</v>
      </c>
      <c r="C1029" s="9" t="s">
        <v>932</v>
      </c>
      <c r="D1029" s="9">
        <v>18</v>
      </c>
      <c r="E1029" s="9" t="s">
        <v>1804</v>
      </c>
      <c r="F1029" t="s">
        <v>533</v>
      </c>
      <c r="G1029" t="s">
        <v>531</v>
      </c>
      <c r="H1029" t="s">
        <v>939</v>
      </c>
    </row>
    <row r="1030" spans="1:8" x14ac:dyDescent="0.3">
      <c r="A1030" s="6">
        <v>12</v>
      </c>
      <c r="B1030" t="s">
        <v>856</v>
      </c>
      <c r="C1030" s="9" t="s">
        <v>932</v>
      </c>
      <c r="D1030" s="9">
        <v>30</v>
      </c>
      <c r="E1030" s="9" t="s">
        <v>1804</v>
      </c>
      <c r="F1030" t="s">
        <v>534</v>
      </c>
      <c r="G1030" t="s">
        <v>531</v>
      </c>
      <c r="H1030" t="s">
        <v>940</v>
      </c>
    </row>
    <row r="1031" spans="1:8" x14ac:dyDescent="0.3">
      <c r="A1031" s="6">
        <v>12</v>
      </c>
      <c r="B1031" t="s">
        <v>856</v>
      </c>
      <c r="C1031" s="9" t="s">
        <v>1266</v>
      </c>
      <c r="D1031" s="9">
        <v>37</v>
      </c>
      <c r="E1031" s="9" t="s">
        <v>1804</v>
      </c>
      <c r="F1031" t="s">
        <v>857</v>
      </c>
      <c r="G1031" t="s">
        <v>196</v>
      </c>
      <c r="H1031" t="s">
        <v>1265</v>
      </c>
    </row>
    <row r="1032" spans="1:8" x14ac:dyDescent="0.3">
      <c r="A1032" s="6">
        <v>12</v>
      </c>
      <c r="B1032" t="s">
        <v>856</v>
      </c>
      <c r="C1032" s="9" t="s">
        <v>1807</v>
      </c>
      <c r="D1032" s="9">
        <v>1300</v>
      </c>
      <c r="E1032" s="9" t="s">
        <v>1808</v>
      </c>
      <c r="F1032" t="s">
        <v>199</v>
      </c>
      <c r="G1032" t="s">
        <v>200</v>
      </c>
      <c r="H1032" t="s">
        <v>1271</v>
      </c>
    </row>
    <row r="1033" spans="1:8" x14ac:dyDescent="0.3">
      <c r="A1033" s="6">
        <v>12</v>
      </c>
      <c r="B1033" t="s">
        <v>856</v>
      </c>
      <c r="C1033" s="9" t="s">
        <v>932</v>
      </c>
      <c r="D1033" s="9">
        <v>42</v>
      </c>
      <c r="E1033" s="9" t="s">
        <v>1804</v>
      </c>
      <c r="F1033" t="s">
        <v>14</v>
      </c>
      <c r="G1033" t="s">
        <v>15</v>
      </c>
      <c r="H1033" t="s">
        <v>1290</v>
      </c>
    </row>
    <row r="1034" spans="1:8" x14ac:dyDescent="0.3">
      <c r="A1034" s="6">
        <v>12</v>
      </c>
      <c r="B1034" t="s">
        <v>856</v>
      </c>
      <c r="C1034" s="9" t="s">
        <v>932</v>
      </c>
      <c r="D1034" s="9">
        <v>12</v>
      </c>
      <c r="E1034" s="9" t="s">
        <v>1804</v>
      </c>
      <c r="F1034" t="s">
        <v>204</v>
      </c>
      <c r="G1034" t="s">
        <v>15</v>
      </c>
      <c r="H1034" t="s">
        <v>1292</v>
      </c>
    </row>
    <row r="1035" spans="1:8" x14ac:dyDescent="0.3">
      <c r="A1035" s="6">
        <v>12</v>
      </c>
      <c r="B1035" t="s">
        <v>856</v>
      </c>
      <c r="C1035" s="9" t="s">
        <v>1807</v>
      </c>
      <c r="D1035" s="9">
        <v>165</v>
      </c>
      <c r="E1035" s="9" t="s">
        <v>1808</v>
      </c>
      <c r="F1035" t="s">
        <v>410</v>
      </c>
      <c r="G1035" t="s">
        <v>411</v>
      </c>
      <c r="H1035" t="s">
        <v>1313</v>
      </c>
    </row>
    <row r="1036" spans="1:8" x14ac:dyDescent="0.3">
      <c r="A1036" s="6">
        <v>12</v>
      </c>
      <c r="B1036" t="s">
        <v>856</v>
      </c>
      <c r="C1036" s="9" t="s">
        <v>1807</v>
      </c>
      <c r="D1036" s="9">
        <v>1350</v>
      </c>
      <c r="E1036" s="9" t="s">
        <v>1808</v>
      </c>
      <c r="F1036" t="s">
        <v>413</v>
      </c>
      <c r="G1036" t="s">
        <v>414</v>
      </c>
      <c r="H1036" t="s">
        <v>1332</v>
      </c>
    </row>
    <row r="1037" spans="1:8" x14ac:dyDescent="0.3">
      <c r="A1037" s="6">
        <v>12</v>
      </c>
      <c r="B1037" t="s">
        <v>856</v>
      </c>
      <c r="C1037" s="9" t="s">
        <v>932</v>
      </c>
      <c r="D1037" s="9">
        <v>36</v>
      </c>
      <c r="E1037" s="9" t="s">
        <v>1804</v>
      </c>
      <c r="F1037" t="s">
        <v>28</v>
      </c>
      <c r="G1037" t="s">
        <v>29</v>
      </c>
      <c r="H1037" t="s">
        <v>1180</v>
      </c>
    </row>
    <row r="1038" spans="1:8" x14ac:dyDescent="0.3">
      <c r="A1038" s="6">
        <v>12</v>
      </c>
      <c r="B1038" t="s">
        <v>856</v>
      </c>
      <c r="C1038" s="9" t="s">
        <v>932</v>
      </c>
      <c r="D1038" s="9">
        <v>12</v>
      </c>
      <c r="E1038" s="9" t="s">
        <v>1804</v>
      </c>
      <c r="F1038" t="s">
        <v>483</v>
      </c>
      <c r="G1038" t="s">
        <v>29</v>
      </c>
      <c r="H1038" t="s">
        <v>1182</v>
      </c>
    </row>
    <row r="1039" spans="1:8" x14ac:dyDescent="0.3">
      <c r="A1039" s="6">
        <v>12</v>
      </c>
      <c r="B1039" t="s">
        <v>856</v>
      </c>
      <c r="C1039" s="9" t="s">
        <v>932</v>
      </c>
      <c r="D1039" s="9">
        <v>12</v>
      </c>
      <c r="E1039" s="9" t="s">
        <v>1804</v>
      </c>
      <c r="F1039" t="s">
        <v>588</v>
      </c>
      <c r="G1039" t="s">
        <v>29</v>
      </c>
      <c r="H1039" t="s">
        <v>1183</v>
      </c>
    </row>
    <row r="1040" spans="1:8" x14ac:dyDescent="0.3">
      <c r="A1040" s="6">
        <v>12</v>
      </c>
      <c r="B1040" t="s">
        <v>856</v>
      </c>
      <c r="C1040" s="9" t="s">
        <v>932</v>
      </c>
      <c r="D1040" s="9">
        <v>12</v>
      </c>
      <c r="E1040" s="9" t="s">
        <v>1804</v>
      </c>
      <c r="F1040" t="s">
        <v>589</v>
      </c>
      <c r="G1040" t="s">
        <v>29</v>
      </c>
      <c r="H1040" t="s">
        <v>1184</v>
      </c>
    </row>
    <row r="1041" spans="1:8" x14ac:dyDescent="0.3">
      <c r="A1041" s="6">
        <v>12</v>
      </c>
      <c r="B1041" t="s">
        <v>856</v>
      </c>
      <c r="C1041" s="9" t="s">
        <v>932</v>
      </c>
      <c r="D1041" s="9">
        <v>18</v>
      </c>
      <c r="E1041" s="9" t="s">
        <v>1804</v>
      </c>
      <c r="F1041" t="s">
        <v>389</v>
      </c>
      <c r="G1041" t="s">
        <v>171</v>
      </c>
      <c r="H1041" t="s">
        <v>1447</v>
      </c>
    </row>
    <row r="1042" spans="1:8" x14ac:dyDescent="0.3">
      <c r="A1042" s="6">
        <v>12</v>
      </c>
      <c r="B1042" t="s">
        <v>856</v>
      </c>
      <c r="C1042" s="9" t="s">
        <v>932</v>
      </c>
      <c r="D1042" s="9">
        <v>33</v>
      </c>
      <c r="E1042" s="9" t="s">
        <v>1804</v>
      </c>
      <c r="F1042" t="s">
        <v>390</v>
      </c>
      <c r="G1042" t="s">
        <v>391</v>
      </c>
      <c r="H1042" t="s">
        <v>1449</v>
      </c>
    </row>
    <row r="1043" spans="1:8" x14ac:dyDescent="0.3">
      <c r="A1043" s="6">
        <v>12</v>
      </c>
      <c r="B1043" t="s">
        <v>856</v>
      </c>
      <c r="C1043" s="9" t="s">
        <v>932</v>
      </c>
      <c r="D1043" s="9">
        <v>21</v>
      </c>
      <c r="E1043" s="9" t="s">
        <v>1804</v>
      </c>
      <c r="F1043" t="s">
        <v>34</v>
      </c>
      <c r="G1043" t="s">
        <v>32</v>
      </c>
      <c r="H1043" t="s">
        <v>1485</v>
      </c>
    </row>
    <row r="1044" spans="1:8" x14ac:dyDescent="0.3">
      <c r="A1044" s="6">
        <v>12</v>
      </c>
      <c r="B1044" t="s">
        <v>856</v>
      </c>
      <c r="C1044" s="9" t="s">
        <v>932</v>
      </c>
      <c r="D1044" s="9">
        <v>27</v>
      </c>
      <c r="E1044" s="9" t="s">
        <v>1804</v>
      </c>
      <c r="F1044" t="s">
        <v>40</v>
      </c>
      <c r="G1044" t="s">
        <v>41</v>
      </c>
      <c r="H1044" t="s">
        <v>1169</v>
      </c>
    </row>
    <row r="1045" spans="1:8" x14ac:dyDescent="0.3">
      <c r="A1045" s="6">
        <v>12</v>
      </c>
      <c r="B1045" t="s">
        <v>856</v>
      </c>
      <c r="C1045" s="9" t="s">
        <v>932</v>
      </c>
      <c r="D1045" s="9">
        <v>24</v>
      </c>
      <c r="E1045" s="9" t="s">
        <v>1804</v>
      </c>
      <c r="F1045" t="s">
        <v>232</v>
      </c>
      <c r="G1045" t="s">
        <v>144</v>
      </c>
      <c r="H1045" t="s">
        <v>1171</v>
      </c>
    </row>
    <row r="1046" spans="1:8" x14ac:dyDescent="0.3">
      <c r="A1046" s="6">
        <v>12</v>
      </c>
      <c r="B1046" t="s">
        <v>856</v>
      </c>
      <c r="C1046" s="9" t="s">
        <v>932</v>
      </c>
      <c r="D1046" s="9">
        <v>24</v>
      </c>
      <c r="E1046" s="9" t="s">
        <v>1804</v>
      </c>
      <c r="F1046" t="s">
        <v>237</v>
      </c>
      <c r="G1046" t="s">
        <v>238</v>
      </c>
      <c r="H1046" t="s">
        <v>1065</v>
      </c>
    </row>
    <row r="1047" spans="1:8" x14ac:dyDescent="0.3">
      <c r="A1047" s="6">
        <v>12</v>
      </c>
      <c r="B1047" t="s">
        <v>856</v>
      </c>
      <c r="C1047" s="9" t="s">
        <v>932</v>
      </c>
      <c r="D1047" s="9">
        <v>24</v>
      </c>
      <c r="E1047" s="9" t="s">
        <v>1804</v>
      </c>
      <c r="F1047" t="s">
        <v>553</v>
      </c>
      <c r="G1047" t="s">
        <v>238</v>
      </c>
      <c r="H1047" t="s">
        <v>1066</v>
      </c>
    </row>
    <row r="1048" spans="1:8" x14ac:dyDescent="0.3">
      <c r="A1048" s="6">
        <v>12</v>
      </c>
      <c r="B1048" t="s">
        <v>856</v>
      </c>
      <c r="C1048" s="9" t="s">
        <v>1807</v>
      </c>
      <c r="D1048" s="9">
        <v>1200</v>
      </c>
      <c r="E1048" s="9" t="s">
        <v>1808</v>
      </c>
      <c r="F1048" t="s">
        <v>240</v>
      </c>
      <c r="G1048" t="s">
        <v>241</v>
      </c>
      <c r="H1048" t="s">
        <v>1427</v>
      </c>
    </row>
    <row r="1049" spans="1:8" x14ac:dyDescent="0.3">
      <c r="A1049" s="6">
        <v>12</v>
      </c>
      <c r="B1049" t="s">
        <v>856</v>
      </c>
      <c r="C1049" s="9" t="s">
        <v>1807</v>
      </c>
      <c r="D1049" s="9">
        <v>260</v>
      </c>
      <c r="E1049" s="9" t="s">
        <v>1808</v>
      </c>
      <c r="F1049" t="s">
        <v>243</v>
      </c>
      <c r="G1049" t="s">
        <v>244</v>
      </c>
      <c r="H1049" t="s">
        <v>1429</v>
      </c>
    </row>
    <row r="1050" spans="1:8" x14ac:dyDescent="0.3">
      <c r="A1050" s="6">
        <v>12</v>
      </c>
      <c r="B1050" t="s">
        <v>856</v>
      </c>
      <c r="C1050" s="9" t="s">
        <v>976</v>
      </c>
      <c r="D1050" s="9">
        <v>68</v>
      </c>
      <c r="E1050" s="9" t="s">
        <v>1804</v>
      </c>
      <c r="F1050" t="s">
        <v>255</v>
      </c>
      <c r="G1050" t="s">
        <v>256</v>
      </c>
      <c r="H1050" t="s">
        <v>1715</v>
      </c>
    </row>
    <row r="1051" spans="1:8" x14ac:dyDescent="0.3">
      <c r="A1051" s="6">
        <v>12</v>
      </c>
      <c r="B1051" t="s">
        <v>856</v>
      </c>
      <c r="C1051" s="9" t="s">
        <v>932</v>
      </c>
      <c r="D1051" s="9">
        <v>24</v>
      </c>
      <c r="E1051" s="9" t="s">
        <v>1804</v>
      </c>
      <c r="F1051" t="s">
        <v>258</v>
      </c>
      <c r="G1051" t="s">
        <v>256</v>
      </c>
      <c r="H1051" t="s">
        <v>1716</v>
      </c>
    </row>
    <row r="1052" spans="1:8" x14ac:dyDescent="0.3">
      <c r="A1052" s="6">
        <v>12</v>
      </c>
      <c r="B1052" t="s">
        <v>856</v>
      </c>
      <c r="C1052" s="9" t="s">
        <v>932</v>
      </c>
      <c r="D1052" s="9">
        <v>44</v>
      </c>
      <c r="E1052" s="9" t="s">
        <v>1804</v>
      </c>
      <c r="F1052" t="s">
        <v>633</v>
      </c>
      <c r="G1052" t="s">
        <v>256</v>
      </c>
      <c r="H1052" t="s">
        <v>1717</v>
      </c>
    </row>
    <row r="1053" spans="1:8" x14ac:dyDescent="0.3">
      <c r="A1053" s="6">
        <v>12</v>
      </c>
      <c r="B1053" t="s">
        <v>856</v>
      </c>
      <c r="C1053" s="9" t="s">
        <v>1807</v>
      </c>
      <c r="D1053" s="9">
        <v>1350</v>
      </c>
      <c r="E1053" s="9" t="s">
        <v>1808</v>
      </c>
      <c r="F1053" t="s">
        <v>275</v>
      </c>
      <c r="G1053" t="s">
        <v>276</v>
      </c>
      <c r="H1053" t="s">
        <v>1012</v>
      </c>
    </row>
    <row r="1054" spans="1:8" x14ac:dyDescent="0.3">
      <c r="A1054" s="6">
        <v>12</v>
      </c>
      <c r="B1054" t="s">
        <v>856</v>
      </c>
      <c r="C1054" s="9" t="s">
        <v>1807</v>
      </c>
      <c r="D1054" s="9">
        <v>1050</v>
      </c>
      <c r="E1054" s="9" t="s">
        <v>1808</v>
      </c>
      <c r="F1054" t="s">
        <v>291</v>
      </c>
      <c r="G1054" t="s">
        <v>292</v>
      </c>
      <c r="H1054" t="s">
        <v>1678</v>
      </c>
    </row>
    <row r="1055" spans="1:8" x14ac:dyDescent="0.3">
      <c r="A1055" s="6">
        <v>12</v>
      </c>
      <c r="B1055" t="s">
        <v>856</v>
      </c>
      <c r="C1055" s="9" t="s">
        <v>1807</v>
      </c>
      <c r="D1055" s="9">
        <v>750</v>
      </c>
      <c r="E1055" s="9" t="s">
        <v>1808</v>
      </c>
      <c r="F1055" t="s">
        <v>456</v>
      </c>
      <c r="G1055" t="s">
        <v>292</v>
      </c>
      <c r="H1055" t="s">
        <v>1679</v>
      </c>
    </row>
    <row r="1056" spans="1:8" x14ac:dyDescent="0.3">
      <c r="A1056" s="6">
        <v>12</v>
      </c>
      <c r="B1056" t="s">
        <v>856</v>
      </c>
      <c r="C1056" s="9" t="s">
        <v>932</v>
      </c>
      <c r="D1056" s="9">
        <v>18</v>
      </c>
      <c r="E1056" s="9" t="s">
        <v>1804</v>
      </c>
      <c r="F1056" t="s">
        <v>65</v>
      </c>
      <c r="G1056" t="s">
        <v>66</v>
      </c>
      <c r="H1056" t="s">
        <v>1791</v>
      </c>
    </row>
    <row r="1057" spans="1:8" x14ac:dyDescent="0.3">
      <c r="A1057" s="6">
        <v>12</v>
      </c>
      <c r="B1057" t="s">
        <v>856</v>
      </c>
      <c r="C1057" s="9" t="s">
        <v>932</v>
      </c>
      <c r="D1057" s="9">
        <v>12</v>
      </c>
      <c r="E1057" s="9" t="s">
        <v>1804</v>
      </c>
      <c r="F1057" t="s">
        <v>677</v>
      </c>
      <c r="G1057" t="s">
        <v>312</v>
      </c>
      <c r="H1057" t="s">
        <v>952</v>
      </c>
    </row>
    <row r="1058" spans="1:8" x14ac:dyDescent="0.3">
      <c r="A1058" s="6">
        <v>12</v>
      </c>
      <c r="B1058" t="s">
        <v>856</v>
      </c>
      <c r="C1058" s="9" t="s">
        <v>932</v>
      </c>
      <c r="D1058" s="9">
        <v>30</v>
      </c>
      <c r="E1058" s="9" t="s">
        <v>1804</v>
      </c>
      <c r="F1058" t="s">
        <v>314</v>
      </c>
      <c r="G1058" t="s">
        <v>312</v>
      </c>
      <c r="H1058" t="s">
        <v>953</v>
      </c>
    </row>
    <row r="1059" spans="1:8" x14ac:dyDescent="0.3">
      <c r="A1059" s="6">
        <v>12</v>
      </c>
      <c r="B1059" t="s">
        <v>856</v>
      </c>
      <c r="C1059" s="9" t="s">
        <v>1807</v>
      </c>
      <c r="D1059" s="9">
        <v>420</v>
      </c>
      <c r="E1059" s="9" t="s">
        <v>1808</v>
      </c>
      <c r="F1059" t="s">
        <v>68</v>
      </c>
      <c r="G1059" t="s">
        <v>69</v>
      </c>
      <c r="H1059" t="s">
        <v>1551</v>
      </c>
    </row>
    <row r="1060" spans="1:8" x14ac:dyDescent="0.3">
      <c r="A1060" s="6">
        <v>12</v>
      </c>
      <c r="B1060" t="s">
        <v>856</v>
      </c>
      <c r="C1060" s="9" t="s">
        <v>1807</v>
      </c>
      <c r="D1060" s="9">
        <v>198</v>
      </c>
      <c r="E1060" s="9" t="s">
        <v>1808</v>
      </c>
      <c r="F1060" t="s">
        <v>484</v>
      </c>
      <c r="G1060" t="s">
        <v>69</v>
      </c>
      <c r="H1060" t="s">
        <v>1556</v>
      </c>
    </row>
    <row r="1061" spans="1:8" x14ac:dyDescent="0.3">
      <c r="A1061" s="6">
        <v>12</v>
      </c>
      <c r="B1061" t="s">
        <v>856</v>
      </c>
      <c r="C1061" s="9" t="s">
        <v>1807</v>
      </c>
      <c r="D1061" s="9">
        <v>770</v>
      </c>
      <c r="E1061" s="9" t="s">
        <v>1808</v>
      </c>
      <c r="F1061" t="s">
        <v>71</v>
      </c>
      <c r="G1061" t="s">
        <v>72</v>
      </c>
      <c r="H1061" t="s">
        <v>1565</v>
      </c>
    </row>
    <row r="1062" spans="1:8" x14ac:dyDescent="0.3">
      <c r="A1062" s="6">
        <v>12</v>
      </c>
      <c r="B1062" t="s">
        <v>856</v>
      </c>
      <c r="C1062" s="9" t="s">
        <v>1807</v>
      </c>
      <c r="D1062" s="9">
        <v>518</v>
      </c>
      <c r="E1062" s="9" t="s">
        <v>1808</v>
      </c>
      <c r="F1062" t="s">
        <v>74</v>
      </c>
      <c r="G1062" t="s">
        <v>72</v>
      </c>
      <c r="H1062" t="s">
        <v>1566</v>
      </c>
    </row>
    <row r="1063" spans="1:8" x14ac:dyDescent="0.3">
      <c r="A1063" s="6">
        <v>12</v>
      </c>
      <c r="B1063" t="s">
        <v>856</v>
      </c>
      <c r="C1063" s="9" t="s">
        <v>1807</v>
      </c>
      <c r="D1063" s="9">
        <v>398</v>
      </c>
      <c r="E1063" s="9" t="s">
        <v>1808</v>
      </c>
      <c r="F1063" t="s">
        <v>318</v>
      </c>
      <c r="G1063" t="s">
        <v>76</v>
      </c>
      <c r="H1063" t="s">
        <v>1578</v>
      </c>
    </row>
    <row r="1064" spans="1:8" x14ac:dyDescent="0.3">
      <c r="A1064" s="6">
        <v>12</v>
      </c>
      <c r="B1064" t="s">
        <v>856</v>
      </c>
      <c r="C1064" s="9" t="s">
        <v>1807</v>
      </c>
      <c r="D1064" s="9">
        <v>698</v>
      </c>
      <c r="E1064" s="9" t="s">
        <v>1808</v>
      </c>
      <c r="F1064" t="s">
        <v>485</v>
      </c>
      <c r="G1064" t="s">
        <v>76</v>
      </c>
      <c r="H1064" t="s">
        <v>1579</v>
      </c>
    </row>
    <row r="1065" spans="1:8" x14ac:dyDescent="0.3">
      <c r="A1065" s="6">
        <v>12</v>
      </c>
      <c r="B1065" t="s">
        <v>856</v>
      </c>
      <c r="C1065" s="9" t="s">
        <v>1809</v>
      </c>
      <c r="D1065" s="9">
        <v>60</v>
      </c>
      <c r="E1065" s="9" t="s">
        <v>1804</v>
      </c>
      <c r="F1065" t="s">
        <v>78</v>
      </c>
      <c r="G1065" t="s">
        <v>1810</v>
      </c>
      <c r="H1065" t="s">
        <v>1811</v>
      </c>
    </row>
    <row r="1066" spans="1:8" x14ac:dyDescent="0.3">
      <c r="A1066" s="6">
        <v>12</v>
      </c>
      <c r="B1066" t="s">
        <v>856</v>
      </c>
      <c r="C1066" s="9" t="s">
        <v>963</v>
      </c>
      <c r="D1066" s="9">
        <v>60</v>
      </c>
      <c r="E1066" s="9" t="s">
        <v>1804</v>
      </c>
      <c r="F1066" t="s">
        <v>523</v>
      </c>
      <c r="G1066" t="s">
        <v>492</v>
      </c>
      <c r="H1066" t="s">
        <v>964</v>
      </c>
    </row>
    <row r="1067" spans="1:8" x14ac:dyDescent="0.3">
      <c r="A1067" s="6">
        <v>12</v>
      </c>
      <c r="B1067" t="s">
        <v>856</v>
      </c>
      <c r="C1067" s="9" t="s">
        <v>963</v>
      </c>
      <c r="D1067" s="9">
        <v>70</v>
      </c>
      <c r="E1067" s="9" t="s">
        <v>1804</v>
      </c>
      <c r="F1067" t="s">
        <v>325</v>
      </c>
      <c r="G1067" t="s">
        <v>196</v>
      </c>
      <c r="H1067" t="s">
        <v>1344</v>
      </c>
    </row>
    <row r="1068" spans="1:8" x14ac:dyDescent="0.3">
      <c r="A1068" s="6">
        <v>12</v>
      </c>
      <c r="B1068" t="s">
        <v>856</v>
      </c>
      <c r="C1068" s="9" t="s">
        <v>963</v>
      </c>
      <c r="D1068" s="9">
        <v>74</v>
      </c>
      <c r="E1068" s="9" t="s">
        <v>1804</v>
      </c>
      <c r="F1068" t="s">
        <v>87</v>
      </c>
      <c r="G1068" t="s">
        <v>88</v>
      </c>
      <c r="H1068" t="s">
        <v>1349</v>
      </c>
    </row>
    <row r="1069" spans="1:8" x14ac:dyDescent="0.3">
      <c r="A1069" s="6">
        <v>12</v>
      </c>
      <c r="B1069" t="s">
        <v>856</v>
      </c>
      <c r="C1069" s="9" t="s">
        <v>963</v>
      </c>
      <c r="D1069" s="9">
        <v>73</v>
      </c>
      <c r="E1069" s="9" t="s">
        <v>1804</v>
      </c>
      <c r="F1069" t="s">
        <v>90</v>
      </c>
      <c r="G1069" t="s">
        <v>15</v>
      </c>
      <c r="H1069" t="s">
        <v>1351</v>
      </c>
    </row>
    <row r="1070" spans="1:8" x14ac:dyDescent="0.3">
      <c r="A1070" s="6">
        <v>12</v>
      </c>
      <c r="B1070" t="s">
        <v>856</v>
      </c>
      <c r="C1070" s="9" t="s">
        <v>963</v>
      </c>
      <c r="D1070" s="9">
        <v>72</v>
      </c>
      <c r="E1070" s="9" t="s">
        <v>1804</v>
      </c>
      <c r="F1070" t="s">
        <v>101</v>
      </c>
      <c r="G1070" t="s">
        <v>102</v>
      </c>
      <c r="H1070" t="s">
        <v>1365</v>
      </c>
    </row>
    <row r="1071" spans="1:8" x14ac:dyDescent="0.3">
      <c r="A1071" s="6">
        <v>12</v>
      </c>
      <c r="B1071" t="s">
        <v>856</v>
      </c>
      <c r="C1071" s="9" t="s">
        <v>963</v>
      </c>
      <c r="D1071" s="9">
        <v>60</v>
      </c>
      <c r="E1071" s="9" t="s">
        <v>1804</v>
      </c>
      <c r="F1071" t="s">
        <v>400</v>
      </c>
      <c r="G1071" t="s">
        <v>401</v>
      </c>
      <c r="H1071" t="s">
        <v>1185</v>
      </c>
    </row>
    <row r="1072" spans="1:8" x14ac:dyDescent="0.3">
      <c r="A1072" s="6">
        <v>12</v>
      </c>
      <c r="B1072" t="s">
        <v>856</v>
      </c>
      <c r="C1072" s="9" t="s">
        <v>963</v>
      </c>
      <c r="D1072" s="9">
        <v>60</v>
      </c>
      <c r="E1072" s="9" t="s">
        <v>1804</v>
      </c>
      <c r="F1072" t="s">
        <v>167</v>
      </c>
      <c r="G1072" t="s">
        <v>168</v>
      </c>
      <c r="H1072" t="s">
        <v>1533</v>
      </c>
    </row>
    <row r="1073" spans="1:8" x14ac:dyDescent="0.3">
      <c r="A1073" s="6">
        <v>12</v>
      </c>
      <c r="B1073" t="s">
        <v>856</v>
      </c>
      <c r="C1073" s="9" t="s">
        <v>963</v>
      </c>
      <c r="D1073" s="9">
        <v>60</v>
      </c>
      <c r="E1073" s="9" t="s">
        <v>1804</v>
      </c>
      <c r="F1073" t="s">
        <v>170</v>
      </c>
      <c r="G1073" t="s">
        <v>171</v>
      </c>
      <c r="H1073" t="s">
        <v>1535</v>
      </c>
    </row>
    <row r="1074" spans="1:8" x14ac:dyDescent="0.3">
      <c r="A1074" s="6">
        <v>12</v>
      </c>
      <c r="B1074" t="s">
        <v>856</v>
      </c>
      <c r="C1074" s="9" t="s">
        <v>963</v>
      </c>
      <c r="D1074" s="9">
        <v>60</v>
      </c>
      <c r="E1074" s="9" t="s">
        <v>1804</v>
      </c>
      <c r="F1074" t="s">
        <v>107</v>
      </c>
      <c r="G1074" t="s">
        <v>108</v>
      </c>
      <c r="H1074" t="s">
        <v>1140</v>
      </c>
    </row>
    <row r="1075" spans="1:8" x14ac:dyDescent="0.3">
      <c r="A1075" s="6">
        <v>12</v>
      </c>
      <c r="B1075" t="s">
        <v>856</v>
      </c>
      <c r="C1075" s="9" t="s">
        <v>963</v>
      </c>
      <c r="D1075" s="9">
        <v>60</v>
      </c>
      <c r="E1075" s="9" t="s">
        <v>1804</v>
      </c>
      <c r="F1075" t="s">
        <v>114</v>
      </c>
      <c r="G1075" t="s">
        <v>115</v>
      </c>
      <c r="H1075" t="s">
        <v>1121</v>
      </c>
    </row>
    <row r="1076" spans="1:8" x14ac:dyDescent="0.3">
      <c r="A1076" s="6">
        <v>12</v>
      </c>
      <c r="B1076" t="s">
        <v>856</v>
      </c>
      <c r="C1076" s="9" t="s">
        <v>963</v>
      </c>
      <c r="D1076" s="9">
        <v>64</v>
      </c>
      <c r="E1076" s="9" t="s">
        <v>1804</v>
      </c>
      <c r="F1076" t="s">
        <v>583</v>
      </c>
      <c r="G1076" t="s">
        <v>238</v>
      </c>
      <c r="H1076" t="s">
        <v>1122</v>
      </c>
    </row>
    <row r="1077" spans="1:8" x14ac:dyDescent="0.3">
      <c r="A1077" s="6">
        <v>12</v>
      </c>
      <c r="B1077" t="s">
        <v>856</v>
      </c>
      <c r="C1077" s="9" t="s">
        <v>963</v>
      </c>
      <c r="D1077" s="9">
        <v>60</v>
      </c>
      <c r="E1077" s="9" t="s">
        <v>1804</v>
      </c>
      <c r="F1077" t="s">
        <v>371</v>
      </c>
      <c r="G1077" t="s">
        <v>66</v>
      </c>
      <c r="H1077" t="s">
        <v>1799</v>
      </c>
    </row>
    <row r="1078" spans="1:8" x14ac:dyDescent="0.3">
      <c r="A1078" s="6">
        <v>12</v>
      </c>
      <c r="B1078" t="s">
        <v>856</v>
      </c>
      <c r="C1078" s="9" t="s">
        <v>963</v>
      </c>
      <c r="D1078" s="9">
        <v>64</v>
      </c>
      <c r="E1078" s="9" t="s">
        <v>1804</v>
      </c>
      <c r="F1078" t="s">
        <v>372</v>
      </c>
      <c r="G1078" t="s">
        <v>312</v>
      </c>
      <c r="H1078" t="s">
        <v>973</v>
      </c>
    </row>
    <row r="1079" spans="1:8" x14ac:dyDescent="0.3">
      <c r="A1079" s="6">
        <v>12</v>
      </c>
      <c r="B1079" t="s">
        <v>856</v>
      </c>
      <c r="C1079" s="9" t="s">
        <v>963</v>
      </c>
      <c r="D1079" s="9">
        <v>64</v>
      </c>
      <c r="E1079" s="9" t="s">
        <v>1804</v>
      </c>
      <c r="F1079" t="s">
        <v>374</v>
      </c>
      <c r="G1079" t="s">
        <v>129</v>
      </c>
      <c r="H1079" t="s">
        <v>1582</v>
      </c>
    </row>
    <row r="1080" spans="1:8" x14ac:dyDescent="0.3">
      <c r="A1080" s="6">
        <v>12</v>
      </c>
      <c r="B1080" t="s">
        <v>856</v>
      </c>
      <c r="C1080" s="9" t="s">
        <v>963</v>
      </c>
      <c r="D1080" s="9">
        <v>60</v>
      </c>
      <c r="E1080" s="9" t="s">
        <v>1804</v>
      </c>
      <c r="F1080" t="s">
        <v>128</v>
      </c>
      <c r="G1080" t="s">
        <v>129</v>
      </c>
      <c r="H1080" t="s">
        <v>1582</v>
      </c>
    </row>
    <row r="1081" spans="1:8" x14ac:dyDescent="0.3">
      <c r="A1081" s="6">
        <v>13</v>
      </c>
      <c r="B1081" t="s">
        <v>853</v>
      </c>
      <c r="C1081" s="9" t="s">
        <v>932</v>
      </c>
      <c r="D1081" s="9">
        <v>24</v>
      </c>
      <c r="E1081" s="9" t="s">
        <v>1804</v>
      </c>
      <c r="F1081" t="s">
        <v>195</v>
      </c>
      <c r="G1081" t="s">
        <v>196</v>
      </c>
      <c r="H1081" t="s">
        <v>1263</v>
      </c>
    </row>
    <row r="1082" spans="1:8" x14ac:dyDescent="0.3">
      <c r="A1082" s="6">
        <v>13</v>
      </c>
      <c r="B1082" t="s">
        <v>853</v>
      </c>
      <c r="C1082" s="9" t="s">
        <v>932</v>
      </c>
      <c r="D1082" s="9">
        <v>37</v>
      </c>
      <c r="E1082" s="9" t="s">
        <v>1804</v>
      </c>
      <c r="F1082" t="s">
        <v>198</v>
      </c>
      <c r="G1082" t="s">
        <v>196</v>
      </c>
      <c r="H1082" t="s">
        <v>1267</v>
      </c>
    </row>
    <row r="1083" spans="1:8" x14ac:dyDescent="0.3">
      <c r="A1083" s="6">
        <v>13</v>
      </c>
      <c r="B1083" t="s">
        <v>853</v>
      </c>
      <c r="C1083" s="9" t="s">
        <v>932</v>
      </c>
      <c r="D1083" s="9">
        <v>27</v>
      </c>
      <c r="E1083" s="9" t="s">
        <v>1804</v>
      </c>
      <c r="F1083" t="s">
        <v>218</v>
      </c>
      <c r="G1083" t="s">
        <v>168</v>
      </c>
      <c r="H1083" t="s">
        <v>1443</v>
      </c>
    </row>
    <row r="1084" spans="1:8" x14ac:dyDescent="0.3">
      <c r="A1084" s="6">
        <v>13</v>
      </c>
      <c r="B1084" t="s">
        <v>853</v>
      </c>
      <c r="C1084" s="9" t="s">
        <v>932</v>
      </c>
      <c r="D1084" s="9">
        <v>16</v>
      </c>
      <c r="E1084" s="9" t="s">
        <v>1804</v>
      </c>
      <c r="F1084" t="s">
        <v>502</v>
      </c>
      <c r="G1084" t="s">
        <v>168</v>
      </c>
      <c r="H1084" t="s">
        <v>1444</v>
      </c>
    </row>
    <row r="1085" spans="1:8" x14ac:dyDescent="0.3">
      <c r="A1085" s="6">
        <v>13</v>
      </c>
      <c r="B1085" t="s">
        <v>853</v>
      </c>
      <c r="C1085" s="9" t="s">
        <v>932</v>
      </c>
      <c r="D1085" s="9">
        <v>32</v>
      </c>
      <c r="E1085" s="9" t="s">
        <v>1804</v>
      </c>
      <c r="F1085" t="s">
        <v>221</v>
      </c>
      <c r="G1085" t="s">
        <v>32</v>
      </c>
      <c r="H1085" t="s">
        <v>1490</v>
      </c>
    </row>
    <row r="1086" spans="1:8" x14ac:dyDescent="0.3">
      <c r="A1086" s="6">
        <v>13</v>
      </c>
      <c r="B1086" t="s">
        <v>853</v>
      </c>
      <c r="C1086" s="9" t="s">
        <v>932</v>
      </c>
      <c r="D1086" s="9">
        <v>34</v>
      </c>
      <c r="E1086" s="9" t="s">
        <v>1804</v>
      </c>
      <c r="F1086" t="s">
        <v>422</v>
      </c>
      <c r="G1086" t="s">
        <v>423</v>
      </c>
      <c r="H1086" t="s">
        <v>1149</v>
      </c>
    </row>
    <row r="1087" spans="1:8" x14ac:dyDescent="0.3">
      <c r="A1087" s="6">
        <v>13</v>
      </c>
      <c r="B1087" t="s">
        <v>853</v>
      </c>
      <c r="C1087" s="9" t="s">
        <v>932</v>
      </c>
      <c r="D1087" s="9">
        <v>12</v>
      </c>
      <c r="E1087" s="9" t="s">
        <v>1804</v>
      </c>
      <c r="F1087" t="s">
        <v>153</v>
      </c>
      <c r="G1087" t="s">
        <v>108</v>
      </c>
      <c r="H1087" t="s">
        <v>1150</v>
      </c>
    </row>
    <row r="1088" spans="1:8" x14ac:dyDescent="0.3">
      <c r="A1088" s="6">
        <v>13</v>
      </c>
      <c r="B1088" t="s">
        <v>853</v>
      </c>
      <c r="C1088" s="9" t="s">
        <v>932</v>
      </c>
      <c r="D1088" s="9">
        <v>18</v>
      </c>
      <c r="E1088" s="9" t="s">
        <v>1804</v>
      </c>
      <c r="F1088" t="s">
        <v>154</v>
      </c>
      <c r="G1088" t="s">
        <v>108</v>
      </c>
      <c r="H1088" t="s">
        <v>1151</v>
      </c>
    </row>
    <row r="1089" spans="1:8" x14ac:dyDescent="0.3">
      <c r="A1089" s="6">
        <v>13</v>
      </c>
      <c r="B1089" t="s">
        <v>853</v>
      </c>
      <c r="C1089" s="9" t="s">
        <v>932</v>
      </c>
      <c r="D1089" s="9">
        <v>18</v>
      </c>
      <c r="E1089" s="9" t="s">
        <v>1804</v>
      </c>
      <c r="F1089" t="s">
        <v>229</v>
      </c>
      <c r="G1089" t="s">
        <v>230</v>
      </c>
      <c r="H1089" t="s">
        <v>1170</v>
      </c>
    </row>
    <row r="1090" spans="1:8" x14ac:dyDescent="0.3">
      <c r="A1090" s="6">
        <v>13</v>
      </c>
      <c r="B1090" t="s">
        <v>853</v>
      </c>
      <c r="C1090" s="9" t="s">
        <v>932</v>
      </c>
      <c r="D1090" s="9">
        <v>24</v>
      </c>
      <c r="E1090" s="9" t="s">
        <v>1804</v>
      </c>
      <c r="F1090" t="s">
        <v>232</v>
      </c>
      <c r="G1090" t="s">
        <v>144</v>
      </c>
      <c r="H1090" t="s">
        <v>1171</v>
      </c>
    </row>
    <row r="1091" spans="1:8" x14ac:dyDescent="0.3">
      <c r="A1091" s="6">
        <v>13</v>
      </c>
      <c r="B1091" t="s">
        <v>853</v>
      </c>
      <c r="C1091" s="9" t="s">
        <v>932</v>
      </c>
      <c r="D1091" s="9">
        <v>25</v>
      </c>
      <c r="E1091" s="9" t="s">
        <v>1804</v>
      </c>
      <c r="F1091" t="s">
        <v>394</v>
      </c>
      <c r="G1091" t="s">
        <v>112</v>
      </c>
      <c r="H1091" t="s">
        <v>1172</v>
      </c>
    </row>
    <row r="1092" spans="1:8" x14ac:dyDescent="0.3">
      <c r="A1092" s="6">
        <v>13</v>
      </c>
      <c r="B1092" t="s">
        <v>853</v>
      </c>
      <c r="C1092" s="9" t="s">
        <v>932</v>
      </c>
      <c r="D1092" s="9">
        <v>18</v>
      </c>
      <c r="E1092" s="9" t="s">
        <v>1804</v>
      </c>
      <c r="F1092" t="s">
        <v>246</v>
      </c>
      <c r="G1092" t="s">
        <v>51</v>
      </c>
      <c r="H1092" t="s">
        <v>1596</v>
      </c>
    </row>
    <row r="1093" spans="1:8" x14ac:dyDescent="0.3">
      <c r="A1093" s="6">
        <v>13</v>
      </c>
      <c r="B1093" t="s">
        <v>853</v>
      </c>
      <c r="C1093" s="9" t="s">
        <v>932</v>
      </c>
      <c r="D1093" s="9">
        <v>37</v>
      </c>
      <c r="E1093" s="9" t="s">
        <v>1804</v>
      </c>
      <c r="F1093" t="s">
        <v>268</v>
      </c>
      <c r="G1093" t="s">
        <v>269</v>
      </c>
      <c r="H1093" t="s">
        <v>1645</v>
      </c>
    </row>
    <row r="1094" spans="1:8" x14ac:dyDescent="0.3">
      <c r="A1094" s="6">
        <v>13</v>
      </c>
      <c r="B1094" t="s">
        <v>853</v>
      </c>
      <c r="C1094" s="9" t="s">
        <v>932</v>
      </c>
      <c r="D1094" s="9">
        <v>26</v>
      </c>
      <c r="E1094" s="9" t="s">
        <v>1804</v>
      </c>
      <c r="F1094" t="s">
        <v>271</v>
      </c>
      <c r="G1094" t="s">
        <v>269</v>
      </c>
      <c r="H1094" t="s">
        <v>1646</v>
      </c>
    </row>
    <row r="1095" spans="1:8" x14ac:dyDescent="0.3">
      <c r="A1095" s="6">
        <v>13</v>
      </c>
      <c r="B1095" t="s">
        <v>853</v>
      </c>
      <c r="C1095" s="9" t="s">
        <v>932</v>
      </c>
      <c r="D1095" s="9">
        <v>24</v>
      </c>
      <c r="E1095" s="9" t="s">
        <v>1804</v>
      </c>
      <c r="F1095" t="s">
        <v>854</v>
      </c>
      <c r="G1095" t="s">
        <v>701</v>
      </c>
      <c r="H1095" t="s">
        <v>1201</v>
      </c>
    </row>
    <row r="1096" spans="1:8" x14ac:dyDescent="0.3">
      <c r="A1096" s="6">
        <v>13</v>
      </c>
      <c r="B1096" t="s">
        <v>853</v>
      </c>
      <c r="C1096" s="9" t="s">
        <v>976</v>
      </c>
      <c r="D1096" s="9">
        <v>60</v>
      </c>
      <c r="E1096" s="9" t="s">
        <v>1804</v>
      </c>
      <c r="F1096" t="s">
        <v>700</v>
      </c>
      <c r="G1096" t="s">
        <v>701</v>
      </c>
      <c r="H1096" t="s">
        <v>1202</v>
      </c>
    </row>
    <row r="1097" spans="1:8" x14ac:dyDescent="0.3">
      <c r="A1097" s="6">
        <v>13</v>
      </c>
      <c r="B1097" t="s">
        <v>853</v>
      </c>
      <c r="C1097" s="9" t="s">
        <v>932</v>
      </c>
      <c r="D1097" s="9">
        <v>45</v>
      </c>
      <c r="E1097" s="9" t="s">
        <v>1804</v>
      </c>
      <c r="F1097" t="s">
        <v>855</v>
      </c>
      <c r="G1097" t="s">
        <v>604</v>
      </c>
      <c r="H1097" t="s">
        <v>1207</v>
      </c>
    </row>
    <row r="1098" spans="1:8" x14ac:dyDescent="0.3">
      <c r="A1098" s="6">
        <v>13</v>
      </c>
      <c r="B1098" t="s">
        <v>853</v>
      </c>
      <c r="C1098" s="9" t="s">
        <v>932</v>
      </c>
      <c r="D1098" s="9">
        <v>24</v>
      </c>
      <c r="E1098" s="9" t="s">
        <v>1804</v>
      </c>
      <c r="F1098" t="s">
        <v>316</v>
      </c>
      <c r="G1098" t="s">
        <v>129</v>
      </c>
      <c r="H1098" t="s">
        <v>1562</v>
      </c>
    </row>
    <row r="1099" spans="1:8" x14ac:dyDescent="0.3">
      <c r="A1099" s="6">
        <v>13</v>
      </c>
      <c r="B1099" t="s">
        <v>853</v>
      </c>
      <c r="C1099" s="9" t="s">
        <v>1809</v>
      </c>
      <c r="D1099" s="9">
        <v>60</v>
      </c>
      <c r="E1099" s="9" t="s">
        <v>1804</v>
      </c>
      <c r="F1099" t="s">
        <v>78</v>
      </c>
      <c r="G1099" t="s">
        <v>1810</v>
      </c>
      <c r="H1099" t="s">
        <v>1811</v>
      </c>
    </row>
    <row r="1100" spans="1:8" x14ac:dyDescent="0.3">
      <c r="A1100" s="6">
        <v>13</v>
      </c>
      <c r="B1100" t="s">
        <v>853</v>
      </c>
      <c r="C1100" s="9" t="s">
        <v>963</v>
      </c>
      <c r="D1100" s="9">
        <v>70</v>
      </c>
      <c r="E1100" s="9" t="s">
        <v>1804</v>
      </c>
      <c r="F1100" t="s">
        <v>325</v>
      </c>
      <c r="G1100" t="s">
        <v>196</v>
      </c>
      <c r="H1100" t="s">
        <v>1344</v>
      </c>
    </row>
    <row r="1101" spans="1:8" x14ac:dyDescent="0.3">
      <c r="A1101" s="6">
        <v>13</v>
      </c>
      <c r="B1101" t="s">
        <v>853</v>
      </c>
      <c r="C1101" s="9" t="s">
        <v>963</v>
      </c>
      <c r="D1101" s="9">
        <v>72</v>
      </c>
      <c r="E1101" s="9" t="s">
        <v>1804</v>
      </c>
      <c r="F1101" t="s">
        <v>101</v>
      </c>
      <c r="G1101" t="s">
        <v>102</v>
      </c>
      <c r="H1101" t="s">
        <v>1365</v>
      </c>
    </row>
    <row r="1102" spans="1:8" x14ac:dyDescent="0.3">
      <c r="A1102" s="6">
        <v>13</v>
      </c>
      <c r="B1102" t="s">
        <v>853</v>
      </c>
      <c r="C1102" s="9" t="s">
        <v>963</v>
      </c>
      <c r="D1102" s="9">
        <v>60</v>
      </c>
      <c r="E1102" s="9" t="s">
        <v>1804</v>
      </c>
      <c r="F1102" t="s">
        <v>342</v>
      </c>
      <c r="G1102" t="s">
        <v>343</v>
      </c>
      <c r="H1102" t="s">
        <v>1191</v>
      </c>
    </row>
    <row r="1103" spans="1:8" x14ac:dyDescent="0.3">
      <c r="A1103" s="6">
        <v>13</v>
      </c>
      <c r="B1103" t="s">
        <v>853</v>
      </c>
      <c r="C1103" s="9" t="s">
        <v>963</v>
      </c>
      <c r="D1103" s="9">
        <v>60</v>
      </c>
      <c r="E1103" s="9" t="s">
        <v>1804</v>
      </c>
      <c r="F1103" t="s">
        <v>167</v>
      </c>
      <c r="G1103" t="s">
        <v>168</v>
      </c>
      <c r="H1103" t="s">
        <v>1533</v>
      </c>
    </row>
    <row r="1104" spans="1:8" x14ac:dyDescent="0.3">
      <c r="A1104" s="6">
        <v>13</v>
      </c>
      <c r="B1104" t="s">
        <v>853</v>
      </c>
      <c r="C1104" s="9" t="s">
        <v>963</v>
      </c>
      <c r="D1104" s="9">
        <v>60</v>
      </c>
      <c r="E1104" s="9" t="s">
        <v>1804</v>
      </c>
      <c r="F1104" t="s">
        <v>107</v>
      </c>
      <c r="G1104" t="s">
        <v>108</v>
      </c>
      <c r="H1104" t="s">
        <v>1140</v>
      </c>
    </row>
    <row r="1105" spans="1:8" x14ac:dyDescent="0.3">
      <c r="A1105" s="6">
        <v>13</v>
      </c>
      <c r="B1105" t="s">
        <v>853</v>
      </c>
      <c r="C1105" s="9" t="s">
        <v>963</v>
      </c>
      <c r="D1105" s="9">
        <v>60</v>
      </c>
      <c r="E1105" s="9" t="s">
        <v>1804</v>
      </c>
      <c r="F1105" t="s">
        <v>120</v>
      </c>
      <c r="G1105" t="s">
        <v>51</v>
      </c>
      <c r="H1105" t="s">
        <v>1590</v>
      </c>
    </row>
    <row r="1106" spans="1:8" x14ac:dyDescent="0.3">
      <c r="A1106" s="6">
        <v>13</v>
      </c>
      <c r="B1106" t="s">
        <v>853</v>
      </c>
      <c r="C1106" s="9" t="s">
        <v>963</v>
      </c>
      <c r="D1106" s="9">
        <v>60</v>
      </c>
      <c r="E1106" s="9" t="s">
        <v>1804</v>
      </c>
      <c r="F1106" t="s">
        <v>367</v>
      </c>
      <c r="G1106" t="s">
        <v>368</v>
      </c>
      <c r="H1106" t="s">
        <v>1688</v>
      </c>
    </row>
    <row r="1107" spans="1:8" x14ac:dyDescent="0.3">
      <c r="A1107" s="6">
        <v>13</v>
      </c>
      <c r="B1107" t="s">
        <v>853</v>
      </c>
      <c r="C1107" s="9" t="s">
        <v>963</v>
      </c>
      <c r="D1107" s="9">
        <v>60</v>
      </c>
      <c r="E1107" s="9" t="s">
        <v>1804</v>
      </c>
      <c r="F1107" t="s">
        <v>128</v>
      </c>
      <c r="G1107" t="s">
        <v>129</v>
      </c>
      <c r="H1107" t="s">
        <v>1582</v>
      </c>
    </row>
    <row r="1108" spans="1:8" x14ac:dyDescent="0.3">
      <c r="A1108" s="6">
        <v>14</v>
      </c>
      <c r="B1108" t="s">
        <v>852</v>
      </c>
      <c r="C1108" s="9" t="s">
        <v>932</v>
      </c>
      <c r="D1108" s="9">
        <v>30</v>
      </c>
      <c r="E1108" s="9" t="s">
        <v>1804</v>
      </c>
      <c r="F1108" t="s">
        <v>498</v>
      </c>
      <c r="G1108" t="s">
        <v>499</v>
      </c>
      <c r="H1108" t="s">
        <v>1695</v>
      </c>
    </row>
    <row r="1109" spans="1:8" x14ac:dyDescent="0.3">
      <c r="A1109" s="6">
        <v>14</v>
      </c>
      <c r="B1109" t="s">
        <v>852</v>
      </c>
      <c r="C1109" s="9" t="s">
        <v>932</v>
      </c>
      <c r="D1109" s="9">
        <v>36</v>
      </c>
      <c r="E1109" s="9" t="s">
        <v>1804</v>
      </c>
      <c r="F1109" t="s">
        <v>28</v>
      </c>
      <c r="G1109" t="s">
        <v>29</v>
      </c>
      <c r="H1109" t="s">
        <v>1180</v>
      </c>
    </row>
    <row r="1110" spans="1:8" x14ac:dyDescent="0.3">
      <c r="A1110" s="6">
        <v>14</v>
      </c>
      <c r="B1110" t="s">
        <v>852</v>
      </c>
      <c r="C1110" s="9" t="s">
        <v>932</v>
      </c>
      <c r="D1110" s="9">
        <v>27</v>
      </c>
      <c r="E1110" s="9" t="s">
        <v>1804</v>
      </c>
      <c r="F1110" t="s">
        <v>218</v>
      </c>
      <c r="G1110" t="s">
        <v>168</v>
      </c>
      <c r="H1110" t="s">
        <v>1443</v>
      </c>
    </row>
    <row r="1111" spans="1:8" x14ac:dyDescent="0.3">
      <c r="A1111" s="6">
        <v>14</v>
      </c>
      <c r="B1111" t="s">
        <v>852</v>
      </c>
      <c r="C1111" s="9" t="s">
        <v>932</v>
      </c>
      <c r="D1111" s="9">
        <v>33</v>
      </c>
      <c r="E1111" s="9" t="s">
        <v>1804</v>
      </c>
      <c r="F1111" t="s">
        <v>390</v>
      </c>
      <c r="G1111" t="s">
        <v>391</v>
      </c>
      <c r="H1111" t="s">
        <v>1449</v>
      </c>
    </row>
    <row r="1112" spans="1:8" x14ac:dyDescent="0.3">
      <c r="A1112" s="6">
        <v>14</v>
      </c>
      <c r="B1112" t="s">
        <v>852</v>
      </c>
      <c r="C1112" s="9" t="s">
        <v>932</v>
      </c>
      <c r="D1112" s="9">
        <v>15</v>
      </c>
      <c r="E1112" s="9" t="s">
        <v>1804</v>
      </c>
      <c r="F1112" t="s">
        <v>814</v>
      </c>
      <c r="G1112" t="s">
        <v>812</v>
      </c>
      <c r="H1112" t="s">
        <v>1455</v>
      </c>
    </row>
    <row r="1113" spans="1:8" x14ac:dyDescent="0.3">
      <c r="A1113" s="6">
        <v>14</v>
      </c>
      <c r="B1113" t="s">
        <v>852</v>
      </c>
      <c r="C1113" s="9" t="s">
        <v>932</v>
      </c>
      <c r="D1113" s="9">
        <v>24</v>
      </c>
      <c r="E1113" s="9" t="s">
        <v>1804</v>
      </c>
      <c r="F1113" t="s">
        <v>31</v>
      </c>
      <c r="G1113" t="s">
        <v>32</v>
      </c>
      <c r="H1113" t="s">
        <v>1483</v>
      </c>
    </row>
    <row r="1114" spans="1:8" x14ac:dyDescent="0.3">
      <c r="A1114" s="6">
        <v>14</v>
      </c>
      <c r="B1114" t="s">
        <v>852</v>
      </c>
      <c r="C1114" s="9" t="s">
        <v>932</v>
      </c>
      <c r="D1114" s="9">
        <v>21</v>
      </c>
      <c r="E1114" s="9" t="s">
        <v>1804</v>
      </c>
      <c r="F1114" t="s">
        <v>34</v>
      </c>
      <c r="G1114" t="s">
        <v>32</v>
      </c>
      <c r="H1114" t="s">
        <v>1485</v>
      </c>
    </row>
    <row r="1115" spans="1:8" x14ac:dyDescent="0.3">
      <c r="A1115" s="6">
        <v>14</v>
      </c>
      <c r="B1115" t="s">
        <v>852</v>
      </c>
      <c r="C1115" s="9" t="s">
        <v>932</v>
      </c>
      <c r="D1115" s="9">
        <v>30</v>
      </c>
      <c r="E1115" s="9" t="s">
        <v>1804</v>
      </c>
      <c r="F1115" t="s">
        <v>35</v>
      </c>
      <c r="G1115" t="s">
        <v>32</v>
      </c>
      <c r="H1115" t="s">
        <v>1489</v>
      </c>
    </row>
    <row r="1116" spans="1:8" x14ac:dyDescent="0.3">
      <c r="A1116" s="6">
        <v>14</v>
      </c>
      <c r="B1116" t="s">
        <v>852</v>
      </c>
      <c r="C1116" s="9" t="s">
        <v>932</v>
      </c>
      <c r="D1116" s="9">
        <v>27</v>
      </c>
      <c r="E1116" s="9" t="s">
        <v>1804</v>
      </c>
      <c r="F1116" t="s">
        <v>40</v>
      </c>
      <c r="G1116" t="s">
        <v>41</v>
      </c>
      <c r="H1116" t="s">
        <v>1169</v>
      </c>
    </row>
    <row r="1117" spans="1:8" x14ac:dyDescent="0.3">
      <c r="A1117" s="6">
        <v>14</v>
      </c>
      <c r="B1117" t="s">
        <v>852</v>
      </c>
      <c r="C1117" s="9" t="s">
        <v>932</v>
      </c>
      <c r="D1117" s="9">
        <v>24</v>
      </c>
      <c r="E1117" s="9" t="s">
        <v>1804</v>
      </c>
      <c r="F1117" t="s">
        <v>232</v>
      </c>
      <c r="G1117" t="s">
        <v>144</v>
      </c>
      <c r="H1117" t="s">
        <v>1171</v>
      </c>
    </row>
    <row r="1118" spans="1:8" x14ac:dyDescent="0.3">
      <c r="A1118" s="6">
        <v>14</v>
      </c>
      <c r="B1118" t="s">
        <v>852</v>
      </c>
      <c r="C1118" s="9" t="s">
        <v>932</v>
      </c>
      <c r="D1118" s="9">
        <v>12</v>
      </c>
      <c r="E1118" s="9" t="s">
        <v>1804</v>
      </c>
      <c r="F1118" t="s">
        <v>233</v>
      </c>
      <c r="G1118" t="s">
        <v>112</v>
      </c>
      <c r="H1118" t="s">
        <v>1146</v>
      </c>
    </row>
    <row r="1119" spans="1:8" x14ac:dyDescent="0.3">
      <c r="A1119" s="6">
        <v>14</v>
      </c>
      <c r="B1119" t="s">
        <v>852</v>
      </c>
      <c r="C1119" s="9" t="s">
        <v>932</v>
      </c>
      <c r="D1119" s="9">
        <v>24</v>
      </c>
      <c r="E1119" s="9" t="s">
        <v>1804</v>
      </c>
      <c r="F1119" t="s">
        <v>427</v>
      </c>
      <c r="G1119" t="s">
        <v>428</v>
      </c>
      <c r="H1119" t="s">
        <v>1054</v>
      </c>
    </row>
    <row r="1120" spans="1:8" x14ac:dyDescent="0.3">
      <c r="A1120" s="6">
        <v>14</v>
      </c>
      <c r="B1120" t="s">
        <v>852</v>
      </c>
      <c r="C1120" s="9" t="s">
        <v>932</v>
      </c>
      <c r="D1120" s="9">
        <v>15</v>
      </c>
      <c r="E1120" s="9" t="s">
        <v>1804</v>
      </c>
      <c r="F1120" t="s">
        <v>515</v>
      </c>
      <c r="G1120" t="s">
        <v>238</v>
      </c>
      <c r="H1120" t="s">
        <v>1064</v>
      </c>
    </row>
    <row r="1121" spans="1:8" x14ac:dyDescent="0.3">
      <c r="A1121" s="6">
        <v>14</v>
      </c>
      <c r="B1121" t="s">
        <v>852</v>
      </c>
      <c r="C1121" s="9" t="s">
        <v>932</v>
      </c>
      <c r="D1121" s="9">
        <v>24</v>
      </c>
      <c r="E1121" s="9" t="s">
        <v>1804</v>
      </c>
      <c r="F1121" t="s">
        <v>553</v>
      </c>
      <c r="G1121" t="s">
        <v>238</v>
      </c>
      <c r="H1121" t="s">
        <v>1066</v>
      </c>
    </row>
    <row r="1122" spans="1:8" x14ac:dyDescent="0.3">
      <c r="A1122" s="6">
        <v>14</v>
      </c>
      <c r="B1122" t="s">
        <v>852</v>
      </c>
      <c r="C1122" s="9" t="s">
        <v>932</v>
      </c>
      <c r="D1122" s="9">
        <v>18</v>
      </c>
      <c r="E1122" s="9" t="s">
        <v>1804</v>
      </c>
      <c r="F1122" t="s">
        <v>246</v>
      </c>
      <c r="G1122" t="s">
        <v>51</v>
      </c>
      <c r="H1122" t="s">
        <v>1596</v>
      </c>
    </row>
    <row r="1123" spans="1:8" x14ac:dyDescent="0.3">
      <c r="A1123" s="6">
        <v>14</v>
      </c>
      <c r="B1123" t="s">
        <v>852</v>
      </c>
      <c r="C1123" s="9" t="s">
        <v>932</v>
      </c>
      <c r="D1123" s="9">
        <v>14</v>
      </c>
      <c r="E1123" s="9" t="s">
        <v>1804</v>
      </c>
      <c r="F1123" t="s">
        <v>557</v>
      </c>
      <c r="G1123" t="s">
        <v>54</v>
      </c>
      <c r="H1123" t="s">
        <v>1602</v>
      </c>
    </row>
    <row r="1124" spans="1:8" x14ac:dyDescent="0.3">
      <c r="A1124" s="6">
        <v>14</v>
      </c>
      <c r="B1124" t="s">
        <v>852</v>
      </c>
      <c r="C1124" s="9" t="s">
        <v>932</v>
      </c>
      <c r="D1124" s="9">
        <v>18</v>
      </c>
      <c r="E1124" s="9" t="s">
        <v>1804</v>
      </c>
      <c r="F1124" t="s">
        <v>629</v>
      </c>
      <c r="G1124" t="s">
        <v>630</v>
      </c>
      <c r="H1124" t="s">
        <v>1198</v>
      </c>
    </row>
    <row r="1125" spans="1:8" x14ac:dyDescent="0.3">
      <c r="A1125" s="6">
        <v>14</v>
      </c>
      <c r="B1125" t="s">
        <v>852</v>
      </c>
      <c r="C1125" s="9" t="s">
        <v>932</v>
      </c>
      <c r="D1125" s="9">
        <v>24</v>
      </c>
      <c r="E1125" s="9" t="s">
        <v>1804</v>
      </c>
      <c r="F1125" t="s">
        <v>437</v>
      </c>
      <c r="G1125" t="s">
        <v>438</v>
      </c>
      <c r="H1125" t="s">
        <v>1642</v>
      </c>
    </row>
    <row r="1126" spans="1:8" x14ac:dyDescent="0.3">
      <c r="A1126" s="6">
        <v>14</v>
      </c>
      <c r="B1126" t="s">
        <v>852</v>
      </c>
      <c r="C1126" s="9" t="s">
        <v>932</v>
      </c>
      <c r="D1126" s="9">
        <v>19</v>
      </c>
      <c r="E1126" s="9" t="s">
        <v>1804</v>
      </c>
      <c r="F1126" t="s">
        <v>265</v>
      </c>
      <c r="G1126" t="s">
        <v>266</v>
      </c>
      <c r="H1126" t="s">
        <v>1337</v>
      </c>
    </row>
    <row r="1127" spans="1:8" x14ac:dyDescent="0.3">
      <c r="A1127" s="6">
        <v>14</v>
      </c>
      <c r="B1127" t="s">
        <v>852</v>
      </c>
      <c r="C1127" s="9" t="s">
        <v>1806</v>
      </c>
      <c r="D1127" s="9">
        <v>9</v>
      </c>
      <c r="E1127" s="9" t="s">
        <v>1804</v>
      </c>
      <c r="F1127" t="s">
        <v>315</v>
      </c>
      <c r="G1127" t="s">
        <v>126</v>
      </c>
      <c r="H1127" t="s">
        <v>1581</v>
      </c>
    </row>
    <row r="1128" spans="1:8" x14ac:dyDescent="0.3">
      <c r="A1128" s="6">
        <v>14</v>
      </c>
      <c r="B1128" t="s">
        <v>852</v>
      </c>
      <c r="C1128" s="9" t="s">
        <v>932</v>
      </c>
      <c r="D1128" s="9">
        <v>24</v>
      </c>
      <c r="E1128" s="9" t="s">
        <v>1804</v>
      </c>
      <c r="F1128" t="s">
        <v>316</v>
      </c>
      <c r="G1128" t="s">
        <v>129</v>
      </c>
      <c r="H1128" t="s">
        <v>1562</v>
      </c>
    </row>
    <row r="1129" spans="1:8" x14ac:dyDescent="0.3">
      <c r="A1129" s="6">
        <v>14</v>
      </c>
      <c r="B1129" t="s">
        <v>852</v>
      </c>
      <c r="C1129" s="9" t="s">
        <v>932</v>
      </c>
      <c r="D1129" s="9">
        <v>9</v>
      </c>
      <c r="E1129" s="9" t="s">
        <v>1804</v>
      </c>
      <c r="F1129" t="s">
        <v>574</v>
      </c>
      <c r="G1129" t="s">
        <v>129</v>
      </c>
      <c r="H1129" t="s">
        <v>1563</v>
      </c>
    </row>
    <row r="1130" spans="1:8" x14ac:dyDescent="0.3">
      <c r="A1130" s="6">
        <v>14</v>
      </c>
      <c r="B1130" t="s">
        <v>852</v>
      </c>
      <c r="C1130" s="9" t="s">
        <v>1809</v>
      </c>
      <c r="D1130" s="9">
        <v>60</v>
      </c>
      <c r="E1130" s="9" t="s">
        <v>1804</v>
      </c>
      <c r="F1130" t="s">
        <v>78</v>
      </c>
      <c r="G1130" t="s">
        <v>1810</v>
      </c>
      <c r="H1130" t="s">
        <v>1811</v>
      </c>
    </row>
    <row r="1131" spans="1:8" x14ac:dyDescent="0.3">
      <c r="A1131" s="6">
        <v>14</v>
      </c>
      <c r="B1131" t="s">
        <v>852</v>
      </c>
      <c r="C1131" s="9" t="s">
        <v>963</v>
      </c>
      <c r="D1131" s="9">
        <v>88</v>
      </c>
      <c r="E1131" s="9" t="s">
        <v>1804</v>
      </c>
      <c r="F1131" t="s">
        <v>84</v>
      </c>
      <c r="G1131" t="s">
        <v>85</v>
      </c>
      <c r="H1131" t="s">
        <v>1342</v>
      </c>
    </row>
    <row r="1132" spans="1:8" x14ac:dyDescent="0.3">
      <c r="A1132" s="6">
        <v>14</v>
      </c>
      <c r="B1132" t="s">
        <v>852</v>
      </c>
      <c r="C1132" s="9" t="s">
        <v>963</v>
      </c>
      <c r="D1132" s="9">
        <v>60</v>
      </c>
      <c r="E1132" s="9" t="s">
        <v>1804</v>
      </c>
      <c r="F1132" t="s">
        <v>612</v>
      </c>
      <c r="G1132" t="s">
        <v>613</v>
      </c>
      <c r="H1132" t="s">
        <v>1343</v>
      </c>
    </row>
    <row r="1133" spans="1:8" x14ac:dyDescent="0.3">
      <c r="A1133" s="6">
        <v>14</v>
      </c>
      <c r="B1133" t="s">
        <v>852</v>
      </c>
      <c r="C1133" s="9" t="s">
        <v>963</v>
      </c>
      <c r="D1133" s="9">
        <v>74</v>
      </c>
      <c r="E1133" s="9" t="s">
        <v>1804</v>
      </c>
      <c r="F1133" t="s">
        <v>458</v>
      </c>
      <c r="G1133" t="s">
        <v>459</v>
      </c>
      <c r="H1133" t="s">
        <v>1347</v>
      </c>
    </row>
    <row r="1134" spans="1:8" x14ac:dyDescent="0.3">
      <c r="A1134" s="6">
        <v>14</v>
      </c>
      <c r="B1134" t="s">
        <v>852</v>
      </c>
      <c r="C1134" s="9" t="s">
        <v>963</v>
      </c>
      <c r="D1134" s="9">
        <v>74</v>
      </c>
      <c r="E1134" s="9" t="s">
        <v>1804</v>
      </c>
      <c r="F1134" t="s">
        <v>87</v>
      </c>
      <c r="G1134" t="s">
        <v>88</v>
      </c>
      <c r="H1134" t="s">
        <v>1349</v>
      </c>
    </row>
    <row r="1135" spans="1:8" x14ac:dyDescent="0.3">
      <c r="A1135" s="6">
        <v>14</v>
      </c>
      <c r="B1135" t="s">
        <v>852</v>
      </c>
      <c r="C1135" s="9" t="s">
        <v>963</v>
      </c>
      <c r="D1135" s="9">
        <v>77</v>
      </c>
      <c r="E1135" s="9" t="s">
        <v>1804</v>
      </c>
      <c r="F1135" t="s">
        <v>91</v>
      </c>
      <c r="G1135" t="s">
        <v>92</v>
      </c>
      <c r="H1135" t="s">
        <v>1353</v>
      </c>
    </row>
    <row r="1136" spans="1:8" x14ac:dyDescent="0.3">
      <c r="A1136" s="6">
        <v>14</v>
      </c>
      <c r="B1136" t="s">
        <v>852</v>
      </c>
      <c r="C1136" s="9" t="s">
        <v>963</v>
      </c>
      <c r="D1136" s="9">
        <v>72</v>
      </c>
      <c r="E1136" s="9" t="s">
        <v>1804</v>
      </c>
      <c r="F1136" t="s">
        <v>101</v>
      </c>
      <c r="G1136" t="s">
        <v>102</v>
      </c>
      <c r="H1136" t="s">
        <v>1365</v>
      </c>
    </row>
    <row r="1137" spans="1:8" x14ac:dyDescent="0.3">
      <c r="A1137" s="6">
        <v>14</v>
      </c>
      <c r="B1137" t="s">
        <v>852</v>
      </c>
      <c r="C1137" s="9" t="s">
        <v>963</v>
      </c>
      <c r="D1137" s="9">
        <v>60</v>
      </c>
      <c r="E1137" s="9" t="s">
        <v>1804</v>
      </c>
      <c r="F1137" t="s">
        <v>400</v>
      </c>
      <c r="G1137" t="s">
        <v>401</v>
      </c>
      <c r="H1137" t="s">
        <v>1185</v>
      </c>
    </row>
    <row r="1138" spans="1:8" x14ac:dyDescent="0.3">
      <c r="A1138" s="6">
        <v>14</v>
      </c>
      <c r="B1138" t="s">
        <v>852</v>
      </c>
      <c r="C1138" s="9" t="s">
        <v>963</v>
      </c>
      <c r="D1138" s="9">
        <v>60</v>
      </c>
      <c r="E1138" s="9" t="s">
        <v>1804</v>
      </c>
      <c r="F1138" t="s">
        <v>167</v>
      </c>
      <c r="G1138" t="s">
        <v>168</v>
      </c>
      <c r="H1138" t="s">
        <v>1533</v>
      </c>
    </row>
    <row r="1139" spans="1:8" x14ac:dyDescent="0.3">
      <c r="A1139" s="6">
        <v>14</v>
      </c>
      <c r="B1139" t="s">
        <v>852</v>
      </c>
      <c r="C1139" s="9" t="s">
        <v>963</v>
      </c>
      <c r="D1139" s="9">
        <v>60</v>
      </c>
      <c r="E1139" s="9" t="s">
        <v>1804</v>
      </c>
      <c r="F1139" t="s">
        <v>170</v>
      </c>
      <c r="G1139" t="s">
        <v>171</v>
      </c>
      <c r="H1139" t="s">
        <v>1535</v>
      </c>
    </row>
    <row r="1140" spans="1:8" x14ac:dyDescent="0.3">
      <c r="A1140" s="6">
        <v>14</v>
      </c>
      <c r="B1140" t="s">
        <v>852</v>
      </c>
      <c r="C1140" s="9" t="s">
        <v>963</v>
      </c>
      <c r="D1140" s="9">
        <v>60</v>
      </c>
      <c r="E1140" s="9" t="s">
        <v>1804</v>
      </c>
      <c r="F1140" t="s">
        <v>106</v>
      </c>
      <c r="G1140" t="s">
        <v>32</v>
      </c>
      <c r="H1140" t="s">
        <v>1537</v>
      </c>
    </row>
    <row r="1141" spans="1:8" x14ac:dyDescent="0.3">
      <c r="A1141" s="6">
        <v>14</v>
      </c>
      <c r="B1141" t="s">
        <v>852</v>
      </c>
      <c r="C1141" s="9" t="s">
        <v>963</v>
      </c>
      <c r="D1141" s="9">
        <v>60</v>
      </c>
      <c r="E1141" s="9" t="s">
        <v>1804</v>
      </c>
      <c r="F1141" t="s">
        <v>751</v>
      </c>
      <c r="G1141" t="s">
        <v>752</v>
      </c>
      <c r="H1141" t="s">
        <v>1540</v>
      </c>
    </row>
    <row r="1142" spans="1:8" x14ac:dyDescent="0.3">
      <c r="A1142" s="6">
        <v>14</v>
      </c>
      <c r="B1142" t="s">
        <v>852</v>
      </c>
      <c r="C1142" s="9" t="s">
        <v>963</v>
      </c>
      <c r="D1142" s="9">
        <v>60</v>
      </c>
      <c r="E1142" s="9" t="s">
        <v>1804</v>
      </c>
      <c r="F1142" t="s">
        <v>107</v>
      </c>
      <c r="G1142" t="s">
        <v>108</v>
      </c>
      <c r="H1142" t="s">
        <v>1140</v>
      </c>
    </row>
    <row r="1143" spans="1:8" x14ac:dyDescent="0.3">
      <c r="A1143" s="6">
        <v>14</v>
      </c>
      <c r="B1143" t="s">
        <v>852</v>
      </c>
      <c r="C1143" s="9" t="s">
        <v>963</v>
      </c>
      <c r="D1143" s="9">
        <v>60</v>
      </c>
      <c r="E1143" s="9" t="s">
        <v>1804</v>
      </c>
      <c r="F1143" t="s">
        <v>111</v>
      </c>
      <c r="G1143" t="s">
        <v>112</v>
      </c>
      <c r="H1143" t="s">
        <v>1146</v>
      </c>
    </row>
    <row r="1144" spans="1:8" x14ac:dyDescent="0.3">
      <c r="A1144" s="6">
        <v>14</v>
      </c>
      <c r="B1144" t="s">
        <v>852</v>
      </c>
      <c r="C1144" s="9" t="s">
        <v>963</v>
      </c>
      <c r="D1144" s="9">
        <v>64</v>
      </c>
      <c r="E1144" s="9" t="s">
        <v>1804</v>
      </c>
      <c r="F1144" t="s">
        <v>583</v>
      </c>
      <c r="G1144" t="s">
        <v>238</v>
      </c>
      <c r="H1144" t="s">
        <v>1122</v>
      </c>
    </row>
    <row r="1145" spans="1:8" x14ac:dyDescent="0.3">
      <c r="A1145" s="6">
        <v>14</v>
      </c>
      <c r="B1145" t="s">
        <v>852</v>
      </c>
      <c r="C1145" s="9" t="s">
        <v>963</v>
      </c>
      <c r="D1145" s="9">
        <v>60</v>
      </c>
      <c r="E1145" s="9" t="s">
        <v>1804</v>
      </c>
      <c r="F1145" t="s">
        <v>120</v>
      </c>
      <c r="G1145" t="s">
        <v>51</v>
      </c>
      <c r="H1145" t="s">
        <v>1590</v>
      </c>
    </row>
    <row r="1146" spans="1:8" x14ac:dyDescent="0.3">
      <c r="A1146" s="6">
        <v>14</v>
      </c>
      <c r="B1146" t="s">
        <v>852</v>
      </c>
      <c r="C1146" s="9" t="s">
        <v>963</v>
      </c>
      <c r="D1146" s="9">
        <v>61</v>
      </c>
      <c r="E1146" s="9" t="s">
        <v>1804</v>
      </c>
      <c r="F1146" t="s">
        <v>848</v>
      </c>
      <c r="G1146" t="s">
        <v>266</v>
      </c>
      <c r="H1146" t="s">
        <v>1844</v>
      </c>
    </row>
    <row r="1147" spans="1:8" x14ac:dyDescent="0.3">
      <c r="A1147" s="6">
        <v>14</v>
      </c>
      <c r="B1147" t="s">
        <v>852</v>
      </c>
      <c r="C1147" s="9" t="s">
        <v>963</v>
      </c>
      <c r="D1147" s="9">
        <v>60</v>
      </c>
      <c r="E1147" s="9" t="s">
        <v>1804</v>
      </c>
      <c r="F1147" t="s">
        <v>644</v>
      </c>
      <c r="G1147" t="s">
        <v>645</v>
      </c>
      <c r="H1147" t="s">
        <v>1023</v>
      </c>
    </row>
    <row r="1148" spans="1:8" x14ac:dyDescent="0.3">
      <c r="A1148" s="6">
        <v>14</v>
      </c>
      <c r="B1148" t="s">
        <v>852</v>
      </c>
      <c r="C1148" s="9" t="s">
        <v>963</v>
      </c>
      <c r="D1148" s="9">
        <v>64</v>
      </c>
      <c r="E1148" s="9" t="s">
        <v>1804</v>
      </c>
      <c r="F1148" t="s">
        <v>586</v>
      </c>
      <c r="G1148" t="s">
        <v>63</v>
      </c>
      <c r="H1148" t="s">
        <v>1126</v>
      </c>
    </row>
    <row r="1149" spans="1:8" x14ac:dyDescent="0.3">
      <c r="A1149" s="6">
        <v>14</v>
      </c>
      <c r="B1149" t="s">
        <v>852</v>
      </c>
      <c r="C1149" s="9" t="s">
        <v>963</v>
      </c>
      <c r="D1149" s="9">
        <v>64</v>
      </c>
      <c r="E1149" s="9" t="s">
        <v>1804</v>
      </c>
      <c r="F1149" t="s">
        <v>475</v>
      </c>
      <c r="G1149" t="s">
        <v>476</v>
      </c>
      <c r="H1149" t="s">
        <v>1127</v>
      </c>
    </row>
    <row r="1150" spans="1:8" x14ac:dyDescent="0.3">
      <c r="A1150" s="6">
        <v>14</v>
      </c>
      <c r="B1150" t="s">
        <v>852</v>
      </c>
      <c r="C1150" s="9" t="s">
        <v>963</v>
      </c>
      <c r="D1150" s="9">
        <v>64</v>
      </c>
      <c r="E1150" s="9" t="s">
        <v>1804</v>
      </c>
      <c r="F1150" t="s">
        <v>125</v>
      </c>
      <c r="G1150" t="s">
        <v>126</v>
      </c>
      <c r="H1150" t="s">
        <v>1581</v>
      </c>
    </row>
    <row r="1151" spans="1:8" x14ac:dyDescent="0.3">
      <c r="A1151" s="6">
        <v>14</v>
      </c>
      <c r="B1151" t="s">
        <v>852</v>
      </c>
      <c r="C1151" s="9" t="s">
        <v>963</v>
      </c>
      <c r="D1151" s="9">
        <v>60</v>
      </c>
      <c r="E1151" s="9" t="s">
        <v>1804</v>
      </c>
      <c r="F1151" t="s">
        <v>128</v>
      </c>
      <c r="G1151" t="s">
        <v>129</v>
      </c>
      <c r="H1151" t="s">
        <v>1582</v>
      </c>
    </row>
    <row r="1152" spans="1:8" x14ac:dyDescent="0.3">
      <c r="A1152" s="6">
        <v>15</v>
      </c>
      <c r="B1152" t="s">
        <v>807</v>
      </c>
      <c r="C1152" s="9" t="s">
        <v>932</v>
      </c>
      <c r="D1152" s="9">
        <v>12</v>
      </c>
      <c r="E1152" s="9" t="s">
        <v>1804</v>
      </c>
      <c r="F1152" t="s">
        <v>530</v>
      </c>
      <c r="G1152" t="s">
        <v>531</v>
      </c>
      <c r="H1152" t="s">
        <v>938</v>
      </c>
    </row>
    <row r="1153" spans="1:8" x14ac:dyDescent="0.3">
      <c r="A1153" s="6">
        <v>15</v>
      </c>
      <c r="B1153" t="s">
        <v>807</v>
      </c>
      <c r="C1153" s="9" t="s">
        <v>932</v>
      </c>
      <c r="D1153" s="9">
        <v>18</v>
      </c>
      <c r="E1153" s="9" t="s">
        <v>1804</v>
      </c>
      <c r="F1153" t="s">
        <v>533</v>
      </c>
      <c r="G1153" t="s">
        <v>531</v>
      </c>
      <c r="H1153" t="s">
        <v>939</v>
      </c>
    </row>
    <row r="1154" spans="1:8" x14ac:dyDescent="0.3">
      <c r="A1154" s="6">
        <v>15</v>
      </c>
      <c r="B1154" t="s">
        <v>807</v>
      </c>
      <c r="C1154" s="9" t="s">
        <v>932</v>
      </c>
      <c r="D1154" s="9">
        <v>12</v>
      </c>
      <c r="E1154" s="9" t="s">
        <v>1804</v>
      </c>
      <c r="F1154" t="s">
        <v>143</v>
      </c>
      <c r="G1154" t="s">
        <v>144</v>
      </c>
      <c r="H1154" t="s">
        <v>1694</v>
      </c>
    </row>
    <row r="1155" spans="1:8" x14ac:dyDescent="0.3">
      <c r="A1155" s="6">
        <v>15</v>
      </c>
      <c r="B1155" t="s">
        <v>807</v>
      </c>
      <c r="C1155" s="9" t="s">
        <v>932</v>
      </c>
      <c r="D1155" s="9">
        <v>31</v>
      </c>
      <c r="E1155" s="9" t="s">
        <v>1804</v>
      </c>
      <c r="F1155" t="s">
        <v>757</v>
      </c>
      <c r="G1155" t="s">
        <v>758</v>
      </c>
      <c r="H1155" t="s">
        <v>1226</v>
      </c>
    </row>
    <row r="1156" spans="1:8" x14ac:dyDescent="0.3">
      <c r="A1156" s="6">
        <v>15</v>
      </c>
      <c r="B1156" t="s">
        <v>807</v>
      </c>
      <c r="C1156" s="9" t="s">
        <v>932</v>
      </c>
      <c r="D1156" s="9">
        <v>27</v>
      </c>
      <c r="E1156" s="9" t="s">
        <v>1804</v>
      </c>
      <c r="F1156" t="s">
        <v>381</v>
      </c>
      <c r="G1156" t="s">
        <v>382</v>
      </c>
      <c r="H1156" t="s">
        <v>1230</v>
      </c>
    </row>
    <row r="1157" spans="1:8" x14ac:dyDescent="0.3">
      <c r="A1157" s="6">
        <v>15</v>
      </c>
      <c r="B1157" t="s">
        <v>807</v>
      </c>
      <c r="C1157" s="9" t="s">
        <v>932</v>
      </c>
      <c r="D1157" s="9">
        <v>18</v>
      </c>
      <c r="E1157" s="9" t="s">
        <v>1804</v>
      </c>
      <c r="F1157" t="s">
        <v>808</v>
      </c>
      <c r="G1157" t="s">
        <v>382</v>
      </c>
      <c r="H1157" t="s">
        <v>1231</v>
      </c>
    </row>
    <row r="1158" spans="1:8" x14ac:dyDescent="0.3">
      <c r="A1158" s="6">
        <v>15</v>
      </c>
      <c r="B1158" t="s">
        <v>807</v>
      </c>
      <c r="C1158" s="9" t="s">
        <v>932</v>
      </c>
      <c r="D1158" s="9">
        <v>12</v>
      </c>
      <c r="E1158" s="9" t="s">
        <v>1804</v>
      </c>
      <c r="F1158" t="s">
        <v>771</v>
      </c>
      <c r="G1158" t="s">
        <v>382</v>
      </c>
      <c r="H1158" t="s">
        <v>1232</v>
      </c>
    </row>
    <row r="1159" spans="1:8" x14ac:dyDescent="0.3">
      <c r="A1159" s="6">
        <v>15</v>
      </c>
      <c r="B1159" t="s">
        <v>807</v>
      </c>
      <c r="C1159" s="9" t="s">
        <v>932</v>
      </c>
      <c r="D1159" s="9">
        <v>13</v>
      </c>
      <c r="E1159" s="9" t="s">
        <v>1804</v>
      </c>
      <c r="F1159" t="s">
        <v>150</v>
      </c>
      <c r="G1159" t="s">
        <v>147</v>
      </c>
      <c r="H1159" t="s">
        <v>1379</v>
      </c>
    </row>
    <row r="1160" spans="1:8" x14ac:dyDescent="0.3">
      <c r="A1160" s="6">
        <v>15</v>
      </c>
      <c r="B1160" t="s">
        <v>807</v>
      </c>
      <c r="C1160" s="9" t="s">
        <v>932</v>
      </c>
      <c r="D1160" s="9">
        <v>19</v>
      </c>
      <c r="E1160" s="9" t="s">
        <v>1804</v>
      </c>
      <c r="F1160" t="s">
        <v>151</v>
      </c>
      <c r="G1160" t="s">
        <v>147</v>
      </c>
      <c r="H1160" t="s">
        <v>1380</v>
      </c>
    </row>
    <row r="1161" spans="1:8" x14ac:dyDescent="0.3">
      <c r="A1161" s="6">
        <v>15</v>
      </c>
      <c r="B1161" t="s">
        <v>807</v>
      </c>
      <c r="C1161" s="9" t="s">
        <v>932</v>
      </c>
      <c r="D1161" s="9">
        <v>30</v>
      </c>
      <c r="E1161" s="9" t="s">
        <v>1804</v>
      </c>
      <c r="F1161" t="s">
        <v>176</v>
      </c>
      <c r="G1161" t="s">
        <v>177</v>
      </c>
      <c r="H1161" t="s">
        <v>1381</v>
      </c>
    </row>
    <row r="1162" spans="1:8" x14ac:dyDescent="0.3">
      <c r="A1162" s="6">
        <v>15</v>
      </c>
      <c r="B1162" t="s">
        <v>807</v>
      </c>
      <c r="C1162" s="9" t="s">
        <v>932</v>
      </c>
      <c r="D1162" s="9">
        <v>12</v>
      </c>
      <c r="E1162" s="9" t="s">
        <v>1804</v>
      </c>
      <c r="F1162" t="s">
        <v>663</v>
      </c>
      <c r="G1162" t="s">
        <v>177</v>
      </c>
      <c r="H1162" t="s">
        <v>1382</v>
      </c>
    </row>
    <row r="1163" spans="1:8" x14ac:dyDescent="0.3">
      <c r="A1163" s="6">
        <v>15</v>
      </c>
      <c r="B1163" t="s">
        <v>807</v>
      </c>
      <c r="C1163" s="9" t="s">
        <v>932</v>
      </c>
      <c r="D1163" s="9">
        <v>18</v>
      </c>
      <c r="E1163" s="9" t="s">
        <v>1804</v>
      </c>
      <c r="F1163" t="s">
        <v>535</v>
      </c>
      <c r="G1163" t="s">
        <v>177</v>
      </c>
      <c r="H1163" t="s">
        <v>1383</v>
      </c>
    </row>
    <row r="1164" spans="1:8" x14ac:dyDescent="0.3">
      <c r="A1164" s="6">
        <v>15</v>
      </c>
      <c r="B1164" t="s">
        <v>807</v>
      </c>
      <c r="C1164" s="9" t="s">
        <v>932</v>
      </c>
      <c r="D1164" s="9">
        <v>30</v>
      </c>
      <c r="E1164" s="9" t="s">
        <v>1804</v>
      </c>
      <c r="F1164" t="s">
        <v>498</v>
      </c>
      <c r="G1164" t="s">
        <v>499</v>
      </c>
      <c r="H1164" t="s">
        <v>1695</v>
      </c>
    </row>
    <row r="1165" spans="1:8" x14ac:dyDescent="0.3">
      <c r="A1165" s="6">
        <v>15</v>
      </c>
      <c r="B1165" t="s">
        <v>807</v>
      </c>
      <c r="C1165" s="9" t="s">
        <v>932</v>
      </c>
      <c r="D1165" s="9">
        <v>12</v>
      </c>
      <c r="E1165" s="9" t="s">
        <v>1804</v>
      </c>
      <c r="F1165" t="s">
        <v>809</v>
      </c>
      <c r="G1165" t="s">
        <v>499</v>
      </c>
      <c r="H1165" t="s">
        <v>1696</v>
      </c>
    </row>
    <row r="1166" spans="1:8" x14ac:dyDescent="0.3">
      <c r="A1166" s="6">
        <v>15</v>
      </c>
      <c r="B1166" t="s">
        <v>807</v>
      </c>
      <c r="C1166" s="9" t="s">
        <v>932</v>
      </c>
      <c r="D1166" s="9">
        <v>31</v>
      </c>
      <c r="E1166" s="9" t="s">
        <v>1804</v>
      </c>
      <c r="F1166" t="s">
        <v>189</v>
      </c>
      <c r="G1166" t="s">
        <v>190</v>
      </c>
      <c r="H1166" t="s">
        <v>1251</v>
      </c>
    </row>
    <row r="1167" spans="1:8" x14ac:dyDescent="0.3">
      <c r="A1167" s="6">
        <v>15</v>
      </c>
      <c r="B1167" t="s">
        <v>807</v>
      </c>
      <c r="C1167" s="9" t="s">
        <v>932</v>
      </c>
      <c r="D1167" s="9">
        <v>24</v>
      </c>
      <c r="E1167" s="9" t="s">
        <v>1804</v>
      </c>
      <c r="F1167" t="s">
        <v>195</v>
      </c>
      <c r="G1167" t="s">
        <v>196</v>
      </c>
      <c r="H1167" t="s">
        <v>1263</v>
      </c>
    </row>
    <row r="1168" spans="1:8" x14ac:dyDescent="0.3">
      <c r="A1168" s="6">
        <v>15</v>
      </c>
      <c r="B1168" t="s">
        <v>807</v>
      </c>
      <c r="C1168" s="9" t="s">
        <v>1807</v>
      </c>
      <c r="D1168" s="9">
        <v>1110</v>
      </c>
      <c r="E1168" s="9" t="s">
        <v>1808</v>
      </c>
      <c r="F1168" t="s">
        <v>802</v>
      </c>
      <c r="G1168" t="s">
        <v>196</v>
      </c>
      <c r="H1168" t="s">
        <v>1269</v>
      </c>
    </row>
    <row r="1169" spans="1:8" x14ac:dyDescent="0.3">
      <c r="A1169" s="6">
        <v>15</v>
      </c>
      <c r="B1169" t="s">
        <v>807</v>
      </c>
      <c r="C1169" s="9" t="s">
        <v>1807</v>
      </c>
      <c r="D1169" s="9">
        <v>1300</v>
      </c>
      <c r="E1169" s="9" t="s">
        <v>1808</v>
      </c>
      <c r="F1169" t="s">
        <v>199</v>
      </c>
      <c r="G1169" t="s">
        <v>200</v>
      </c>
      <c r="H1169" t="s">
        <v>1271</v>
      </c>
    </row>
    <row r="1170" spans="1:8" x14ac:dyDescent="0.3">
      <c r="A1170" s="6">
        <v>15</v>
      </c>
      <c r="B1170" t="s">
        <v>807</v>
      </c>
      <c r="C1170" s="9" t="s">
        <v>1807</v>
      </c>
      <c r="D1170" s="9">
        <v>1050</v>
      </c>
      <c r="E1170" s="9" t="s">
        <v>1808</v>
      </c>
      <c r="F1170" t="s">
        <v>203</v>
      </c>
      <c r="G1170" t="s">
        <v>12</v>
      </c>
      <c r="H1170" t="s">
        <v>1821</v>
      </c>
    </row>
    <row r="1171" spans="1:8" x14ac:dyDescent="0.3">
      <c r="A1171" s="6">
        <v>15</v>
      </c>
      <c r="B1171" t="s">
        <v>807</v>
      </c>
      <c r="C1171" s="9" t="s">
        <v>932</v>
      </c>
      <c r="D1171" s="9">
        <v>42</v>
      </c>
      <c r="E1171" s="9" t="s">
        <v>1804</v>
      </c>
      <c r="F1171" t="s">
        <v>14</v>
      </c>
      <c r="G1171" t="s">
        <v>15</v>
      </c>
      <c r="H1171" t="s">
        <v>1290</v>
      </c>
    </row>
    <row r="1172" spans="1:8" x14ac:dyDescent="0.3">
      <c r="A1172" s="6">
        <v>15</v>
      </c>
      <c r="B1172" t="s">
        <v>807</v>
      </c>
      <c r="C1172" s="9" t="s">
        <v>932</v>
      </c>
      <c r="D1172" s="9">
        <v>12</v>
      </c>
      <c r="E1172" s="9" t="s">
        <v>1804</v>
      </c>
      <c r="F1172" t="s">
        <v>204</v>
      </c>
      <c r="G1172" t="s">
        <v>15</v>
      </c>
      <c r="H1172" t="s">
        <v>1292</v>
      </c>
    </row>
    <row r="1173" spans="1:8" x14ac:dyDescent="0.3">
      <c r="A1173" s="6">
        <v>15</v>
      </c>
      <c r="B1173" t="s">
        <v>807</v>
      </c>
      <c r="C1173" s="9" t="s">
        <v>1807</v>
      </c>
      <c r="D1173" s="9">
        <v>165</v>
      </c>
      <c r="E1173" s="9" t="s">
        <v>1808</v>
      </c>
      <c r="F1173" t="s">
        <v>410</v>
      </c>
      <c r="G1173" t="s">
        <v>411</v>
      </c>
      <c r="H1173" t="s">
        <v>1313</v>
      </c>
    </row>
    <row r="1174" spans="1:8" x14ac:dyDescent="0.3">
      <c r="A1174" s="6">
        <v>15</v>
      </c>
      <c r="B1174" t="s">
        <v>807</v>
      </c>
      <c r="C1174" s="9" t="s">
        <v>1807</v>
      </c>
      <c r="D1174" s="9">
        <v>750</v>
      </c>
      <c r="E1174" s="9" t="s">
        <v>1808</v>
      </c>
      <c r="F1174" t="s">
        <v>210</v>
      </c>
      <c r="G1174" t="s">
        <v>212</v>
      </c>
      <c r="H1174" t="s">
        <v>1331</v>
      </c>
    </row>
    <row r="1175" spans="1:8" x14ac:dyDescent="0.3">
      <c r="A1175" s="6">
        <v>15</v>
      </c>
      <c r="B1175" t="s">
        <v>807</v>
      </c>
      <c r="C1175" s="9" t="s">
        <v>932</v>
      </c>
      <c r="D1175" s="9">
        <v>12</v>
      </c>
      <c r="E1175" s="9" t="s">
        <v>1804</v>
      </c>
      <c r="F1175" t="s">
        <v>622</v>
      </c>
      <c r="G1175" t="s">
        <v>401</v>
      </c>
      <c r="H1175" t="s">
        <v>1178</v>
      </c>
    </row>
    <row r="1176" spans="1:8" x14ac:dyDescent="0.3">
      <c r="A1176" s="6">
        <v>15</v>
      </c>
      <c r="B1176" t="s">
        <v>807</v>
      </c>
      <c r="C1176" s="9" t="s">
        <v>932</v>
      </c>
      <c r="D1176" s="9">
        <v>36</v>
      </c>
      <c r="E1176" s="9" t="s">
        <v>1804</v>
      </c>
      <c r="F1176" t="s">
        <v>28</v>
      </c>
      <c r="G1176" t="s">
        <v>29</v>
      </c>
      <c r="H1176" t="s">
        <v>1180</v>
      </c>
    </row>
    <row r="1177" spans="1:8" x14ac:dyDescent="0.3">
      <c r="A1177" s="6">
        <v>15</v>
      </c>
      <c r="B1177" t="s">
        <v>807</v>
      </c>
      <c r="C1177" s="9" t="s">
        <v>932</v>
      </c>
      <c r="D1177" s="9">
        <v>12</v>
      </c>
      <c r="E1177" s="9" t="s">
        <v>1804</v>
      </c>
      <c r="F1177" t="s">
        <v>483</v>
      </c>
      <c r="G1177" t="s">
        <v>29</v>
      </c>
      <c r="H1177" t="s">
        <v>1182</v>
      </c>
    </row>
    <row r="1178" spans="1:8" x14ac:dyDescent="0.3">
      <c r="A1178" s="6">
        <v>15</v>
      </c>
      <c r="B1178" t="s">
        <v>807</v>
      </c>
      <c r="C1178" s="9" t="s">
        <v>932</v>
      </c>
      <c r="D1178" s="9">
        <v>12</v>
      </c>
      <c r="E1178" s="9" t="s">
        <v>1804</v>
      </c>
      <c r="F1178" t="s">
        <v>588</v>
      </c>
      <c r="G1178" t="s">
        <v>29</v>
      </c>
      <c r="H1178" t="s">
        <v>1183</v>
      </c>
    </row>
    <row r="1179" spans="1:8" x14ac:dyDescent="0.3">
      <c r="A1179" s="6">
        <v>15</v>
      </c>
      <c r="B1179" t="s">
        <v>807</v>
      </c>
      <c r="C1179" s="9" t="s">
        <v>932</v>
      </c>
      <c r="D1179" s="9">
        <v>12</v>
      </c>
      <c r="E1179" s="9" t="s">
        <v>1804</v>
      </c>
      <c r="F1179" t="s">
        <v>589</v>
      </c>
      <c r="G1179" t="s">
        <v>29</v>
      </c>
      <c r="H1179" t="s">
        <v>1184</v>
      </c>
    </row>
    <row r="1180" spans="1:8" x14ac:dyDescent="0.3">
      <c r="A1180" s="6">
        <v>15</v>
      </c>
      <c r="B1180" t="s">
        <v>807</v>
      </c>
      <c r="C1180" s="9" t="s">
        <v>932</v>
      </c>
      <c r="D1180" s="9">
        <v>24</v>
      </c>
      <c r="E1180" s="9" t="s">
        <v>1804</v>
      </c>
      <c r="F1180" t="s">
        <v>385</v>
      </c>
      <c r="G1180" t="s">
        <v>386</v>
      </c>
      <c r="H1180" t="s">
        <v>1421</v>
      </c>
    </row>
    <row r="1181" spans="1:8" x14ac:dyDescent="0.3">
      <c r="A1181" s="6">
        <v>15</v>
      </c>
      <c r="B1181" t="s">
        <v>807</v>
      </c>
      <c r="C1181" s="9" t="s">
        <v>932</v>
      </c>
      <c r="D1181" s="9">
        <v>18</v>
      </c>
      <c r="E1181" s="9" t="s">
        <v>1804</v>
      </c>
      <c r="F1181" t="s">
        <v>217</v>
      </c>
      <c r="G1181" t="s">
        <v>168</v>
      </c>
      <c r="H1181" t="s">
        <v>1442</v>
      </c>
    </row>
    <row r="1182" spans="1:8" x14ac:dyDescent="0.3">
      <c r="A1182" s="6">
        <v>15</v>
      </c>
      <c r="B1182" t="s">
        <v>807</v>
      </c>
      <c r="C1182" s="9" t="s">
        <v>932</v>
      </c>
      <c r="D1182" s="9">
        <v>16</v>
      </c>
      <c r="E1182" s="9" t="s">
        <v>1804</v>
      </c>
      <c r="F1182" t="s">
        <v>502</v>
      </c>
      <c r="G1182" t="s">
        <v>168</v>
      </c>
      <c r="H1182" t="s">
        <v>1444</v>
      </c>
    </row>
    <row r="1183" spans="1:8" x14ac:dyDescent="0.3">
      <c r="A1183" s="6">
        <v>15</v>
      </c>
      <c r="B1183" t="s">
        <v>807</v>
      </c>
      <c r="C1183" s="9" t="s">
        <v>932</v>
      </c>
      <c r="D1183" s="9">
        <v>24</v>
      </c>
      <c r="E1183" s="9" t="s">
        <v>1804</v>
      </c>
      <c r="F1183" t="s">
        <v>810</v>
      </c>
      <c r="G1183" t="s">
        <v>171</v>
      </c>
      <c r="H1183" t="s">
        <v>1448</v>
      </c>
    </row>
    <row r="1184" spans="1:8" x14ac:dyDescent="0.3">
      <c r="A1184" s="6">
        <v>15</v>
      </c>
      <c r="B1184" t="s">
        <v>807</v>
      </c>
      <c r="C1184" s="9" t="s">
        <v>932</v>
      </c>
      <c r="D1184" s="9">
        <v>33</v>
      </c>
      <c r="E1184" s="9" t="s">
        <v>1804</v>
      </c>
      <c r="F1184" t="s">
        <v>390</v>
      </c>
      <c r="G1184" t="s">
        <v>391</v>
      </c>
      <c r="H1184" t="s">
        <v>1449</v>
      </c>
    </row>
    <row r="1185" spans="1:8" x14ac:dyDescent="0.3">
      <c r="A1185" s="6">
        <v>15</v>
      </c>
      <c r="B1185" t="s">
        <v>807</v>
      </c>
      <c r="C1185" s="9" t="s">
        <v>932</v>
      </c>
      <c r="D1185" s="9">
        <v>15</v>
      </c>
      <c r="E1185" s="9" t="s">
        <v>1804</v>
      </c>
      <c r="F1185" t="s">
        <v>811</v>
      </c>
      <c r="G1185" t="s">
        <v>812</v>
      </c>
      <c r="H1185" t="s">
        <v>1452</v>
      </c>
    </row>
    <row r="1186" spans="1:8" x14ac:dyDescent="0.3">
      <c r="A1186" s="6">
        <v>15</v>
      </c>
      <c r="B1186" t="s">
        <v>807</v>
      </c>
      <c r="C1186" s="9" t="s">
        <v>932</v>
      </c>
      <c r="D1186" s="9">
        <v>15</v>
      </c>
      <c r="E1186" s="9" t="s">
        <v>1804</v>
      </c>
      <c r="F1186" t="s">
        <v>814</v>
      </c>
      <c r="G1186" t="s">
        <v>812</v>
      </c>
      <c r="H1186" t="s">
        <v>1455</v>
      </c>
    </row>
    <row r="1187" spans="1:8" x14ac:dyDescent="0.3">
      <c r="A1187" s="6">
        <v>15</v>
      </c>
      <c r="B1187" t="s">
        <v>807</v>
      </c>
      <c r="C1187" s="9" t="s">
        <v>932</v>
      </c>
      <c r="D1187" s="9">
        <v>24</v>
      </c>
      <c r="E1187" s="9" t="s">
        <v>1804</v>
      </c>
      <c r="F1187" t="s">
        <v>31</v>
      </c>
      <c r="G1187" t="s">
        <v>32</v>
      </c>
      <c r="H1187" t="s">
        <v>1483</v>
      </c>
    </row>
    <row r="1188" spans="1:8" x14ac:dyDescent="0.3">
      <c r="A1188" s="6">
        <v>15</v>
      </c>
      <c r="B1188" t="s">
        <v>807</v>
      </c>
      <c r="C1188" s="9" t="s">
        <v>932</v>
      </c>
      <c r="D1188" s="9">
        <v>21</v>
      </c>
      <c r="E1188" s="9" t="s">
        <v>1804</v>
      </c>
      <c r="F1188" t="s">
        <v>34</v>
      </c>
      <c r="G1188" t="s">
        <v>32</v>
      </c>
      <c r="H1188" t="s">
        <v>1485</v>
      </c>
    </row>
    <row r="1189" spans="1:8" x14ac:dyDescent="0.3">
      <c r="A1189" s="6">
        <v>15</v>
      </c>
      <c r="B1189" t="s">
        <v>807</v>
      </c>
      <c r="C1189" s="9" t="s">
        <v>932</v>
      </c>
      <c r="D1189" s="9">
        <v>36</v>
      </c>
      <c r="E1189" s="9" t="s">
        <v>1804</v>
      </c>
      <c r="F1189" t="s">
        <v>541</v>
      </c>
      <c r="G1189" t="s">
        <v>32</v>
      </c>
      <c r="H1189" t="s">
        <v>1486</v>
      </c>
    </row>
    <row r="1190" spans="1:8" x14ac:dyDescent="0.3">
      <c r="A1190" s="6">
        <v>15</v>
      </c>
      <c r="B1190" t="s">
        <v>807</v>
      </c>
      <c r="C1190" s="9" t="s">
        <v>932</v>
      </c>
      <c r="D1190" s="9">
        <v>24</v>
      </c>
      <c r="E1190" s="9" t="s">
        <v>1804</v>
      </c>
      <c r="F1190" t="s">
        <v>542</v>
      </c>
      <c r="G1190" t="s">
        <v>32</v>
      </c>
      <c r="H1190" t="s">
        <v>1487</v>
      </c>
    </row>
    <row r="1191" spans="1:8" x14ac:dyDescent="0.3">
      <c r="A1191" s="6">
        <v>15</v>
      </c>
      <c r="B1191" t="s">
        <v>807</v>
      </c>
      <c r="C1191" s="9" t="s">
        <v>932</v>
      </c>
      <c r="D1191" s="9">
        <v>32</v>
      </c>
      <c r="E1191" s="9" t="s">
        <v>1804</v>
      </c>
      <c r="F1191" t="s">
        <v>221</v>
      </c>
      <c r="G1191" t="s">
        <v>32</v>
      </c>
      <c r="H1191" t="s">
        <v>1490</v>
      </c>
    </row>
    <row r="1192" spans="1:8" x14ac:dyDescent="0.3">
      <c r="A1192" s="6">
        <v>15</v>
      </c>
      <c r="B1192" t="s">
        <v>807</v>
      </c>
      <c r="C1192" s="9" t="s">
        <v>932</v>
      </c>
      <c r="D1192" s="9">
        <v>21</v>
      </c>
      <c r="E1192" s="9" t="s">
        <v>1804</v>
      </c>
      <c r="F1192" t="s">
        <v>36</v>
      </c>
      <c r="G1192" t="s">
        <v>32</v>
      </c>
      <c r="H1192" t="s">
        <v>1492</v>
      </c>
    </row>
    <row r="1193" spans="1:8" x14ac:dyDescent="0.3">
      <c r="A1193" s="6">
        <v>15</v>
      </c>
      <c r="B1193" t="s">
        <v>807</v>
      </c>
      <c r="C1193" s="9" t="s">
        <v>932</v>
      </c>
      <c r="D1193" s="9">
        <v>19</v>
      </c>
      <c r="E1193" s="9" t="s">
        <v>1804</v>
      </c>
      <c r="F1193" t="s">
        <v>815</v>
      </c>
      <c r="G1193" t="s">
        <v>816</v>
      </c>
      <c r="H1193" t="s">
        <v>1521</v>
      </c>
    </row>
    <row r="1194" spans="1:8" x14ac:dyDescent="0.3">
      <c r="A1194" s="6">
        <v>15</v>
      </c>
      <c r="B1194" t="s">
        <v>807</v>
      </c>
      <c r="C1194" s="9" t="s">
        <v>932</v>
      </c>
      <c r="D1194" s="9">
        <v>12</v>
      </c>
      <c r="E1194" s="9" t="s">
        <v>1804</v>
      </c>
      <c r="F1194" t="s">
        <v>153</v>
      </c>
      <c r="G1194" t="s">
        <v>108</v>
      </c>
      <c r="H1194" t="s">
        <v>1150</v>
      </c>
    </row>
    <row r="1195" spans="1:8" x14ac:dyDescent="0.3">
      <c r="A1195" s="6">
        <v>15</v>
      </c>
      <c r="B1195" t="s">
        <v>807</v>
      </c>
      <c r="C1195" s="9" t="s">
        <v>932</v>
      </c>
      <c r="D1195" s="9">
        <v>18</v>
      </c>
      <c r="E1195" s="9" t="s">
        <v>1804</v>
      </c>
      <c r="F1195" t="s">
        <v>154</v>
      </c>
      <c r="G1195" t="s">
        <v>108</v>
      </c>
      <c r="H1195" t="s">
        <v>1151</v>
      </c>
    </row>
    <row r="1196" spans="1:8" x14ac:dyDescent="0.3">
      <c r="A1196" s="6">
        <v>15</v>
      </c>
      <c r="B1196" t="s">
        <v>807</v>
      </c>
      <c r="C1196" s="9" t="s">
        <v>932</v>
      </c>
      <c r="D1196" s="9">
        <v>18</v>
      </c>
      <c r="E1196" s="9" t="s">
        <v>1804</v>
      </c>
      <c r="F1196" t="s">
        <v>227</v>
      </c>
      <c r="G1196" t="s">
        <v>41</v>
      </c>
      <c r="H1196" t="s">
        <v>1167</v>
      </c>
    </row>
    <row r="1197" spans="1:8" x14ac:dyDescent="0.3">
      <c r="A1197" s="6">
        <v>15</v>
      </c>
      <c r="B1197" t="s">
        <v>807</v>
      </c>
      <c r="C1197" s="9" t="s">
        <v>932</v>
      </c>
      <c r="D1197" s="9">
        <v>27</v>
      </c>
      <c r="E1197" s="9" t="s">
        <v>1804</v>
      </c>
      <c r="F1197" t="s">
        <v>40</v>
      </c>
      <c r="G1197" t="s">
        <v>41</v>
      </c>
      <c r="H1197" t="s">
        <v>1169</v>
      </c>
    </row>
    <row r="1198" spans="1:8" x14ac:dyDescent="0.3">
      <c r="A1198" s="6">
        <v>15</v>
      </c>
      <c r="B1198" t="s">
        <v>807</v>
      </c>
      <c r="C1198" s="9" t="s">
        <v>932</v>
      </c>
      <c r="D1198" s="9">
        <v>24</v>
      </c>
      <c r="E1198" s="9" t="s">
        <v>1804</v>
      </c>
      <c r="F1198" t="s">
        <v>232</v>
      </c>
      <c r="G1198" t="s">
        <v>144</v>
      </c>
      <c r="H1198" t="s">
        <v>1171</v>
      </c>
    </row>
    <row r="1199" spans="1:8" x14ac:dyDescent="0.3">
      <c r="A1199" s="6">
        <v>15</v>
      </c>
      <c r="B1199" t="s">
        <v>807</v>
      </c>
      <c r="C1199" s="9" t="s">
        <v>932</v>
      </c>
      <c r="D1199" s="9">
        <v>12</v>
      </c>
      <c r="E1199" s="9" t="s">
        <v>1804</v>
      </c>
      <c r="F1199" t="s">
        <v>233</v>
      </c>
      <c r="G1199" t="s">
        <v>112</v>
      </c>
      <c r="H1199" t="s">
        <v>1146</v>
      </c>
    </row>
    <row r="1200" spans="1:8" x14ac:dyDescent="0.3">
      <c r="A1200" s="6">
        <v>15</v>
      </c>
      <c r="B1200" t="s">
        <v>807</v>
      </c>
      <c r="C1200" s="9" t="s">
        <v>932</v>
      </c>
      <c r="D1200" s="9">
        <v>20</v>
      </c>
      <c r="E1200" s="9" t="s">
        <v>1804</v>
      </c>
      <c r="F1200" t="s">
        <v>818</v>
      </c>
      <c r="G1200" t="s">
        <v>819</v>
      </c>
      <c r="H1200" t="s">
        <v>1530</v>
      </c>
    </row>
    <row r="1201" spans="1:8" x14ac:dyDescent="0.3">
      <c r="A1201" s="6">
        <v>15</v>
      </c>
      <c r="B1201" t="s">
        <v>807</v>
      </c>
      <c r="C1201" s="9" t="s">
        <v>932</v>
      </c>
      <c r="D1201" s="9">
        <v>12</v>
      </c>
      <c r="E1201" s="9" t="s">
        <v>1804</v>
      </c>
      <c r="F1201" t="s">
        <v>426</v>
      </c>
      <c r="G1201" t="s">
        <v>44</v>
      </c>
      <c r="H1201" t="s">
        <v>1051</v>
      </c>
    </row>
    <row r="1202" spans="1:8" x14ac:dyDescent="0.3">
      <c r="A1202" s="6">
        <v>15</v>
      </c>
      <c r="B1202" t="s">
        <v>807</v>
      </c>
      <c r="C1202" s="9" t="s">
        <v>932</v>
      </c>
      <c r="D1202" s="9">
        <v>15</v>
      </c>
      <c r="E1202" s="9" t="s">
        <v>1804</v>
      </c>
      <c r="F1202" t="s">
        <v>515</v>
      </c>
      <c r="G1202" t="s">
        <v>238</v>
      </c>
      <c r="H1202" t="s">
        <v>1064</v>
      </c>
    </row>
    <row r="1203" spans="1:8" x14ac:dyDescent="0.3">
      <c r="A1203" s="6">
        <v>15</v>
      </c>
      <c r="B1203" t="s">
        <v>807</v>
      </c>
      <c r="C1203" s="9" t="s">
        <v>932</v>
      </c>
      <c r="D1203" s="9">
        <v>12</v>
      </c>
      <c r="E1203" s="9" t="s">
        <v>1804</v>
      </c>
      <c r="F1203" t="s">
        <v>49</v>
      </c>
      <c r="G1203" t="s">
        <v>47</v>
      </c>
      <c r="H1203" t="s">
        <v>1410</v>
      </c>
    </row>
    <row r="1204" spans="1:8" x14ac:dyDescent="0.3">
      <c r="A1204" s="6">
        <v>15</v>
      </c>
      <c r="B1204" t="s">
        <v>807</v>
      </c>
      <c r="C1204" s="9" t="s">
        <v>932</v>
      </c>
      <c r="D1204" s="9">
        <v>18</v>
      </c>
      <c r="E1204" s="9" t="s">
        <v>1804</v>
      </c>
      <c r="F1204" t="s">
        <v>155</v>
      </c>
      <c r="G1204" t="s">
        <v>118</v>
      </c>
      <c r="H1204" t="s">
        <v>1415</v>
      </c>
    </row>
    <row r="1205" spans="1:8" x14ac:dyDescent="0.3">
      <c r="A1205" s="6">
        <v>15</v>
      </c>
      <c r="B1205" t="s">
        <v>807</v>
      </c>
      <c r="C1205" s="9" t="s">
        <v>932</v>
      </c>
      <c r="D1205" s="9">
        <v>18</v>
      </c>
      <c r="E1205" s="9" t="s">
        <v>1804</v>
      </c>
      <c r="F1205" t="s">
        <v>246</v>
      </c>
      <c r="G1205" t="s">
        <v>51</v>
      </c>
      <c r="H1205" t="s">
        <v>1596</v>
      </c>
    </row>
    <row r="1206" spans="1:8" x14ac:dyDescent="0.3">
      <c r="A1206" s="6">
        <v>15</v>
      </c>
      <c r="B1206" t="s">
        <v>807</v>
      </c>
      <c r="C1206" s="9" t="s">
        <v>932</v>
      </c>
      <c r="D1206" s="9">
        <v>30</v>
      </c>
      <c r="E1206" s="9" t="s">
        <v>1804</v>
      </c>
      <c r="F1206" t="s">
        <v>247</v>
      </c>
      <c r="G1206" t="s">
        <v>51</v>
      </c>
      <c r="H1206" t="s">
        <v>1599</v>
      </c>
    </row>
    <row r="1207" spans="1:8" x14ac:dyDescent="0.3">
      <c r="A1207" s="6">
        <v>15</v>
      </c>
      <c r="B1207" t="s">
        <v>807</v>
      </c>
      <c r="C1207" s="9" t="s">
        <v>932</v>
      </c>
      <c r="D1207" s="9">
        <v>18</v>
      </c>
      <c r="E1207" s="9" t="s">
        <v>1804</v>
      </c>
      <c r="F1207" t="s">
        <v>733</v>
      </c>
      <c r="G1207" t="s">
        <v>630</v>
      </c>
      <c r="H1207" t="s">
        <v>1629</v>
      </c>
    </row>
    <row r="1208" spans="1:8" x14ac:dyDescent="0.3">
      <c r="A1208" s="6">
        <v>15</v>
      </c>
      <c r="B1208" t="s">
        <v>807</v>
      </c>
      <c r="C1208" s="9" t="s">
        <v>932</v>
      </c>
      <c r="D1208" s="9">
        <v>12</v>
      </c>
      <c r="E1208" s="9" t="s">
        <v>1804</v>
      </c>
      <c r="F1208" t="s">
        <v>781</v>
      </c>
      <c r="G1208" t="s">
        <v>253</v>
      </c>
      <c r="H1208" t="s">
        <v>1634</v>
      </c>
    </row>
    <row r="1209" spans="1:8" x14ac:dyDescent="0.3">
      <c r="A1209" s="6">
        <v>15</v>
      </c>
      <c r="B1209" t="s">
        <v>807</v>
      </c>
      <c r="C1209" s="9" t="s">
        <v>932</v>
      </c>
      <c r="D1209" s="9">
        <v>18</v>
      </c>
      <c r="E1209" s="9" t="s">
        <v>1804</v>
      </c>
      <c r="F1209" t="s">
        <v>564</v>
      </c>
      <c r="G1209" t="s">
        <v>359</v>
      </c>
      <c r="H1209" t="s">
        <v>983</v>
      </c>
    </row>
    <row r="1210" spans="1:8" x14ac:dyDescent="0.3">
      <c r="A1210" s="6">
        <v>15</v>
      </c>
      <c r="B1210" t="s">
        <v>807</v>
      </c>
      <c r="C1210" s="9" t="s">
        <v>932</v>
      </c>
      <c r="D1210" s="9">
        <v>22</v>
      </c>
      <c r="E1210" s="9" t="s">
        <v>1804</v>
      </c>
      <c r="F1210" t="s">
        <v>259</v>
      </c>
      <c r="G1210" t="s">
        <v>260</v>
      </c>
      <c r="H1210" t="s">
        <v>986</v>
      </c>
    </row>
    <row r="1211" spans="1:8" x14ac:dyDescent="0.3">
      <c r="A1211" s="6">
        <v>15</v>
      </c>
      <c r="B1211" t="s">
        <v>807</v>
      </c>
      <c r="C1211" s="9" t="s">
        <v>932</v>
      </c>
      <c r="D1211" s="9">
        <v>14</v>
      </c>
      <c r="E1211" s="9" t="s">
        <v>1804</v>
      </c>
      <c r="F1211" t="s">
        <v>262</v>
      </c>
      <c r="G1211" t="s">
        <v>263</v>
      </c>
      <c r="H1211" t="s">
        <v>989</v>
      </c>
    </row>
    <row r="1212" spans="1:8" x14ac:dyDescent="0.3">
      <c r="A1212" s="6">
        <v>15</v>
      </c>
      <c r="B1212" t="s">
        <v>807</v>
      </c>
      <c r="C1212" s="9" t="s">
        <v>932</v>
      </c>
      <c r="D1212" s="9">
        <v>19</v>
      </c>
      <c r="E1212" s="9" t="s">
        <v>1804</v>
      </c>
      <c r="F1212" t="s">
        <v>265</v>
      </c>
      <c r="G1212" t="s">
        <v>266</v>
      </c>
      <c r="H1212" t="s">
        <v>1337</v>
      </c>
    </row>
    <row r="1213" spans="1:8" x14ac:dyDescent="0.3">
      <c r="A1213" s="6">
        <v>15</v>
      </c>
      <c r="B1213" t="s">
        <v>807</v>
      </c>
      <c r="C1213" s="9" t="s">
        <v>1806</v>
      </c>
      <c r="D1213" s="9">
        <v>9</v>
      </c>
      <c r="E1213" s="9" t="s">
        <v>1804</v>
      </c>
      <c r="F1213" t="s">
        <v>821</v>
      </c>
      <c r="G1213" t="s">
        <v>266</v>
      </c>
      <c r="H1213" t="s">
        <v>1844</v>
      </c>
    </row>
    <row r="1214" spans="1:8" x14ac:dyDescent="0.3">
      <c r="A1214" s="6">
        <v>15</v>
      </c>
      <c r="B1214" t="s">
        <v>807</v>
      </c>
      <c r="C1214" s="9" t="s">
        <v>932</v>
      </c>
      <c r="D1214" s="9">
        <v>15</v>
      </c>
      <c r="E1214" s="9" t="s">
        <v>1804</v>
      </c>
      <c r="F1214" t="s">
        <v>443</v>
      </c>
      <c r="G1214" t="s">
        <v>444</v>
      </c>
      <c r="H1214" t="s">
        <v>1649</v>
      </c>
    </row>
    <row r="1215" spans="1:8" x14ac:dyDescent="0.3">
      <c r="A1215" s="6">
        <v>15</v>
      </c>
      <c r="B1215" t="s">
        <v>807</v>
      </c>
      <c r="C1215" s="9" t="s">
        <v>1807</v>
      </c>
      <c r="D1215" s="9">
        <v>800</v>
      </c>
      <c r="E1215" s="9" t="s">
        <v>1808</v>
      </c>
      <c r="F1215" t="s">
        <v>822</v>
      </c>
      <c r="G1215" t="s">
        <v>450</v>
      </c>
      <c r="H1215" t="s">
        <v>1726</v>
      </c>
    </row>
    <row r="1216" spans="1:8" x14ac:dyDescent="0.3">
      <c r="A1216" s="6">
        <v>15</v>
      </c>
      <c r="B1216" t="s">
        <v>807</v>
      </c>
      <c r="C1216" s="9" t="s">
        <v>1806</v>
      </c>
      <c r="D1216" s="9">
        <v>9</v>
      </c>
      <c r="E1216" s="9" t="s">
        <v>1804</v>
      </c>
      <c r="F1216" t="s">
        <v>823</v>
      </c>
      <c r="G1216" t="s">
        <v>298</v>
      </c>
      <c r="H1216" t="s">
        <v>1794</v>
      </c>
    </row>
    <row r="1217" spans="1:8" x14ac:dyDescent="0.3">
      <c r="A1217" s="6">
        <v>15</v>
      </c>
      <c r="B1217" t="s">
        <v>807</v>
      </c>
      <c r="C1217" s="9" t="s">
        <v>932</v>
      </c>
      <c r="D1217" s="9">
        <v>16</v>
      </c>
      <c r="E1217" s="9" t="s">
        <v>1804</v>
      </c>
      <c r="F1217" t="s">
        <v>824</v>
      </c>
      <c r="G1217" t="s">
        <v>301</v>
      </c>
      <c r="H1217" t="s">
        <v>1772</v>
      </c>
    </row>
    <row r="1218" spans="1:8" x14ac:dyDescent="0.3">
      <c r="A1218" s="6">
        <v>15</v>
      </c>
      <c r="B1218" t="s">
        <v>807</v>
      </c>
      <c r="C1218" s="9" t="s">
        <v>932</v>
      </c>
      <c r="D1218" s="9">
        <v>16</v>
      </c>
      <c r="E1218" s="9" t="s">
        <v>1804</v>
      </c>
      <c r="F1218" t="s">
        <v>825</v>
      </c>
      <c r="G1218" t="s">
        <v>301</v>
      </c>
      <c r="H1218" t="s">
        <v>1773</v>
      </c>
    </row>
    <row r="1219" spans="1:8" x14ac:dyDescent="0.3">
      <c r="A1219" s="6">
        <v>15</v>
      </c>
      <c r="B1219" t="s">
        <v>807</v>
      </c>
      <c r="C1219" s="9" t="s">
        <v>932</v>
      </c>
      <c r="D1219" s="9">
        <v>16</v>
      </c>
      <c r="E1219" s="9" t="s">
        <v>1804</v>
      </c>
      <c r="F1219" t="s">
        <v>742</v>
      </c>
      <c r="G1219" t="s">
        <v>301</v>
      </c>
      <c r="H1219" t="s">
        <v>1774</v>
      </c>
    </row>
    <row r="1220" spans="1:8" x14ac:dyDescent="0.3">
      <c r="A1220" s="6">
        <v>15</v>
      </c>
      <c r="B1220" t="s">
        <v>807</v>
      </c>
      <c r="C1220" s="9" t="s">
        <v>932</v>
      </c>
      <c r="D1220" s="9">
        <v>16</v>
      </c>
      <c r="E1220" s="9" t="s">
        <v>1804</v>
      </c>
      <c r="F1220" t="s">
        <v>826</v>
      </c>
      <c r="G1220" t="s">
        <v>301</v>
      </c>
      <c r="H1220" t="s">
        <v>1775</v>
      </c>
    </row>
    <row r="1221" spans="1:8" x14ac:dyDescent="0.3">
      <c r="A1221" s="6">
        <v>15</v>
      </c>
      <c r="B1221" t="s">
        <v>807</v>
      </c>
      <c r="C1221" s="9" t="s">
        <v>932</v>
      </c>
      <c r="D1221" s="9">
        <v>24</v>
      </c>
      <c r="E1221" s="9" t="s">
        <v>1804</v>
      </c>
      <c r="F1221" t="s">
        <v>567</v>
      </c>
      <c r="G1221" t="s">
        <v>63</v>
      </c>
      <c r="H1221" t="s">
        <v>1099</v>
      </c>
    </row>
    <row r="1222" spans="1:8" x14ac:dyDescent="0.3">
      <c r="A1222" s="6">
        <v>15</v>
      </c>
      <c r="B1222" t="s">
        <v>807</v>
      </c>
      <c r="C1222" s="9" t="s">
        <v>932</v>
      </c>
      <c r="D1222" s="9">
        <v>15</v>
      </c>
      <c r="E1222" s="9" t="s">
        <v>1804</v>
      </c>
      <c r="F1222" t="s">
        <v>62</v>
      </c>
      <c r="G1222" t="s">
        <v>63</v>
      </c>
      <c r="H1222" t="s">
        <v>1103</v>
      </c>
    </row>
    <row r="1223" spans="1:8" x14ac:dyDescent="0.3">
      <c r="A1223" s="6">
        <v>15</v>
      </c>
      <c r="B1223" t="s">
        <v>807</v>
      </c>
      <c r="C1223" s="9" t="s">
        <v>932</v>
      </c>
      <c r="D1223" s="9">
        <v>15</v>
      </c>
      <c r="E1223" s="9" t="s">
        <v>1804</v>
      </c>
      <c r="F1223" t="s">
        <v>827</v>
      </c>
      <c r="G1223" t="s">
        <v>309</v>
      </c>
      <c r="H1223" t="s">
        <v>1789</v>
      </c>
    </row>
    <row r="1224" spans="1:8" x14ac:dyDescent="0.3">
      <c r="A1224" s="6">
        <v>15</v>
      </c>
      <c r="B1224" t="s">
        <v>807</v>
      </c>
      <c r="C1224" s="9" t="s">
        <v>932</v>
      </c>
      <c r="D1224" s="9">
        <v>18</v>
      </c>
      <c r="E1224" s="9" t="s">
        <v>1804</v>
      </c>
      <c r="F1224" t="s">
        <v>828</v>
      </c>
      <c r="G1224" t="s">
        <v>309</v>
      </c>
      <c r="H1224" t="s">
        <v>1790</v>
      </c>
    </row>
    <row r="1225" spans="1:8" x14ac:dyDescent="0.3">
      <c r="A1225" s="6">
        <v>15</v>
      </c>
      <c r="B1225" t="s">
        <v>807</v>
      </c>
      <c r="C1225" s="9" t="s">
        <v>932</v>
      </c>
      <c r="D1225" s="9">
        <v>18</v>
      </c>
      <c r="E1225" s="9" t="s">
        <v>1804</v>
      </c>
      <c r="F1225" t="s">
        <v>65</v>
      </c>
      <c r="G1225" t="s">
        <v>66</v>
      </c>
      <c r="H1225" t="s">
        <v>1791</v>
      </c>
    </row>
    <row r="1226" spans="1:8" x14ac:dyDescent="0.3">
      <c r="A1226" s="6">
        <v>15</v>
      </c>
      <c r="B1226" t="s">
        <v>807</v>
      </c>
      <c r="C1226" s="9" t="s">
        <v>932</v>
      </c>
      <c r="D1226" s="9">
        <v>30</v>
      </c>
      <c r="E1226" s="9" t="s">
        <v>1804</v>
      </c>
      <c r="F1226" t="s">
        <v>829</v>
      </c>
      <c r="G1226" t="s">
        <v>832</v>
      </c>
      <c r="H1226" t="s">
        <v>1845</v>
      </c>
    </row>
    <row r="1227" spans="1:8" x14ac:dyDescent="0.3">
      <c r="A1227" s="6">
        <v>15</v>
      </c>
      <c r="B1227" t="s">
        <v>807</v>
      </c>
      <c r="C1227" s="9" t="s">
        <v>932</v>
      </c>
      <c r="D1227" s="9">
        <v>30</v>
      </c>
      <c r="E1227" s="9" t="s">
        <v>1804</v>
      </c>
      <c r="F1227" t="s">
        <v>830</v>
      </c>
      <c r="G1227" t="s">
        <v>832</v>
      </c>
      <c r="H1227" t="s">
        <v>1846</v>
      </c>
    </row>
    <row r="1228" spans="1:8" x14ac:dyDescent="0.3">
      <c r="A1228" s="6">
        <v>15</v>
      </c>
      <c r="B1228" t="s">
        <v>807</v>
      </c>
      <c r="C1228" s="9" t="s">
        <v>932</v>
      </c>
      <c r="D1228" s="9">
        <v>18</v>
      </c>
      <c r="E1228" s="9" t="s">
        <v>1804</v>
      </c>
      <c r="F1228" t="s">
        <v>831</v>
      </c>
      <c r="G1228" t="s">
        <v>832</v>
      </c>
      <c r="H1228" t="s">
        <v>1187</v>
      </c>
    </row>
    <row r="1229" spans="1:8" x14ac:dyDescent="0.3">
      <c r="A1229" s="6">
        <v>15</v>
      </c>
      <c r="B1229" t="s">
        <v>807</v>
      </c>
      <c r="C1229" s="9" t="s">
        <v>932</v>
      </c>
      <c r="D1229" s="9">
        <v>28</v>
      </c>
      <c r="E1229" s="9" t="s">
        <v>1804</v>
      </c>
      <c r="F1229" t="s">
        <v>395</v>
      </c>
      <c r="G1229" t="s">
        <v>396</v>
      </c>
      <c r="H1229" t="s">
        <v>1564</v>
      </c>
    </row>
    <row r="1230" spans="1:8" x14ac:dyDescent="0.3">
      <c r="A1230" s="6">
        <v>15</v>
      </c>
      <c r="B1230" t="s">
        <v>807</v>
      </c>
      <c r="C1230" s="9" t="s">
        <v>1807</v>
      </c>
      <c r="D1230" s="9">
        <v>770</v>
      </c>
      <c r="E1230" s="9" t="s">
        <v>1808</v>
      </c>
      <c r="F1230" t="s">
        <v>71</v>
      </c>
      <c r="G1230" t="s">
        <v>72</v>
      </c>
      <c r="H1230" t="s">
        <v>1565</v>
      </c>
    </row>
    <row r="1231" spans="1:8" x14ac:dyDescent="0.3">
      <c r="A1231" s="6">
        <v>15</v>
      </c>
      <c r="B1231" t="s">
        <v>807</v>
      </c>
      <c r="C1231" s="9" t="s">
        <v>1807</v>
      </c>
      <c r="D1231" s="9">
        <v>68</v>
      </c>
      <c r="E1231" s="9" t="s">
        <v>1808</v>
      </c>
      <c r="F1231" t="s">
        <v>834</v>
      </c>
      <c r="G1231" t="s">
        <v>835</v>
      </c>
      <c r="H1231" t="s">
        <v>1572</v>
      </c>
    </row>
    <row r="1232" spans="1:8" x14ac:dyDescent="0.3">
      <c r="A1232" s="6">
        <v>15</v>
      </c>
      <c r="B1232" t="s">
        <v>807</v>
      </c>
      <c r="C1232" s="9" t="s">
        <v>1807</v>
      </c>
      <c r="D1232" s="9">
        <v>40</v>
      </c>
      <c r="E1232" s="9" t="s">
        <v>1808</v>
      </c>
      <c r="F1232" t="s">
        <v>837</v>
      </c>
      <c r="G1232" t="s">
        <v>835</v>
      </c>
      <c r="H1232" t="s">
        <v>1573</v>
      </c>
    </row>
    <row r="1233" spans="1:8" x14ac:dyDescent="0.3">
      <c r="A1233" s="6">
        <v>15</v>
      </c>
      <c r="B1233" t="s">
        <v>807</v>
      </c>
      <c r="C1233" s="9" t="s">
        <v>932</v>
      </c>
      <c r="D1233" s="9">
        <v>15</v>
      </c>
      <c r="E1233" s="9" t="s">
        <v>1804</v>
      </c>
      <c r="F1233" t="s">
        <v>575</v>
      </c>
      <c r="G1233" t="s">
        <v>576</v>
      </c>
      <c r="H1233" t="s">
        <v>1574</v>
      </c>
    </row>
    <row r="1234" spans="1:8" x14ac:dyDescent="0.3">
      <c r="A1234" s="6">
        <v>15</v>
      </c>
      <c r="B1234" t="s">
        <v>807</v>
      </c>
      <c r="C1234" s="9" t="s">
        <v>1807</v>
      </c>
      <c r="D1234" s="9">
        <v>538</v>
      </c>
      <c r="E1234" s="9" t="s">
        <v>1808</v>
      </c>
      <c r="F1234" t="s">
        <v>75</v>
      </c>
      <c r="G1234" t="s">
        <v>76</v>
      </c>
      <c r="H1234" t="s">
        <v>1549</v>
      </c>
    </row>
    <row r="1235" spans="1:8" x14ac:dyDescent="0.3">
      <c r="A1235" s="6">
        <v>15</v>
      </c>
      <c r="B1235" t="s">
        <v>807</v>
      </c>
      <c r="C1235" s="9" t="s">
        <v>1807</v>
      </c>
      <c r="D1235" s="9">
        <v>698</v>
      </c>
      <c r="E1235" s="9" t="s">
        <v>1808</v>
      </c>
      <c r="F1235" t="s">
        <v>485</v>
      </c>
      <c r="G1235" t="s">
        <v>76</v>
      </c>
      <c r="H1235" t="s">
        <v>1579</v>
      </c>
    </row>
    <row r="1236" spans="1:8" x14ac:dyDescent="0.3">
      <c r="A1236" s="6">
        <v>15</v>
      </c>
      <c r="B1236" t="s">
        <v>807</v>
      </c>
      <c r="C1236" s="9" t="s">
        <v>1814</v>
      </c>
      <c r="D1236" s="9">
        <v>10000</v>
      </c>
      <c r="E1236" s="9" t="s">
        <v>1808</v>
      </c>
      <c r="F1236" t="s">
        <v>162</v>
      </c>
      <c r="G1236" t="s">
        <v>273</v>
      </c>
      <c r="H1236" t="s">
        <v>1816</v>
      </c>
    </row>
    <row r="1237" spans="1:8" x14ac:dyDescent="0.3">
      <c r="A1237" s="6">
        <v>15</v>
      </c>
      <c r="B1237" t="s">
        <v>807</v>
      </c>
      <c r="C1237" s="9" t="s">
        <v>1814</v>
      </c>
      <c r="D1237" s="9">
        <v>10000</v>
      </c>
      <c r="E1237" s="9" t="s">
        <v>1808</v>
      </c>
      <c r="F1237" t="s">
        <v>642</v>
      </c>
      <c r="G1237" t="s">
        <v>1835</v>
      </c>
      <c r="H1237" t="s">
        <v>1836</v>
      </c>
    </row>
    <row r="1238" spans="1:8" x14ac:dyDescent="0.3">
      <c r="A1238" s="6">
        <v>15</v>
      </c>
      <c r="B1238" t="s">
        <v>807</v>
      </c>
      <c r="C1238" s="9" t="s">
        <v>1814</v>
      </c>
      <c r="D1238" s="9">
        <v>10000</v>
      </c>
      <c r="E1238" s="9" t="s">
        <v>1808</v>
      </c>
      <c r="F1238" t="s">
        <v>163</v>
      </c>
      <c r="G1238" t="s">
        <v>635</v>
      </c>
      <c r="H1238" t="s">
        <v>1817</v>
      </c>
    </row>
    <row r="1239" spans="1:8" x14ac:dyDescent="0.3">
      <c r="A1239" s="6">
        <v>15</v>
      </c>
      <c r="B1239" t="s">
        <v>807</v>
      </c>
      <c r="C1239" s="9" t="s">
        <v>1814</v>
      </c>
      <c r="D1239" s="9">
        <v>10000</v>
      </c>
      <c r="E1239" s="9" t="s">
        <v>1808</v>
      </c>
      <c r="F1239" t="s">
        <v>164</v>
      </c>
      <c r="G1239" t="s">
        <v>276</v>
      </c>
      <c r="H1239" t="s">
        <v>1832</v>
      </c>
    </row>
    <row r="1240" spans="1:8" x14ac:dyDescent="0.3">
      <c r="A1240" s="6">
        <v>15</v>
      </c>
      <c r="B1240" t="s">
        <v>807</v>
      </c>
      <c r="C1240" s="9" t="s">
        <v>1809</v>
      </c>
      <c r="D1240" s="9">
        <v>60</v>
      </c>
      <c r="E1240" s="9" t="s">
        <v>1804</v>
      </c>
      <c r="F1240" t="s">
        <v>78</v>
      </c>
      <c r="G1240" t="s">
        <v>1810</v>
      </c>
      <c r="H1240" t="s">
        <v>1811</v>
      </c>
    </row>
    <row r="1241" spans="1:8" x14ac:dyDescent="0.3">
      <c r="A1241" s="6">
        <v>15</v>
      </c>
      <c r="B1241" t="s">
        <v>807</v>
      </c>
      <c r="C1241" s="9" t="s">
        <v>963</v>
      </c>
      <c r="D1241" s="9">
        <v>60</v>
      </c>
      <c r="E1241" s="9" t="s">
        <v>1804</v>
      </c>
      <c r="F1241" t="s">
        <v>579</v>
      </c>
      <c r="G1241" t="s">
        <v>531</v>
      </c>
      <c r="H1241" t="s">
        <v>967</v>
      </c>
    </row>
    <row r="1242" spans="1:8" x14ac:dyDescent="0.3">
      <c r="A1242" s="6">
        <v>15</v>
      </c>
      <c r="B1242" t="s">
        <v>807</v>
      </c>
      <c r="C1242" s="9" t="s">
        <v>963</v>
      </c>
      <c r="D1242" s="9">
        <v>63</v>
      </c>
      <c r="E1242" s="9" t="s">
        <v>1804</v>
      </c>
      <c r="F1242" t="s">
        <v>838</v>
      </c>
      <c r="G1242" t="s">
        <v>1847</v>
      </c>
      <c r="H1242" t="s">
        <v>1848</v>
      </c>
    </row>
    <row r="1243" spans="1:8" x14ac:dyDescent="0.3">
      <c r="A1243" s="6">
        <v>15</v>
      </c>
      <c r="B1243" t="s">
        <v>807</v>
      </c>
      <c r="C1243" s="9" t="s">
        <v>963</v>
      </c>
      <c r="D1243" s="9">
        <v>60</v>
      </c>
      <c r="E1243" s="9" t="s">
        <v>1804</v>
      </c>
      <c r="F1243" t="s">
        <v>766</v>
      </c>
      <c r="G1243" t="s">
        <v>758</v>
      </c>
      <c r="H1243" t="s">
        <v>1241</v>
      </c>
    </row>
    <row r="1244" spans="1:8" x14ac:dyDescent="0.3">
      <c r="A1244" s="6">
        <v>15</v>
      </c>
      <c r="B1244" t="s">
        <v>807</v>
      </c>
      <c r="C1244" s="9" t="s">
        <v>963</v>
      </c>
      <c r="D1244" s="9">
        <v>60</v>
      </c>
      <c r="E1244" s="9" t="s">
        <v>1804</v>
      </c>
      <c r="F1244" t="s">
        <v>79</v>
      </c>
      <c r="G1244" t="s">
        <v>80</v>
      </c>
      <c r="H1244" t="s">
        <v>1416</v>
      </c>
    </row>
    <row r="1245" spans="1:8" x14ac:dyDescent="0.3">
      <c r="A1245" s="6">
        <v>15</v>
      </c>
      <c r="B1245" t="s">
        <v>807</v>
      </c>
      <c r="C1245" s="9" t="s">
        <v>963</v>
      </c>
      <c r="D1245" s="9">
        <v>60</v>
      </c>
      <c r="E1245" s="9" t="s">
        <v>1804</v>
      </c>
      <c r="F1245" t="s">
        <v>643</v>
      </c>
      <c r="G1245" t="s">
        <v>499</v>
      </c>
      <c r="H1245" t="s">
        <v>1703</v>
      </c>
    </row>
    <row r="1246" spans="1:8" x14ac:dyDescent="0.3">
      <c r="A1246" s="6">
        <v>15</v>
      </c>
      <c r="B1246" t="s">
        <v>807</v>
      </c>
      <c r="C1246" s="9" t="s">
        <v>963</v>
      </c>
      <c r="D1246" s="9">
        <v>72</v>
      </c>
      <c r="E1246" s="9" t="s">
        <v>1804</v>
      </c>
      <c r="F1246" t="s">
        <v>323</v>
      </c>
      <c r="G1246" t="s">
        <v>190</v>
      </c>
      <c r="H1246" t="s">
        <v>1338</v>
      </c>
    </row>
    <row r="1247" spans="1:8" x14ac:dyDescent="0.3">
      <c r="A1247" s="6">
        <v>15</v>
      </c>
      <c r="B1247" t="s">
        <v>807</v>
      </c>
      <c r="C1247" s="9" t="s">
        <v>963</v>
      </c>
      <c r="D1247" s="9">
        <v>88</v>
      </c>
      <c r="E1247" s="9" t="s">
        <v>1804</v>
      </c>
      <c r="F1247" t="s">
        <v>84</v>
      </c>
      <c r="G1247" t="s">
        <v>85</v>
      </c>
      <c r="H1247" t="s">
        <v>1342</v>
      </c>
    </row>
    <row r="1248" spans="1:8" x14ac:dyDescent="0.3">
      <c r="A1248" s="6">
        <v>15</v>
      </c>
      <c r="B1248" t="s">
        <v>807</v>
      </c>
      <c r="C1248" s="9" t="s">
        <v>963</v>
      </c>
      <c r="D1248" s="9">
        <v>60</v>
      </c>
      <c r="E1248" s="9" t="s">
        <v>1804</v>
      </c>
      <c r="F1248" t="s">
        <v>612</v>
      </c>
      <c r="G1248" t="s">
        <v>613</v>
      </c>
      <c r="H1248" t="s">
        <v>1343</v>
      </c>
    </row>
    <row r="1249" spans="1:8" x14ac:dyDescent="0.3">
      <c r="A1249" s="6">
        <v>15</v>
      </c>
      <c r="B1249" t="s">
        <v>807</v>
      </c>
      <c r="C1249" s="9" t="s">
        <v>963</v>
      </c>
      <c r="D1249" s="9">
        <v>70</v>
      </c>
      <c r="E1249" s="9" t="s">
        <v>1804</v>
      </c>
      <c r="F1249" t="s">
        <v>325</v>
      </c>
      <c r="G1249" t="s">
        <v>196</v>
      </c>
      <c r="H1249" t="s">
        <v>1344</v>
      </c>
    </row>
    <row r="1250" spans="1:8" x14ac:dyDescent="0.3">
      <c r="A1250" s="6">
        <v>15</v>
      </c>
      <c r="B1250" t="s">
        <v>807</v>
      </c>
      <c r="C1250" s="9" t="s">
        <v>963</v>
      </c>
      <c r="D1250" s="9">
        <v>74</v>
      </c>
      <c r="E1250" s="9" t="s">
        <v>1804</v>
      </c>
      <c r="F1250" t="s">
        <v>87</v>
      </c>
      <c r="G1250" t="s">
        <v>88</v>
      </c>
      <c r="H1250" t="s">
        <v>1349</v>
      </c>
    </row>
    <row r="1251" spans="1:8" x14ac:dyDescent="0.3">
      <c r="A1251" s="6">
        <v>15</v>
      </c>
      <c r="B1251" t="s">
        <v>807</v>
      </c>
      <c r="C1251" s="9" t="s">
        <v>963</v>
      </c>
      <c r="D1251" s="9">
        <v>73</v>
      </c>
      <c r="E1251" s="9" t="s">
        <v>1804</v>
      </c>
      <c r="F1251" t="s">
        <v>679</v>
      </c>
      <c r="G1251" t="s">
        <v>680</v>
      </c>
      <c r="H1251" t="s">
        <v>972</v>
      </c>
    </row>
    <row r="1252" spans="1:8" x14ac:dyDescent="0.3">
      <c r="A1252" s="6">
        <v>15</v>
      </c>
      <c r="B1252" t="s">
        <v>807</v>
      </c>
      <c r="C1252" s="9" t="s">
        <v>963</v>
      </c>
      <c r="D1252" s="9">
        <v>73</v>
      </c>
      <c r="E1252" s="9" t="s">
        <v>1804</v>
      </c>
      <c r="F1252" t="s">
        <v>90</v>
      </c>
      <c r="G1252" t="s">
        <v>15</v>
      </c>
      <c r="H1252" t="s">
        <v>1351</v>
      </c>
    </row>
    <row r="1253" spans="1:8" x14ac:dyDescent="0.3">
      <c r="A1253" s="6">
        <v>15</v>
      </c>
      <c r="B1253" t="s">
        <v>807</v>
      </c>
      <c r="C1253" s="9" t="s">
        <v>963</v>
      </c>
      <c r="D1253" s="9">
        <v>75</v>
      </c>
      <c r="E1253" s="9" t="s">
        <v>1804</v>
      </c>
      <c r="F1253" t="s">
        <v>653</v>
      </c>
      <c r="G1253" t="s">
        <v>654</v>
      </c>
      <c r="H1253" t="s">
        <v>1352</v>
      </c>
    </row>
    <row r="1254" spans="1:8" x14ac:dyDescent="0.3">
      <c r="A1254" s="6">
        <v>15</v>
      </c>
      <c r="B1254" t="s">
        <v>807</v>
      </c>
      <c r="C1254" s="9" t="s">
        <v>963</v>
      </c>
      <c r="D1254" s="9">
        <v>77</v>
      </c>
      <c r="E1254" s="9" t="s">
        <v>1804</v>
      </c>
      <c r="F1254" t="s">
        <v>91</v>
      </c>
      <c r="G1254" t="s">
        <v>92</v>
      </c>
      <c r="H1254" t="s">
        <v>1353</v>
      </c>
    </row>
    <row r="1255" spans="1:8" x14ac:dyDescent="0.3">
      <c r="A1255" s="6">
        <v>15</v>
      </c>
      <c r="B1255" t="s">
        <v>807</v>
      </c>
      <c r="C1255" s="9" t="s">
        <v>963</v>
      </c>
      <c r="D1255" s="9">
        <v>76</v>
      </c>
      <c r="E1255" s="9" t="s">
        <v>1804</v>
      </c>
      <c r="F1255" t="s">
        <v>94</v>
      </c>
      <c r="G1255" t="s">
        <v>95</v>
      </c>
      <c r="H1255" t="s">
        <v>1355</v>
      </c>
    </row>
    <row r="1256" spans="1:8" x14ac:dyDescent="0.3">
      <c r="A1256" s="6">
        <v>15</v>
      </c>
      <c r="B1256" t="s">
        <v>807</v>
      </c>
      <c r="C1256" s="9" t="s">
        <v>963</v>
      </c>
      <c r="D1256" s="9">
        <v>77</v>
      </c>
      <c r="E1256" s="9" t="s">
        <v>1804</v>
      </c>
      <c r="F1256" t="s">
        <v>98</v>
      </c>
      <c r="G1256" t="s">
        <v>99</v>
      </c>
      <c r="H1256" t="s">
        <v>1357</v>
      </c>
    </row>
    <row r="1257" spans="1:8" x14ac:dyDescent="0.3">
      <c r="A1257" s="6">
        <v>15</v>
      </c>
      <c r="B1257" t="s">
        <v>807</v>
      </c>
      <c r="C1257" s="9" t="s">
        <v>963</v>
      </c>
      <c r="D1257" s="9">
        <v>87</v>
      </c>
      <c r="E1257" s="9" t="s">
        <v>1804</v>
      </c>
      <c r="F1257" t="s">
        <v>839</v>
      </c>
      <c r="G1257" t="s">
        <v>1849</v>
      </c>
      <c r="H1257" t="s">
        <v>1850</v>
      </c>
    </row>
    <row r="1258" spans="1:8" x14ac:dyDescent="0.3">
      <c r="A1258" s="6">
        <v>15</v>
      </c>
      <c r="B1258" t="s">
        <v>807</v>
      </c>
      <c r="C1258" s="9" t="s">
        <v>963</v>
      </c>
      <c r="D1258" s="9">
        <v>76</v>
      </c>
      <c r="E1258" s="9" t="s">
        <v>1804</v>
      </c>
      <c r="F1258" t="s">
        <v>332</v>
      </c>
      <c r="G1258" t="s">
        <v>333</v>
      </c>
      <c r="H1258" t="s">
        <v>1358</v>
      </c>
    </row>
    <row r="1259" spans="1:8" x14ac:dyDescent="0.3">
      <c r="A1259" s="6">
        <v>15</v>
      </c>
      <c r="B1259" t="s">
        <v>807</v>
      </c>
      <c r="C1259" s="9" t="s">
        <v>963</v>
      </c>
      <c r="D1259" s="9">
        <v>76</v>
      </c>
      <c r="E1259" s="9" t="s">
        <v>1804</v>
      </c>
      <c r="F1259" t="s">
        <v>335</v>
      </c>
      <c r="G1259" t="s">
        <v>336</v>
      </c>
      <c r="H1259" t="s">
        <v>1359</v>
      </c>
    </row>
    <row r="1260" spans="1:8" x14ac:dyDescent="0.3">
      <c r="A1260" s="6">
        <v>15</v>
      </c>
      <c r="B1260" t="s">
        <v>807</v>
      </c>
      <c r="C1260" s="9" t="s">
        <v>963</v>
      </c>
      <c r="D1260" s="9">
        <v>65</v>
      </c>
      <c r="E1260" s="9" t="s">
        <v>1804</v>
      </c>
      <c r="F1260" t="s">
        <v>399</v>
      </c>
      <c r="G1260" t="s">
        <v>1819</v>
      </c>
      <c r="H1260" t="s">
        <v>1420</v>
      </c>
    </row>
    <row r="1261" spans="1:8" x14ac:dyDescent="0.3">
      <c r="A1261" s="6">
        <v>15</v>
      </c>
      <c r="B1261" t="s">
        <v>807</v>
      </c>
      <c r="C1261" s="9" t="s">
        <v>963</v>
      </c>
      <c r="D1261" s="9">
        <v>72</v>
      </c>
      <c r="E1261" s="9" t="s">
        <v>1804</v>
      </c>
      <c r="F1261" t="s">
        <v>461</v>
      </c>
      <c r="G1261" t="s">
        <v>462</v>
      </c>
      <c r="H1261" t="s">
        <v>1360</v>
      </c>
    </row>
    <row r="1262" spans="1:8" x14ac:dyDescent="0.3">
      <c r="A1262" s="6">
        <v>15</v>
      </c>
      <c r="B1262" t="s">
        <v>807</v>
      </c>
      <c r="C1262" s="9" t="s">
        <v>963</v>
      </c>
      <c r="D1262" s="9">
        <v>72</v>
      </c>
      <c r="E1262" s="9" t="s">
        <v>1804</v>
      </c>
      <c r="F1262" t="s">
        <v>101</v>
      </c>
      <c r="G1262" t="s">
        <v>102</v>
      </c>
      <c r="H1262" t="s">
        <v>1365</v>
      </c>
    </row>
    <row r="1263" spans="1:8" x14ac:dyDescent="0.3">
      <c r="A1263" s="6">
        <v>15</v>
      </c>
      <c r="B1263" t="s">
        <v>807</v>
      </c>
      <c r="C1263" s="9" t="s">
        <v>963</v>
      </c>
      <c r="D1263" s="9">
        <v>60</v>
      </c>
      <c r="E1263" s="9" t="s">
        <v>1804</v>
      </c>
      <c r="F1263" t="s">
        <v>400</v>
      </c>
      <c r="G1263" t="s">
        <v>401</v>
      </c>
      <c r="H1263" t="s">
        <v>1185</v>
      </c>
    </row>
    <row r="1264" spans="1:8" x14ac:dyDescent="0.3">
      <c r="A1264" s="6">
        <v>15</v>
      </c>
      <c r="B1264" t="s">
        <v>807</v>
      </c>
      <c r="C1264" s="9" t="s">
        <v>963</v>
      </c>
      <c r="D1264" s="9">
        <v>75</v>
      </c>
      <c r="E1264" s="9" t="s">
        <v>1804</v>
      </c>
      <c r="F1264" t="s">
        <v>345</v>
      </c>
      <c r="G1264" t="s">
        <v>215</v>
      </c>
      <c r="H1264" t="s">
        <v>1115</v>
      </c>
    </row>
    <row r="1265" spans="1:8" x14ac:dyDescent="0.3">
      <c r="A1265" s="6">
        <v>15</v>
      </c>
      <c r="B1265" t="s">
        <v>807</v>
      </c>
      <c r="C1265" s="9" t="s">
        <v>963</v>
      </c>
      <c r="D1265" s="9">
        <v>63</v>
      </c>
      <c r="E1265" s="9" t="s">
        <v>1804</v>
      </c>
      <c r="F1265" t="s">
        <v>840</v>
      </c>
      <c r="G1265" t="s">
        <v>168</v>
      </c>
      <c r="H1265" t="s">
        <v>1534</v>
      </c>
    </row>
    <row r="1266" spans="1:8" x14ac:dyDescent="0.3">
      <c r="A1266" s="6">
        <v>15</v>
      </c>
      <c r="B1266" t="s">
        <v>807</v>
      </c>
      <c r="C1266" s="9" t="s">
        <v>963</v>
      </c>
      <c r="D1266" s="9">
        <v>60</v>
      </c>
      <c r="E1266" s="9" t="s">
        <v>1804</v>
      </c>
      <c r="F1266" t="s">
        <v>167</v>
      </c>
      <c r="G1266" t="s">
        <v>168</v>
      </c>
      <c r="H1266" t="s">
        <v>1533</v>
      </c>
    </row>
    <row r="1267" spans="1:8" x14ac:dyDescent="0.3">
      <c r="A1267" s="6">
        <v>15</v>
      </c>
      <c r="B1267" t="s">
        <v>807</v>
      </c>
      <c r="C1267" s="9" t="s">
        <v>963</v>
      </c>
      <c r="D1267" s="9">
        <v>63</v>
      </c>
      <c r="E1267" s="9" t="s">
        <v>1804</v>
      </c>
      <c r="F1267" t="s">
        <v>105</v>
      </c>
      <c r="G1267" t="s">
        <v>171</v>
      </c>
      <c r="H1267" t="s">
        <v>1535</v>
      </c>
    </row>
    <row r="1268" spans="1:8" x14ac:dyDescent="0.3">
      <c r="A1268" s="6">
        <v>15</v>
      </c>
      <c r="B1268" t="s">
        <v>807</v>
      </c>
      <c r="C1268" s="9" t="s">
        <v>963</v>
      </c>
      <c r="D1268" s="9">
        <v>60</v>
      </c>
      <c r="E1268" s="9" t="s">
        <v>1804</v>
      </c>
      <c r="F1268" t="s">
        <v>170</v>
      </c>
      <c r="G1268" t="s">
        <v>171</v>
      </c>
      <c r="H1268" t="s">
        <v>1535</v>
      </c>
    </row>
    <row r="1269" spans="1:8" x14ac:dyDescent="0.3">
      <c r="A1269" s="6">
        <v>15</v>
      </c>
      <c r="B1269" t="s">
        <v>807</v>
      </c>
      <c r="C1269" s="9" t="s">
        <v>963</v>
      </c>
      <c r="D1269" s="9">
        <v>60</v>
      </c>
      <c r="E1269" s="9" t="s">
        <v>1804</v>
      </c>
      <c r="F1269" t="s">
        <v>106</v>
      </c>
      <c r="G1269" t="s">
        <v>32</v>
      </c>
      <c r="H1269" t="s">
        <v>1537</v>
      </c>
    </row>
    <row r="1270" spans="1:8" x14ac:dyDescent="0.3">
      <c r="A1270" s="6">
        <v>15</v>
      </c>
      <c r="B1270" t="s">
        <v>807</v>
      </c>
      <c r="C1270" s="9" t="s">
        <v>963</v>
      </c>
      <c r="D1270" s="9">
        <v>60</v>
      </c>
      <c r="E1270" s="9" t="s">
        <v>1804</v>
      </c>
      <c r="F1270" t="s">
        <v>725</v>
      </c>
      <c r="G1270" t="s">
        <v>504</v>
      </c>
      <c r="H1270" t="s">
        <v>1539</v>
      </c>
    </row>
    <row r="1271" spans="1:8" x14ac:dyDescent="0.3">
      <c r="A1271" s="6">
        <v>15</v>
      </c>
      <c r="B1271" t="s">
        <v>807</v>
      </c>
      <c r="C1271" s="9" t="s">
        <v>963</v>
      </c>
      <c r="D1271" s="9">
        <v>60</v>
      </c>
      <c r="E1271" s="9" t="s">
        <v>1804</v>
      </c>
      <c r="F1271" t="s">
        <v>841</v>
      </c>
      <c r="G1271" t="s">
        <v>816</v>
      </c>
      <c r="H1271" t="s">
        <v>1541</v>
      </c>
    </row>
    <row r="1272" spans="1:8" x14ac:dyDescent="0.3">
      <c r="A1272" s="6">
        <v>15</v>
      </c>
      <c r="B1272" t="s">
        <v>807</v>
      </c>
      <c r="C1272" s="9" t="s">
        <v>963</v>
      </c>
      <c r="D1272" s="9">
        <v>60</v>
      </c>
      <c r="E1272" s="9" t="s">
        <v>1804</v>
      </c>
      <c r="F1272" t="s">
        <v>107</v>
      </c>
      <c r="G1272" t="s">
        <v>108</v>
      </c>
      <c r="H1272" t="s">
        <v>1140</v>
      </c>
    </row>
    <row r="1273" spans="1:8" x14ac:dyDescent="0.3">
      <c r="A1273" s="6">
        <v>15</v>
      </c>
      <c r="B1273" t="s">
        <v>807</v>
      </c>
      <c r="C1273" s="9" t="s">
        <v>963</v>
      </c>
      <c r="D1273" s="9">
        <v>60</v>
      </c>
      <c r="E1273" s="9" t="s">
        <v>1804</v>
      </c>
      <c r="F1273" t="s">
        <v>110</v>
      </c>
      <c r="G1273" t="s">
        <v>41</v>
      </c>
      <c r="H1273" t="s">
        <v>1144</v>
      </c>
    </row>
    <row r="1274" spans="1:8" x14ac:dyDescent="0.3">
      <c r="A1274" s="6">
        <v>15</v>
      </c>
      <c r="B1274" t="s">
        <v>807</v>
      </c>
      <c r="C1274" s="9" t="s">
        <v>963</v>
      </c>
      <c r="D1274" s="9">
        <v>60</v>
      </c>
      <c r="E1274" s="9" t="s">
        <v>1804</v>
      </c>
      <c r="F1274" t="s">
        <v>111</v>
      </c>
      <c r="G1274" t="s">
        <v>112</v>
      </c>
      <c r="H1274" t="s">
        <v>1146</v>
      </c>
    </row>
    <row r="1275" spans="1:8" x14ac:dyDescent="0.3">
      <c r="A1275" s="6">
        <v>15</v>
      </c>
      <c r="B1275" t="s">
        <v>807</v>
      </c>
      <c r="C1275" s="9" t="s">
        <v>963</v>
      </c>
      <c r="D1275" s="9">
        <v>60</v>
      </c>
      <c r="E1275" s="9" t="s">
        <v>1804</v>
      </c>
      <c r="F1275" t="s">
        <v>842</v>
      </c>
      <c r="G1275" t="s">
        <v>819</v>
      </c>
      <c r="H1275" t="s">
        <v>1543</v>
      </c>
    </row>
    <row r="1276" spans="1:8" x14ac:dyDescent="0.3">
      <c r="A1276" s="6">
        <v>15</v>
      </c>
      <c r="B1276" t="s">
        <v>807</v>
      </c>
      <c r="C1276" s="9" t="s">
        <v>963</v>
      </c>
      <c r="D1276" s="9">
        <v>66</v>
      </c>
      <c r="E1276" s="9" t="s">
        <v>1804</v>
      </c>
      <c r="F1276" t="s">
        <v>353</v>
      </c>
      <c r="G1276" t="s">
        <v>354</v>
      </c>
      <c r="H1276" t="s">
        <v>1020</v>
      </c>
    </row>
    <row r="1277" spans="1:8" x14ac:dyDescent="0.3">
      <c r="A1277" s="6">
        <v>15</v>
      </c>
      <c r="B1277" t="s">
        <v>807</v>
      </c>
      <c r="C1277" s="9" t="s">
        <v>963</v>
      </c>
      <c r="D1277" s="9">
        <v>64</v>
      </c>
      <c r="E1277" s="9" t="s">
        <v>1804</v>
      </c>
      <c r="F1277" t="s">
        <v>843</v>
      </c>
      <c r="G1277" t="s">
        <v>428</v>
      </c>
      <c r="H1277" t="s">
        <v>1119</v>
      </c>
    </row>
    <row r="1278" spans="1:8" x14ac:dyDescent="0.3">
      <c r="A1278" s="6">
        <v>15</v>
      </c>
      <c r="B1278" t="s">
        <v>807</v>
      </c>
      <c r="C1278" s="9" t="s">
        <v>963</v>
      </c>
      <c r="D1278" s="9">
        <v>60</v>
      </c>
      <c r="E1278" s="9" t="s">
        <v>1804</v>
      </c>
      <c r="F1278" t="s">
        <v>844</v>
      </c>
      <c r="G1278" t="s">
        <v>551</v>
      </c>
      <c r="H1278" t="s">
        <v>1120</v>
      </c>
    </row>
    <row r="1279" spans="1:8" x14ac:dyDescent="0.3">
      <c r="A1279" s="6">
        <v>15</v>
      </c>
      <c r="B1279" t="s">
        <v>807</v>
      </c>
      <c r="C1279" s="9" t="s">
        <v>963</v>
      </c>
      <c r="D1279" s="9">
        <v>60</v>
      </c>
      <c r="E1279" s="9" t="s">
        <v>1804</v>
      </c>
      <c r="F1279" t="s">
        <v>114</v>
      </c>
      <c r="G1279" t="s">
        <v>115</v>
      </c>
      <c r="H1279" t="s">
        <v>1121</v>
      </c>
    </row>
    <row r="1280" spans="1:8" x14ac:dyDescent="0.3">
      <c r="A1280" s="6">
        <v>15</v>
      </c>
      <c r="B1280" t="s">
        <v>807</v>
      </c>
      <c r="C1280" s="9" t="s">
        <v>963</v>
      </c>
      <c r="D1280" s="9">
        <v>64</v>
      </c>
      <c r="E1280" s="9" t="s">
        <v>1804</v>
      </c>
      <c r="F1280" t="s">
        <v>583</v>
      </c>
      <c r="G1280" t="s">
        <v>238</v>
      </c>
      <c r="H1280" t="s">
        <v>1122</v>
      </c>
    </row>
    <row r="1281" spans="1:8" x14ac:dyDescent="0.3">
      <c r="A1281" s="6">
        <v>15</v>
      </c>
      <c r="B1281" t="s">
        <v>807</v>
      </c>
      <c r="C1281" s="9" t="s">
        <v>963</v>
      </c>
      <c r="D1281" s="9">
        <v>64</v>
      </c>
      <c r="E1281" s="9" t="s">
        <v>1804</v>
      </c>
      <c r="F1281" t="s">
        <v>845</v>
      </c>
      <c r="G1281" t="s">
        <v>238</v>
      </c>
      <c r="H1281" t="s">
        <v>1123</v>
      </c>
    </row>
    <row r="1282" spans="1:8" x14ac:dyDescent="0.3">
      <c r="A1282" s="6">
        <v>15</v>
      </c>
      <c r="B1282" t="s">
        <v>807</v>
      </c>
      <c r="C1282" s="9" t="s">
        <v>963</v>
      </c>
      <c r="D1282" s="9">
        <v>64</v>
      </c>
      <c r="E1282" s="9" t="s">
        <v>1804</v>
      </c>
      <c r="F1282" t="s">
        <v>173</v>
      </c>
      <c r="G1282" t="s">
        <v>118</v>
      </c>
      <c r="H1282" t="s">
        <v>1419</v>
      </c>
    </row>
    <row r="1283" spans="1:8" x14ac:dyDescent="0.3">
      <c r="A1283" s="6">
        <v>15</v>
      </c>
      <c r="B1283" t="s">
        <v>807</v>
      </c>
      <c r="C1283" s="9" t="s">
        <v>963</v>
      </c>
      <c r="D1283" s="9">
        <v>68</v>
      </c>
      <c r="E1283" s="9" t="s">
        <v>1804</v>
      </c>
      <c r="F1283" t="s">
        <v>468</v>
      </c>
      <c r="G1283" t="s">
        <v>54</v>
      </c>
      <c r="H1283" t="s">
        <v>1682</v>
      </c>
    </row>
    <row r="1284" spans="1:8" x14ac:dyDescent="0.3">
      <c r="A1284" s="6">
        <v>15</v>
      </c>
      <c r="B1284" t="s">
        <v>807</v>
      </c>
      <c r="C1284" s="9" t="s">
        <v>963</v>
      </c>
      <c r="D1284" s="9">
        <v>64</v>
      </c>
      <c r="E1284" s="9" t="s">
        <v>1804</v>
      </c>
      <c r="F1284" t="s">
        <v>846</v>
      </c>
      <c r="G1284" t="s">
        <v>54</v>
      </c>
      <c r="H1284" t="s">
        <v>1124</v>
      </c>
    </row>
    <row r="1285" spans="1:8" x14ac:dyDescent="0.3">
      <c r="A1285" s="6">
        <v>15</v>
      </c>
      <c r="B1285" t="s">
        <v>807</v>
      </c>
      <c r="C1285" s="9" t="s">
        <v>963</v>
      </c>
      <c r="D1285" s="9">
        <v>68</v>
      </c>
      <c r="E1285" s="9" t="s">
        <v>1804</v>
      </c>
      <c r="F1285" t="s">
        <v>796</v>
      </c>
      <c r="G1285" t="s">
        <v>54</v>
      </c>
      <c r="H1285" t="s">
        <v>1218</v>
      </c>
    </row>
    <row r="1286" spans="1:8" x14ac:dyDescent="0.3">
      <c r="A1286" s="6">
        <v>15</v>
      </c>
      <c r="B1286" t="s">
        <v>807</v>
      </c>
      <c r="C1286" s="9" t="s">
        <v>963</v>
      </c>
      <c r="D1286" s="9">
        <v>61</v>
      </c>
      <c r="E1286" s="9" t="s">
        <v>1804</v>
      </c>
      <c r="F1286" t="s">
        <v>357</v>
      </c>
      <c r="G1286" t="s">
        <v>616</v>
      </c>
      <c r="H1286" t="s">
        <v>1827</v>
      </c>
    </row>
    <row r="1287" spans="1:8" x14ac:dyDescent="0.3">
      <c r="A1287" s="6">
        <v>15</v>
      </c>
      <c r="B1287" t="s">
        <v>807</v>
      </c>
      <c r="C1287" s="9" t="s">
        <v>963</v>
      </c>
      <c r="D1287" s="9">
        <v>64</v>
      </c>
      <c r="E1287" s="9" t="s">
        <v>1804</v>
      </c>
      <c r="F1287" t="s">
        <v>847</v>
      </c>
      <c r="G1287" t="s">
        <v>253</v>
      </c>
      <c r="H1287" t="s">
        <v>1591</v>
      </c>
    </row>
    <row r="1288" spans="1:8" x14ac:dyDescent="0.3">
      <c r="A1288" s="6">
        <v>15</v>
      </c>
      <c r="B1288" t="s">
        <v>807</v>
      </c>
      <c r="C1288" s="9" t="s">
        <v>963</v>
      </c>
      <c r="D1288" s="9">
        <v>60</v>
      </c>
      <c r="E1288" s="9" t="s">
        <v>1804</v>
      </c>
      <c r="F1288" t="s">
        <v>358</v>
      </c>
      <c r="G1288" t="s">
        <v>359</v>
      </c>
      <c r="H1288" t="s">
        <v>1021</v>
      </c>
    </row>
    <row r="1289" spans="1:8" x14ac:dyDescent="0.3">
      <c r="A1289" s="6">
        <v>15</v>
      </c>
      <c r="B1289" t="s">
        <v>807</v>
      </c>
      <c r="C1289" s="9" t="s">
        <v>963</v>
      </c>
      <c r="D1289" s="9">
        <v>68</v>
      </c>
      <c r="E1289" s="9" t="s">
        <v>1804</v>
      </c>
      <c r="F1289" t="s">
        <v>472</v>
      </c>
      <c r="G1289" t="s">
        <v>473</v>
      </c>
      <c r="H1289" t="s">
        <v>1686</v>
      </c>
    </row>
    <row r="1290" spans="1:8" x14ac:dyDescent="0.3">
      <c r="A1290" s="6">
        <v>15</v>
      </c>
      <c r="B1290" t="s">
        <v>807</v>
      </c>
      <c r="C1290" s="9" t="s">
        <v>963</v>
      </c>
      <c r="D1290" s="9">
        <v>62</v>
      </c>
      <c r="E1290" s="9" t="s">
        <v>1804</v>
      </c>
      <c r="F1290" t="s">
        <v>405</v>
      </c>
      <c r="G1290" t="s">
        <v>260</v>
      </c>
      <c r="H1290" t="s">
        <v>1022</v>
      </c>
    </row>
    <row r="1291" spans="1:8" x14ac:dyDescent="0.3">
      <c r="A1291" s="6">
        <v>15</v>
      </c>
      <c r="B1291" t="s">
        <v>807</v>
      </c>
      <c r="C1291" s="9" t="s">
        <v>963</v>
      </c>
      <c r="D1291" s="9">
        <v>61</v>
      </c>
      <c r="E1291" s="9" t="s">
        <v>1804</v>
      </c>
      <c r="F1291" t="s">
        <v>848</v>
      </c>
      <c r="G1291" t="s">
        <v>266</v>
      </c>
      <c r="H1291" t="s">
        <v>1844</v>
      </c>
    </row>
    <row r="1292" spans="1:8" x14ac:dyDescent="0.3">
      <c r="A1292" s="6">
        <v>15</v>
      </c>
      <c r="B1292" t="s">
        <v>807</v>
      </c>
      <c r="C1292" s="9" t="s">
        <v>963</v>
      </c>
      <c r="D1292" s="9">
        <v>64</v>
      </c>
      <c r="E1292" s="9" t="s">
        <v>1804</v>
      </c>
      <c r="F1292" t="s">
        <v>362</v>
      </c>
      <c r="G1292" t="s">
        <v>298</v>
      </c>
      <c r="H1292" t="s">
        <v>1794</v>
      </c>
    </row>
    <row r="1293" spans="1:8" x14ac:dyDescent="0.3">
      <c r="A1293" s="6">
        <v>15</v>
      </c>
      <c r="B1293" t="s">
        <v>807</v>
      </c>
      <c r="C1293" s="9" t="s">
        <v>963</v>
      </c>
      <c r="D1293" s="9">
        <v>83</v>
      </c>
      <c r="E1293" s="9" t="s">
        <v>1804</v>
      </c>
      <c r="F1293" t="s">
        <v>364</v>
      </c>
      <c r="G1293" t="s">
        <v>301</v>
      </c>
      <c r="H1293" t="s">
        <v>1795</v>
      </c>
    </row>
    <row r="1294" spans="1:8" x14ac:dyDescent="0.3">
      <c r="A1294" s="6">
        <v>15</v>
      </c>
      <c r="B1294" t="s">
        <v>807</v>
      </c>
      <c r="C1294" s="9" t="s">
        <v>963</v>
      </c>
      <c r="D1294" s="9">
        <v>60</v>
      </c>
      <c r="E1294" s="9" t="s">
        <v>1804</v>
      </c>
      <c r="F1294" t="s">
        <v>365</v>
      </c>
      <c r="G1294" t="s">
        <v>301</v>
      </c>
      <c r="H1294" t="s">
        <v>1796</v>
      </c>
    </row>
    <row r="1295" spans="1:8" x14ac:dyDescent="0.3">
      <c r="A1295" s="6">
        <v>15</v>
      </c>
      <c r="B1295" t="s">
        <v>807</v>
      </c>
      <c r="C1295" s="9" t="s">
        <v>963</v>
      </c>
      <c r="D1295" s="9">
        <v>64</v>
      </c>
      <c r="E1295" s="9" t="s">
        <v>1804</v>
      </c>
      <c r="F1295" t="s">
        <v>121</v>
      </c>
      <c r="G1295" t="s">
        <v>122</v>
      </c>
      <c r="H1295" t="s">
        <v>1125</v>
      </c>
    </row>
    <row r="1296" spans="1:8" x14ac:dyDescent="0.3">
      <c r="A1296" s="6">
        <v>15</v>
      </c>
      <c r="B1296" t="s">
        <v>807</v>
      </c>
      <c r="C1296" s="9" t="s">
        <v>963</v>
      </c>
      <c r="D1296" s="9">
        <v>64</v>
      </c>
      <c r="E1296" s="9" t="s">
        <v>1804</v>
      </c>
      <c r="F1296" t="s">
        <v>586</v>
      </c>
      <c r="G1296" t="s">
        <v>63</v>
      </c>
      <c r="H1296" t="s">
        <v>1126</v>
      </c>
    </row>
    <row r="1297" spans="1:8" x14ac:dyDescent="0.3">
      <c r="A1297" s="6">
        <v>15</v>
      </c>
      <c r="B1297" t="s">
        <v>807</v>
      </c>
      <c r="C1297" s="9" t="s">
        <v>963</v>
      </c>
      <c r="D1297" s="9">
        <v>64</v>
      </c>
      <c r="E1297" s="9" t="s">
        <v>1804</v>
      </c>
      <c r="F1297" t="s">
        <v>475</v>
      </c>
      <c r="G1297" t="s">
        <v>476</v>
      </c>
      <c r="H1297" t="s">
        <v>1127</v>
      </c>
    </row>
    <row r="1298" spans="1:8" x14ac:dyDescent="0.3">
      <c r="A1298" s="6">
        <v>15</v>
      </c>
      <c r="B1298" t="s">
        <v>807</v>
      </c>
      <c r="C1298" s="9" t="s">
        <v>963</v>
      </c>
      <c r="D1298" s="9">
        <v>64</v>
      </c>
      <c r="E1298" s="9" t="s">
        <v>1804</v>
      </c>
      <c r="F1298" t="s">
        <v>478</v>
      </c>
      <c r="G1298" t="s">
        <v>479</v>
      </c>
      <c r="H1298" t="s">
        <v>1128</v>
      </c>
    </row>
    <row r="1299" spans="1:8" x14ac:dyDescent="0.3">
      <c r="A1299" s="6">
        <v>15</v>
      </c>
      <c r="B1299" t="s">
        <v>807</v>
      </c>
      <c r="C1299" s="9" t="s">
        <v>963</v>
      </c>
      <c r="D1299" s="9">
        <v>64</v>
      </c>
      <c r="E1299" s="9" t="s">
        <v>1804</v>
      </c>
      <c r="F1299" t="s">
        <v>849</v>
      </c>
      <c r="G1299" t="s">
        <v>309</v>
      </c>
      <c r="H1299" t="s">
        <v>1798</v>
      </c>
    </row>
    <row r="1300" spans="1:8" x14ac:dyDescent="0.3">
      <c r="A1300" s="6">
        <v>15</v>
      </c>
      <c r="B1300" t="s">
        <v>807</v>
      </c>
      <c r="C1300" s="9" t="s">
        <v>963</v>
      </c>
      <c r="D1300" s="9">
        <v>60</v>
      </c>
      <c r="E1300" s="9" t="s">
        <v>1804</v>
      </c>
      <c r="F1300" t="s">
        <v>367</v>
      </c>
      <c r="G1300" t="s">
        <v>368</v>
      </c>
      <c r="H1300" t="s">
        <v>1688</v>
      </c>
    </row>
    <row r="1301" spans="1:8" x14ac:dyDescent="0.3">
      <c r="A1301" s="6">
        <v>15</v>
      </c>
      <c r="B1301" t="s">
        <v>807</v>
      </c>
      <c r="C1301" s="9" t="s">
        <v>963</v>
      </c>
      <c r="D1301" s="9">
        <v>72</v>
      </c>
      <c r="E1301" s="9" t="s">
        <v>1804</v>
      </c>
      <c r="F1301" t="s">
        <v>373</v>
      </c>
      <c r="G1301" t="s">
        <v>832</v>
      </c>
      <c r="H1301" t="s">
        <v>1828</v>
      </c>
    </row>
    <row r="1302" spans="1:8" x14ac:dyDescent="0.3">
      <c r="A1302" s="6">
        <v>15</v>
      </c>
      <c r="B1302" t="s">
        <v>807</v>
      </c>
      <c r="C1302" s="9" t="s">
        <v>963</v>
      </c>
      <c r="D1302" s="9">
        <v>60</v>
      </c>
      <c r="E1302" s="9" t="s">
        <v>1804</v>
      </c>
      <c r="F1302" t="s">
        <v>850</v>
      </c>
      <c r="G1302" t="s">
        <v>832</v>
      </c>
      <c r="H1302" t="s">
        <v>1192</v>
      </c>
    </row>
    <row r="1303" spans="1:8" x14ac:dyDescent="0.3">
      <c r="A1303" s="6">
        <v>15</v>
      </c>
      <c r="B1303" t="s">
        <v>807</v>
      </c>
      <c r="C1303" s="9" t="s">
        <v>963</v>
      </c>
      <c r="D1303" s="9">
        <v>63</v>
      </c>
      <c r="E1303" s="9" t="s">
        <v>1804</v>
      </c>
      <c r="F1303" t="s">
        <v>851</v>
      </c>
      <c r="G1303" t="s">
        <v>923</v>
      </c>
      <c r="H1303" t="s">
        <v>1195</v>
      </c>
    </row>
    <row r="1304" spans="1:8" x14ac:dyDescent="0.3">
      <c r="A1304" s="6">
        <v>15</v>
      </c>
      <c r="B1304" t="s">
        <v>807</v>
      </c>
      <c r="C1304" s="9" t="s">
        <v>963</v>
      </c>
      <c r="D1304" s="9">
        <v>63</v>
      </c>
      <c r="E1304" s="9" t="s">
        <v>1804</v>
      </c>
      <c r="F1304" t="s">
        <v>124</v>
      </c>
      <c r="G1304" t="s">
        <v>572</v>
      </c>
      <c r="H1304" t="s">
        <v>1024</v>
      </c>
    </row>
    <row r="1305" spans="1:8" x14ac:dyDescent="0.3">
      <c r="A1305" s="6">
        <v>15</v>
      </c>
      <c r="B1305" t="s">
        <v>807</v>
      </c>
      <c r="C1305" s="9" t="s">
        <v>963</v>
      </c>
      <c r="D1305" s="9">
        <v>64</v>
      </c>
      <c r="E1305" s="9" t="s">
        <v>1804</v>
      </c>
      <c r="F1305" t="s">
        <v>125</v>
      </c>
      <c r="G1305" t="s">
        <v>126</v>
      </c>
      <c r="H1305" t="s">
        <v>1581</v>
      </c>
    </row>
    <row r="1306" spans="1:8" x14ac:dyDescent="0.3">
      <c r="A1306" s="6">
        <v>15</v>
      </c>
      <c r="B1306" t="s">
        <v>807</v>
      </c>
      <c r="C1306" s="9" t="s">
        <v>963</v>
      </c>
      <c r="D1306" s="9">
        <v>60</v>
      </c>
      <c r="E1306" s="9" t="s">
        <v>1804</v>
      </c>
      <c r="F1306" t="s">
        <v>128</v>
      </c>
      <c r="G1306" t="s">
        <v>129</v>
      </c>
      <c r="H1306" t="s">
        <v>1582</v>
      </c>
    </row>
    <row r="1307" spans="1:8" x14ac:dyDescent="0.3">
      <c r="A1307" s="6">
        <v>15</v>
      </c>
      <c r="B1307" t="s">
        <v>807</v>
      </c>
      <c r="C1307" s="9" t="s">
        <v>963</v>
      </c>
      <c r="D1307" s="9">
        <v>60</v>
      </c>
      <c r="E1307" s="9" t="s">
        <v>1804</v>
      </c>
      <c r="F1307" t="s">
        <v>407</v>
      </c>
      <c r="G1307" t="s">
        <v>396</v>
      </c>
      <c r="H1307" t="s">
        <v>1583</v>
      </c>
    </row>
    <row r="1308" spans="1:8" x14ac:dyDescent="0.3">
      <c r="A1308" s="6">
        <v>15</v>
      </c>
      <c r="B1308" t="s">
        <v>807</v>
      </c>
      <c r="C1308" s="9" t="s">
        <v>963</v>
      </c>
      <c r="D1308" s="9">
        <v>60</v>
      </c>
      <c r="E1308" s="9" t="s">
        <v>1804</v>
      </c>
      <c r="F1308" t="s">
        <v>688</v>
      </c>
      <c r="G1308" t="s">
        <v>576</v>
      </c>
      <c r="H1308" t="s">
        <v>1584</v>
      </c>
    </row>
    <row r="1309" spans="1:8" x14ac:dyDescent="0.3">
      <c r="A1309" s="6">
        <v>15</v>
      </c>
      <c r="B1309" t="s">
        <v>807</v>
      </c>
      <c r="C1309" s="9" t="s">
        <v>963</v>
      </c>
      <c r="D1309" s="9">
        <v>60</v>
      </c>
      <c r="E1309" s="9" t="s">
        <v>1804</v>
      </c>
      <c r="F1309" t="s">
        <v>690</v>
      </c>
      <c r="G1309" t="s">
        <v>691</v>
      </c>
      <c r="H1309" t="s">
        <v>1585</v>
      </c>
    </row>
    <row r="1310" spans="1:8" x14ac:dyDescent="0.3">
      <c r="A1310" s="6">
        <v>15</v>
      </c>
      <c r="B1310" t="s">
        <v>807</v>
      </c>
      <c r="C1310" s="9" t="s">
        <v>963</v>
      </c>
      <c r="D1310" s="9">
        <v>60</v>
      </c>
      <c r="E1310" s="9" t="s">
        <v>1804</v>
      </c>
      <c r="F1310" t="s">
        <v>131</v>
      </c>
      <c r="G1310" t="s">
        <v>376</v>
      </c>
      <c r="H1310" t="s">
        <v>1818</v>
      </c>
    </row>
    <row r="1311" spans="1:8" x14ac:dyDescent="0.3">
      <c r="A1311" s="6">
        <v>16</v>
      </c>
      <c r="B1311" t="s">
        <v>801</v>
      </c>
      <c r="C1311" s="9" t="s">
        <v>932</v>
      </c>
      <c r="D1311" s="9">
        <v>37</v>
      </c>
      <c r="E1311" s="9" t="s">
        <v>1804</v>
      </c>
      <c r="F1311" t="s">
        <v>198</v>
      </c>
      <c r="G1311" t="s">
        <v>196</v>
      </c>
      <c r="H1311" t="s">
        <v>1267</v>
      </c>
    </row>
    <row r="1312" spans="1:8" x14ac:dyDescent="0.3">
      <c r="A1312" s="6">
        <v>16</v>
      </c>
      <c r="B1312" t="s">
        <v>801</v>
      </c>
      <c r="C1312" s="9" t="s">
        <v>1807</v>
      </c>
      <c r="D1312" s="9">
        <v>1110</v>
      </c>
      <c r="E1312" s="9" t="s">
        <v>1808</v>
      </c>
      <c r="F1312" t="s">
        <v>802</v>
      </c>
      <c r="G1312" t="s">
        <v>196</v>
      </c>
      <c r="H1312" t="s">
        <v>1269</v>
      </c>
    </row>
    <row r="1313" spans="1:8" x14ac:dyDescent="0.3">
      <c r="A1313" s="6">
        <v>16</v>
      </c>
      <c r="B1313" t="s">
        <v>801</v>
      </c>
      <c r="C1313" s="9" t="s">
        <v>932</v>
      </c>
      <c r="D1313" s="9">
        <v>42</v>
      </c>
      <c r="E1313" s="9" t="s">
        <v>1804</v>
      </c>
      <c r="F1313" t="s">
        <v>14</v>
      </c>
      <c r="G1313" t="s">
        <v>15</v>
      </c>
      <c r="H1313" t="s">
        <v>1290</v>
      </c>
    </row>
    <row r="1314" spans="1:8" x14ac:dyDescent="0.3">
      <c r="A1314" s="6">
        <v>16</v>
      </c>
      <c r="B1314" t="s">
        <v>801</v>
      </c>
      <c r="C1314" s="9" t="s">
        <v>932</v>
      </c>
      <c r="D1314" s="9">
        <v>12</v>
      </c>
      <c r="E1314" s="9" t="s">
        <v>1804</v>
      </c>
      <c r="F1314" t="s">
        <v>204</v>
      </c>
      <c r="G1314" t="s">
        <v>15</v>
      </c>
      <c r="H1314" t="s">
        <v>1292</v>
      </c>
    </row>
    <row r="1315" spans="1:8" x14ac:dyDescent="0.3">
      <c r="A1315" s="6">
        <v>16</v>
      </c>
      <c r="B1315" t="s">
        <v>801</v>
      </c>
      <c r="C1315" s="9" t="s">
        <v>1807</v>
      </c>
      <c r="D1315" s="9">
        <v>1350</v>
      </c>
      <c r="E1315" s="9" t="s">
        <v>1808</v>
      </c>
      <c r="F1315" t="s">
        <v>413</v>
      </c>
      <c r="G1315" t="s">
        <v>414</v>
      </c>
      <c r="H1315" t="s">
        <v>1332</v>
      </c>
    </row>
    <row r="1316" spans="1:8" x14ac:dyDescent="0.3">
      <c r="A1316" s="6">
        <v>16</v>
      </c>
      <c r="B1316" t="s">
        <v>801</v>
      </c>
      <c r="C1316" s="9" t="s">
        <v>1807</v>
      </c>
      <c r="D1316" s="9">
        <v>45</v>
      </c>
      <c r="E1316" s="9" t="s">
        <v>1808</v>
      </c>
      <c r="F1316" t="s">
        <v>803</v>
      </c>
      <c r="G1316" t="s">
        <v>343</v>
      </c>
      <c r="H1316" t="s">
        <v>1179</v>
      </c>
    </row>
    <row r="1317" spans="1:8" x14ac:dyDescent="0.3">
      <c r="A1317" s="6">
        <v>16</v>
      </c>
      <c r="B1317" t="s">
        <v>801</v>
      </c>
      <c r="C1317" s="9" t="s">
        <v>1807</v>
      </c>
      <c r="D1317" s="9">
        <v>600</v>
      </c>
      <c r="E1317" s="9" t="s">
        <v>1808</v>
      </c>
      <c r="F1317" t="s">
        <v>623</v>
      </c>
      <c r="G1317" t="s">
        <v>29</v>
      </c>
      <c r="H1317" t="s">
        <v>1185</v>
      </c>
    </row>
    <row r="1318" spans="1:8" x14ac:dyDescent="0.3">
      <c r="A1318" s="6">
        <v>16</v>
      </c>
      <c r="B1318" t="s">
        <v>801</v>
      </c>
      <c r="C1318" s="9" t="s">
        <v>932</v>
      </c>
      <c r="D1318" s="9">
        <v>18</v>
      </c>
      <c r="E1318" s="9" t="s">
        <v>1804</v>
      </c>
      <c r="F1318" t="s">
        <v>154</v>
      </c>
      <c r="G1318" t="s">
        <v>108</v>
      </c>
      <c r="H1318" t="s">
        <v>1151</v>
      </c>
    </row>
    <row r="1319" spans="1:8" x14ac:dyDescent="0.3">
      <c r="A1319" s="6">
        <v>16</v>
      </c>
      <c r="B1319" t="s">
        <v>801</v>
      </c>
      <c r="C1319" s="9" t="s">
        <v>932</v>
      </c>
      <c r="D1319" s="9">
        <v>21</v>
      </c>
      <c r="E1319" s="9" t="s">
        <v>1804</v>
      </c>
      <c r="F1319" t="s">
        <v>507</v>
      </c>
      <c r="G1319" t="s">
        <v>108</v>
      </c>
      <c r="H1319" t="s">
        <v>1154</v>
      </c>
    </row>
    <row r="1320" spans="1:8" x14ac:dyDescent="0.3">
      <c r="A1320" s="6">
        <v>16</v>
      </c>
      <c r="B1320" t="s">
        <v>801</v>
      </c>
      <c r="C1320" s="9" t="s">
        <v>932</v>
      </c>
      <c r="D1320" s="9">
        <v>18</v>
      </c>
      <c r="E1320" s="9" t="s">
        <v>1804</v>
      </c>
      <c r="F1320" t="s">
        <v>227</v>
      </c>
      <c r="G1320" t="s">
        <v>41</v>
      </c>
      <c r="H1320" t="s">
        <v>1167</v>
      </c>
    </row>
    <row r="1321" spans="1:8" x14ac:dyDescent="0.3">
      <c r="A1321" s="6">
        <v>16</v>
      </c>
      <c r="B1321" t="s">
        <v>801</v>
      </c>
      <c r="C1321" s="9" t="s">
        <v>932</v>
      </c>
      <c r="D1321" s="9">
        <v>12</v>
      </c>
      <c r="E1321" s="9" t="s">
        <v>1804</v>
      </c>
      <c r="F1321" t="s">
        <v>228</v>
      </c>
      <c r="G1321" t="s">
        <v>41</v>
      </c>
      <c r="H1321" t="s">
        <v>1168</v>
      </c>
    </row>
    <row r="1322" spans="1:8" x14ac:dyDescent="0.3">
      <c r="A1322" s="6">
        <v>16</v>
      </c>
      <c r="B1322" t="s">
        <v>801</v>
      </c>
      <c r="C1322" s="9" t="s">
        <v>1807</v>
      </c>
      <c r="D1322" s="9">
        <v>1050</v>
      </c>
      <c r="E1322" s="9" t="s">
        <v>1808</v>
      </c>
      <c r="F1322" t="s">
        <v>804</v>
      </c>
      <c r="G1322" t="s">
        <v>805</v>
      </c>
      <c r="H1322" t="s">
        <v>1157</v>
      </c>
    </row>
    <row r="1323" spans="1:8" x14ac:dyDescent="0.3">
      <c r="A1323" s="6">
        <v>16</v>
      </c>
      <c r="B1323" t="s">
        <v>801</v>
      </c>
      <c r="C1323" s="9" t="s">
        <v>932</v>
      </c>
      <c r="D1323" s="9">
        <v>18</v>
      </c>
      <c r="E1323" s="9" t="s">
        <v>1804</v>
      </c>
      <c r="F1323" t="s">
        <v>246</v>
      </c>
      <c r="G1323" t="s">
        <v>51</v>
      </c>
      <c r="H1323" t="s">
        <v>1596</v>
      </c>
    </row>
    <row r="1324" spans="1:8" x14ac:dyDescent="0.3">
      <c r="A1324" s="6">
        <v>16</v>
      </c>
      <c r="B1324" t="s">
        <v>801</v>
      </c>
      <c r="C1324" s="9" t="s">
        <v>1807</v>
      </c>
      <c r="D1324" s="9">
        <v>600</v>
      </c>
      <c r="E1324" s="9" t="s">
        <v>1808</v>
      </c>
      <c r="F1324" t="s">
        <v>602</v>
      </c>
      <c r="G1324" t="s">
        <v>57</v>
      </c>
      <c r="H1324" t="s">
        <v>1624</v>
      </c>
    </row>
    <row r="1325" spans="1:8" x14ac:dyDescent="0.3">
      <c r="A1325" s="6">
        <v>16</v>
      </c>
      <c r="B1325" t="s">
        <v>801</v>
      </c>
      <c r="C1325" s="9" t="s">
        <v>932</v>
      </c>
      <c r="D1325" s="9">
        <v>12</v>
      </c>
      <c r="E1325" s="9" t="s">
        <v>1804</v>
      </c>
      <c r="F1325" t="s">
        <v>781</v>
      </c>
      <c r="G1325" t="s">
        <v>253</v>
      </c>
      <c r="H1325" t="s">
        <v>1634</v>
      </c>
    </row>
    <row r="1326" spans="1:8" x14ac:dyDescent="0.3">
      <c r="A1326" s="6">
        <v>16</v>
      </c>
      <c r="B1326" t="s">
        <v>801</v>
      </c>
      <c r="C1326" s="9" t="s">
        <v>932</v>
      </c>
      <c r="D1326" s="9">
        <v>12</v>
      </c>
      <c r="E1326" s="9" t="s">
        <v>1804</v>
      </c>
      <c r="F1326" t="s">
        <v>252</v>
      </c>
      <c r="G1326" t="s">
        <v>253</v>
      </c>
      <c r="H1326" t="s">
        <v>1635</v>
      </c>
    </row>
    <row r="1327" spans="1:8" x14ac:dyDescent="0.3">
      <c r="A1327" s="6">
        <v>16</v>
      </c>
      <c r="B1327" t="s">
        <v>801</v>
      </c>
      <c r="C1327" s="9" t="s">
        <v>1807</v>
      </c>
      <c r="D1327" s="9">
        <v>320</v>
      </c>
      <c r="E1327" s="9" t="s">
        <v>1808</v>
      </c>
      <c r="F1327" t="s">
        <v>304</v>
      </c>
      <c r="G1327" t="s">
        <v>305</v>
      </c>
      <c r="H1327" t="s">
        <v>1785</v>
      </c>
    </row>
    <row r="1328" spans="1:8" x14ac:dyDescent="0.3">
      <c r="A1328" s="6">
        <v>16</v>
      </c>
      <c r="B1328" t="s">
        <v>801</v>
      </c>
      <c r="C1328" s="9" t="s">
        <v>1807</v>
      </c>
      <c r="D1328" s="9">
        <v>770</v>
      </c>
      <c r="E1328" s="9" t="s">
        <v>1808</v>
      </c>
      <c r="F1328" t="s">
        <v>71</v>
      </c>
      <c r="G1328" t="s">
        <v>72</v>
      </c>
      <c r="H1328" t="s">
        <v>1565</v>
      </c>
    </row>
    <row r="1329" spans="1:8" x14ac:dyDescent="0.3">
      <c r="A1329" s="6">
        <v>16</v>
      </c>
      <c r="B1329" t="s">
        <v>801</v>
      </c>
      <c r="C1329" s="9" t="s">
        <v>1807</v>
      </c>
      <c r="D1329" s="9">
        <v>518</v>
      </c>
      <c r="E1329" s="9" t="s">
        <v>1808</v>
      </c>
      <c r="F1329" t="s">
        <v>74</v>
      </c>
      <c r="G1329" t="s">
        <v>72</v>
      </c>
      <c r="H1329" t="s">
        <v>1566</v>
      </c>
    </row>
    <row r="1330" spans="1:8" x14ac:dyDescent="0.3">
      <c r="A1330" s="6">
        <v>16</v>
      </c>
      <c r="B1330" t="s">
        <v>801</v>
      </c>
      <c r="C1330" s="9" t="s">
        <v>1809</v>
      </c>
      <c r="D1330" s="9">
        <v>60</v>
      </c>
      <c r="E1330" s="9" t="s">
        <v>1804</v>
      </c>
      <c r="F1330" t="s">
        <v>78</v>
      </c>
      <c r="G1330" t="s">
        <v>1810</v>
      </c>
      <c r="H1330" t="s">
        <v>1811</v>
      </c>
    </row>
    <row r="1331" spans="1:8" x14ac:dyDescent="0.3">
      <c r="A1331" s="6">
        <v>16</v>
      </c>
      <c r="B1331" t="s">
        <v>801</v>
      </c>
      <c r="C1331" s="9" t="s">
        <v>963</v>
      </c>
      <c r="D1331" s="9">
        <v>73</v>
      </c>
      <c r="E1331" s="9" t="s">
        <v>1804</v>
      </c>
      <c r="F1331" t="s">
        <v>90</v>
      </c>
      <c r="G1331" t="s">
        <v>15</v>
      </c>
      <c r="H1331" t="s">
        <v>1351</v>
      </c>
    </row>
    <row r="1332" spans="1:8" x14ac:dyDescent="0.3">
      <c r="A1332" s="6">
        <v>16</v>
      </c>
      <c r="B1332" t="s">
        <v>801</v>
      </c>
      <c r="C1332" s="9" t="s">
        <v>963</v>
      </c>
      <c r="D1332" s="9">
        <v>72</v>
      </c>
      <c r="E1332" s="9" t="s">
        <v>1804</v>
      </c>
      <c r="F1332" t="s">
        <v>101</v>
      </c>
      <c r="G1332" t="s">
        <v>102</v>
      </c>
      <c r="H1332" t="s">
        <v>1365</v>
      </c>
    </row>
    <row r="1333" spans="1:8" x14ac:dyDescent="0.3">
      <c r="A1333" s="6">
        <v>16</v>
      </c>
      <c r="B1333" t="s">
        <v>801</v>
      </c>
      <c r="C1333" s="9" t="s">
        <v>963</v>
      </c>
      <c r="D1333" s="9">
        <v>60</v>
      </c>
      <c r="E1333" s="9" t="s">
        <v>1804</v>
      </c>
      <c r="F1333" t="s">
        <v>107</v>
      </c>
      <c r="G1333" t="s">
        <v>108</v>
      </c>
      <c r="H1333" t="s">
        <v>1140</v>
      </c>
    </row>
    <row r="1334" spans="1:8" x14ac:dyDescent="0.3">
      <c r="A1334" s="6">
        <v>16</v>
      </c>
      <c r="B1334" t="s">
        <v>801</v>
      </c>
      <c r="C1334" s="9" t="s">
        <v>963</v>
      </c>
      <c r="D1334" s="9">
        <v>60</v>
      </c>
      <c r="E1334" s="9" t="s">
        <v>1804</v>
      </c>
      <c r="F1334" t="s">
        <v>110</v>
      </c>
      <c r="G1334" t="s">
        <v>41</v>
      </c>
      <c r="H1334" t="s">
        <v>1144</v>
      </c>
    </row>
    <row r="1335" spans="1:8" x14ac:dyDescent="0.3">
      <c r="A1335" s="6">
        <v>16</v>
      </c>
      <c r="B1335" t="s">
        <v>801</v>
      </c>
      <c r="C1335" s="9" t="s">
        <v>963</v>
      </c>
      <c r="D1335" s="9">
        <v>60</v>
      </c>
      <c r="E1335" s="9" t="s">
        <v>1804</v>
      </c>
      <c r="F1335" t="s">
        <v>120</v>
      </c>
      <c r="G1335" t="s">
        <v>51</v>
      </c>
      <c r="H1335" t="s">
        <v>1590</v>
      </c>
    </row>
    <row r="1336" spans="1:8" x14ac:dyDescent="0.3">
      <c r="A1336" s="6">
        <v>16</v>
      </c>
      <c r="B1336" t="s">
        <v>801</v>
      </c>
      <c r="C1336" s="9" t="s">
        <v>963</v>
      </c>
      <c r="D1336" s="9">
        <v>60</v>
      </c>
      <c r="E1336" s="9" t="s">
        <v>1804</v>
      </c>
      <c r="F1336" t="s">
        <v>128</v>
      </c>
      <c r="G1336" t="s">
        <v>129</v>
      </c>
      <c r="H1336" t="s">
        <v>1582</v>
      </c>
    </row>
    <row r="1337" spans="1:8" x14ac:dyDescent="0.3">
      <c r="A1337" s="6">
        <v>17</v>
      </c>
      <c r="B1337" t="s">
        <v>797</v>
      </c>
      <c r="C1337" s="9" t="s">
        <v>932</v>
      </c>
      <c r="D1337" s="9">
        <v>30</v>
      </c>
      <c r="E1337" s="9" t="s">
        <v>1804</v>
      </c>
      <c r="F1337" t="s">
        <v>146</v>
      </c>
      <c r="G1337" t="s">
        <v>147</v>
      </c>
      <c r="H1337" t="s">
        <v>1377</v>
      </c>
    </row>
    <row r="1338" spans="1:8" x14ac:dyDescent="0.3">
      <c r="A1338" s="6">
        <v>17</v>
      </c>
      <c r="B1338" t="s">
        <v>797</v>
      </c>
      <c r="C1338" s="9" t="s">
        <v>932</v>
      </c>
      <c r="D1338" s="9">
        <v>15</v>
      </c>
      <c r="E1338" s="9" t="s">
        <v>1804</v>
      </c>
      <c r="F1338" t="s">
        <v>149</v>
      </c>
      <c r="G1338" t="s">
        <v>147</v>
      </c>
      <c r="H1338" t="s">
        <v>1378</v>
      </c>
    </row>
    <row r="1339" spans="1:8" x14ac:dyDescent="0.3">
      <c r="A1339" s="6">
        <v>17</v>
      </c>
      <c r="B1339" t="s">
        <v>797</v>
      </c>
      <c r="C1339" s="9" t="s">
        <v>932</v>
      </c>
      <c r="D1339" s="9">
        <v>30</v>
      </c>
      <c r="E1339" s="9" t="s">
        <v>1804</v>
      </c>
      <c r="F1339" t="s">
        <v>176</v>
      </c>
      <c r="G1339" t="s">
        <v>177</v>
      </c>
      <c r="H1339" t="s">
        <v>1381</v>
      </c>
    </row>
    <row r="1340" spans="1:8" x14ac:dyDescent="0.3">
      <c r="A1340" s="6">
        <v>17</v>
      </c>
      <c r="B1340" t="s">
        <v>797</v>
      </c>
      <c r="C1340" s="9" t="s">
        <v>932</v>
      </c>
      <c r="D1340" s="9">
        <v>12</v>
      </c>
      <c r="E1340" s="9" t="s">
        <v>1804</v>
      </c>
      <c r="F1340" t="s">
        <v>663</v>
      </c>
      <c r="G1340" t="s">
        <v>177</v>
      </c>
      <c r="H1340" t="s">
        <v>1382</v>
      </c>
    </row>
    <row r="1341" spans="1:8" x14ac:dyDescent="0.3">
      <c r="A1341" s="6">
        <v>17</v>
      </c>
      <c r="B1341" t="s">
        <v>797</v>
      </c>
      <c r="C1341" s="9" t="s">
        <v>932</v>
      </c>
      <c r="D1341" s="9">
        <v>18</v>
      </c>
      <c r="E1341" s="9" t="s">
        <v>1804</v>
      </c>
      <c r="F1341" t="s">
        <v>535</v>
      </c>
      <c r="G1341" t="s">
        <v>177</v>
      </c>
      <c r="H1341" t="s">
        <v>1383</v>
      </c>
    </row>
    <row r="1342" spans="1:8" x14ac:dyDescent="0.3">
      <c r="A1342" s="6">
        <v>17</v>
      </c>
      <c r="B1342" t="s">
        <v>797</v>
      </c>
      <c r="C1342" s="9" t="s">
        <v>932</v>
      </c>
      <c r="D1342" s="9">
        <v>24</v>
      </c>
      <c r="E1342" s="9" t="s">
        <v>1804</v>
      </c>
      <c r="F1342" t="s">
        <v>536</v>
      </c>
      <c r="G1342" t="s">
        <v>537</v>
      </c>
      <c r="H1342" t="s">
        <v>1384</v>
      </c>
    </row>
    <row r="1343" spans="1:8" x14ac:dyDescent="0.3">
      <c r="A1343" s="6">
        <v>17</v>
      </c>
      <c r="B1343" t="s">
        <v>797</v>
      </c>
      <c r="C1343" s="9" t="s">
        <v>1807</v>
      </c>
      <c r="D1343" s="9">
        <v>1230</v>
      </c>
      <c r="E1343" s="9" t="s">
        <v>1808</v>
      </c>
      <c r="F1343" t="s">
        <v>10</v>
      </c>
      <c r="G1343" t="s">
        <v>526</v>
      </c>
      <c r="H1343" t="s">
        <v>1812</v>
      </c>
    </row>
    <row r="1344" spans="1:8" x14ac:dyDescent="0.3">
      <c r="A1344" s="6">
        <v>17</v>
      </c>
      <c r="B1344" t="s">
        <v>797</v>
      </c>
      <c r="C1344" s="9" t="s">
        <v>932</v>
      </c>
      <c r="D1344" s="9">
        <v>37</v>
      </c>
      <c r="E1344" s="9" t="s">
        <v>1804</v>
      </c>
      <c r="F1344" t="s">
        <v>198</v>
      </c>
      <c r="G1344" t="s">
        <v>196</v>
      </c>
      <c r="H1344" t="s">
        <v>1267</v>
      </c>
    </row>
    <row r="1345" spans="1:8" x14ac:dyDescent="0.3">
      <c r="A1345" s="6">
        <v>17</v>
      </c>
      <c r="B1345" t="s">
        <v>797</v>
      </c>
      <c r="C1345" s="9" t="s">
        <v>932</v>
      </c>
      <c r="D1345" s="9">
        <v>11</v>
      </c>
      <c r="E1345" s="9" t="s">
        <v>1804</v>
      </c>
      <c r="F1345" t="s">
        <v>798</v>
      </c>
      <c r="G1345" t="s">
        <v>15</v>
      </c>
      <c r="H1345" t="s">
        <v>1851</v>
      </c>
    </row>
    <row r="1346" spans="1:8" x14ac:dyDescent="0.3">
      <c r="A1346" s="6">
        <v>17</v>
      </c>
      <c r="B1346" t="s">
        <v>797</v>
      </c>
      <c r="C1346" s="9" t="s">
        <v>932</v>
      </c>
      <c r="D1346" s="9">
        <v>42</v>
      </c>
      <c r="E1346" s="9" t="s">
        <v>1804</v>
      </c>
      <c r="F1346" t="s">
        <v>14</v>
      </c>
      <c r="G1346" t="s">
        <v>15</v>
      </c>
      <c r="H1346" t="s">
        <v>1290</v>
      </c>
    </row>
    <row r="1347" spans="1:8" x14ac:dyDescent="0.3">
      <c r="A1347" s="6">
        <v>17</v>
      </c>
      <c r="B1347" t="s">
        <v>797</v>
      </c>
      <c r="C1347" s="9" t="s">
        <v>932</v>
      </c>
      <c r="D1347" s="9">
        <v>12</v>
      </c>
      <c r="E1347" s="9" t="s">
        <v>1804</v>
      </c>
      <c r="F1347" t="s">
        <v>204</v>
      </c>
      <c r="G1347" t="s">
        <v>15</v>
      </c>
      <c r="H1347" t="s">
        <v>1292</v>
      </c>
    </row>
    <row r="1348" spans="1:8" x14ac:dyDescent="0.3">
      <c r="A1348" s="6">
        <v>17</v>
      </c>
      <c r="B1348" t="s">
        <v>797</v>
      </c>
      <c r="C1348" s="9" t="s">
        <v>932</v>
      </c>
      <c r="D1348" s="9">
        <v>36</v>
      </c>
      <c r="E1348" s="9" t="s">
        <v>1804</v>
      </c>
      <c r="F1348" t="s">
        <v>28</v>
      </c>
      <c r="G1348" t="s">
        <v>29</v>
      </c>
      <c r="H1348" t="s">
        <v>1180</v>
      </c>
    </row>
    <row r="1349" spans="1:8" x14ac:dyDescent="0.3">
      <c r="A1349" s="6">
        <v>17</v>
      </c>
      <c r="B1349" t="s">
        <v>797</v>
      </c>
      <c r="C1349" s="9" t="s">
        <v>932</v>
      </c>
      <c r="D1349" s="9">
        <v>12</v>
      </c>
      <c r="E1349" s="9" t="s">
        <v>1804</v>
      </c>
      <c r="F1349" t="s">
        <v>483</v>
      </c>
      <c r="G1349" t="s">
        <v>29</v>
      </c>
      <c r="H1349" t="s">
        <v>1182</v>
      </c>
    </row>
    <row r="1350" spans="1:8" x14ac:dyDescent="0.3">
      <c r="A1350" s="6">
        <v>17</v>
      </c>
      <c r="B1350" t="s">
        <v>797</v>
      </c>
      <c r="C1350" s="9" t="s">
        <v>932</v>
      </c>
      <c r="D1350" s="9">
        <v>12</v>
      </c>
      <c r="E1350" s="9" t="s">
        <v>1804</v>
      </c>
      <c r="F1350" t="s">
        <v>588</v>
      </c>
      <c r="G1350" t="s">
        <v>29</v>
      </c>
      <c r="H1350" t="s">
        <v>1183</v>
      </c>
    </row>
    <row r="1351" spans="1:8" x14ac:dyDescent="0.3">
      <c r="A1351" s="6">
        <v>17</v>
      </c>
      <c r="B1351" t="s">
        <v>797</v>
      </c>
      <c r="C1351" s="9" t="s">
        <v>932</v>
      </c>
      <c r="D1351" s="9">
        <v>12</v>
      </c>
      <c r="E1351" s="9" t="s">
        <v>1804</v>
      </c>
      <c r="F1351" t="s">
        <v>589</v>
      </c>
      <c r="G1351" t="s">
        <v>29</v>
      </c>
      <c r="H1351" t="s">
        <v>1184</v>
      </c>
    </row>
    <row r="1352" spans="1:8" x14ac:dyDescent="0.3">
      <c r="A1352" s="6">
        <v>17</v>
      </c>
      <c r="B1352" t="s">
        <v>797</v>
      </c>
      <c r="C1352" s="9" t="s">
        <v>932</v>
      </c>
      <c r="D1352" s="9">
        <v>18</v>
      </c>
      <c r="E1352" s="9" t="s">
        <v>1804</v>
      </c>
      <c r="F1352" t="s">
        <v>389</v>
      </c>
      <c r="G1352" t="s">
        <v>171</v>
      </c>
      <c r="H1352" t="s">
        <v>1447</v>
      </c>
    </row>
    <row r="1353" spans="1:8" x14ac:dyDescent="0.3">
      <c r="A1353" s="6">
        <v>17</v>
      </c>
      <c r="B1353" t="s">
        <v>797</v>
      </c>
      <c r="C1353" s="9" t="s">
        <v>932</v>
      </c>
      <c r="D1353" s="9">
        <v>33</v>
      </c>
      <c r="E1353" s="9" t="s">
        <v>1804</v>
      </c>
      <c r="F1353" t="s">
        <v>390</v>
      </c>
      <c r="G1353" t="s">
        <v>391</v>
      </c>
      <c r="H1353" t="s">
        <v>1449</v>
      </c>
    </row>
    <row r="1354" spans="1:8" x14ac:dyDescent="0.3">
      <c r="A1354" s="6">
        <v>17</v>
      </c>
      <c r="B1354" t="s">
        <v>797</v>
      </c>
      <c r="C1354" s="9" t="s">
        <v>932</v>
      </c>
      <c r="D1354" s="9">
        <v>30</v>
      </c>
      <c r="E1354" s="9" t="s">
        <v>1804</v>
      </c>
      <c r="F1354" t="s">
        <v>35</v>
      </c>
      <c r="G1354" t="s">
        <v>32</v>
      </c>
      <c r="H1354" t="s">
        <v>1489</v>
      </c>
    </row>
    <row r="1355" spans="1:8" x14ac:dyDescent="0.3">
      <c r="A1355" s="6">
        <v>17</v>
      </c>
      <c r="B1355" t="s">
        <v>797</v>
      </c>
      <c r="C1355" s="9" t="s">
        <v>932</v>
      </c>
      <c r="D1355" s="9">
        <v>32</v>
      </c>
      <c r="E1355" s="9" t="s">
        <v>1804</v>
      </c>
      <c r="F1355" t="s">
        <v>221</v>
      </c>
      <c r="G1355" t="s">
        <v>32</v>
      </c>
      <c r="H1355" t="s">
        <v>1490</v>
      </c>
    </row>
    <row r="1356" spans="1:8" x14ac:dyDescent="0.3">
      <c r="A1356" s="6">
        <v>17</v>
      </c>
      <c r="B1356" t="s">
        <v>797</v>
      </c>
      <c r="C1356" s="9" t="s">
        <v>932</v>
      </c>
      <c r="D1356" s="9">
        <v>18</v>
      </c>
      <c r="E1356" s="9" t="s">
        <v>1804</v>
      </c>
      <c r="F1356" t="s">
        <v>503</v>
      </c>
      <c r="G1356" t="s">
        <v>504</v>
      </c>
      <c r="H1356" t="s">
        <v>1501</v>
      </c>
    </row>
    <row r="1357" spans="1:8" x14ac:dyDescent="0.3">
      <c r="A1357" s="6">
        <v>17</v>
      </c>
      <c r="B1357" t="s">
        <v>797</v>
      </c>
      <c r="C1357" s="9" t="s">
        <v>932</v>
      </c>
      <c r="D1357" s="9">
        <v>34</v>
      </c>
      <c r="E1357" s="9" t="s">
        <v>1804</v>
      </c>
      <c r="F1357" t="s">
        <v>422</v>
      </c>
      <c r="G1357" t="s">
        <v>423</v>
      </c>
      <c r="H1357" t="s">
        <v>1149</v>
      </c>
    </row>
    <row r="1358" spans="1:8" x14ac:dyDescent="0.3">
      <c r="A1358" s="6">
        <v>17</v>
      </c>
      <c r="B1358" t="s">
        <v>797</v>
      </c>
      <c r="C1358" s="9" t="s">
        <v>932</v>
      </c>
      <c r="D1358" s="9">
        <v>12</v>
      </c>
      <c r="E1358" s="9" t="s">
        <v>1804</v>
      </c>
      <c r="F1358" t="s">
        <v>153</v>
      </c>
      <c r="G1358" t="s">
        <v>108</v>
      </c>
      <c r="H1358" t="s">
        <v>1150</v>
      </c>
    </row>
    <row r="1359" spans="1:8" x14ac:dyDescent="0.3">
      <c r="A1359" s="6">
        <v>17</v>
      </c>
      <c r="B1359" t="s">
        <v>797</v>
      </c>
      <c r="C1359" s="9" t="s">
        <v>976</v>
      </c>
      <c r="D1359" s="9">
        <v>60</v>
      </c>
      <c r="E1359" s="9" t="s">
        <v>1804</v>
      </c>
      <c r="F1359" t="s">
        <v>696</v>
      </c>
      <c r="G1359" t="s">
        <v>108</v>
      </c>
      <c r="H1359" t="s">
        <v>1145</v>
      </c>
    </row>
    <row r="1360" spans="1:8" x14ac:dyDescent="0.3">
      <c r="A1360" s="6">
        <v>17</v>
      </c>
      <c r="B1360" t="s">
        <v>797</v>
      </c>
      <c r="C1360" s="9" t="s">
        <v>932</v>
      </c>
      <c r="D1360" s="9">
        <v>27</v>
      </c>
      <c r="E1360" s="9" t="s">
        <v>1804</v>
      </c>
      <c r="F1360" t="s">
        <v>37</v>
      </c>
      <c r="G1360" t="s">
        <v>38</v>
      </c>
      <c r="H1360" t="s">
        <v>1164</v>
      </c>
    </row>
    <row r="1361" spans="1:8" x14ac:dyDescent="0.3">
      <c r="A1361" s="6">
        <v>17</v>
      </c>
      <c r="B1361" t="s">
        <v>797</v>
      </c>
      <c r="C1361" s="9" t="s">
        <v>932</v>
      </c>
      <c r="D1361" s="9">
        <v>27</v>
      </c>
      <c r="E1361" s="9" t="s">
        <v>1804</v>
      </c>
      <c r="F1361" t="s">
        <v>40</v>
      </c>
      <c r="G1361" t="s">
        <v>41</v>
      </c>
      <c r="H1361" t="s">
        <v>1169</v>
      </c>
    </row>
    <row r="1362" spans="1:8" x14ac:dyDescent="0.3">
      <c r="A1362" s="6">
        <v>17</v>
      </c>
      <c r="B1362" t="s">
        <v>797</v>
      </c>
      <c r="C1362" s="9" t="s">
        <v>932</v>
      </c>
      <c r="D1362" s="9">
        <v>18</v>
      </c>
      <c r="E1362" s="9" t="s">
        <v>1804</v>
      </c>
      <c r="F1362" t="s">
        <v>229</v>
      </c>
      <c r="G1362" t="s">
        <v>230</v>
      </c>
      <c r="H1362" t="s">
        <v>1170</v>
      </c>
    </row>
    <row r="1363" spans="1:8" x14ac:dyDescent="0.3">
      <c r="A1363" s="6">
        <v>17</v>
      </c>
      <c r="B1363" t="s">
        <v>797</v>
      </c>
      <c r="C1363" s="9" t="s">
        <v>932</v>
      </c>
      <c r="D1363" s="9">
        <v>24</v>
      </c>
      <c r="E1363" s="9" t="s">
        <v>1804</v>
      </c>
      <c r="F1363" t="s">
        <v>232</v>
      </c>
      <c r="G1363" t="s">
        <v>144</v>
      </c>
      <c r="H1363" t="s">
        <v>1171</v>
      </c>
    </row>
    <row r="1364" spans="1:8" x14ac:dyDescent="0.3">
      <c r="A1364" s="6">
        <v>17</v>
      </c>
      <c r="B1364" t="s">
        <v>797</v>
      </c>
      <c r="C1364" s="9" t="s">
        <v>932</v>
      </c>
      <c r="D1364" s="9">
        <v>25</v>
      </c>
      <c r="E1364" s="9" t="s">
        <v>1804</v>
      </c>
      <c r="F1364" t="s">
        <v>394</v>
      </c>
      <c r="G1364" t="s">
        <v>112</v>
      </c>
      <c r="H1364" t="s">
        <v>1172</v>
      </c>
    </row>
    <row r="1365" spans="1:8" x14ac:dyDescent="0.3">
      <c r="A1365" s="6">
        <v>17</v>
      </c>
      <c r="B1365" t="s">
        <v>797</v>
      </c>
      <c r="C1365" s="9" t="s">
        <v>932</v>
      </c>
      <c r="D1365" s="9">
        <v>12</v>
      </c>
      <c r="E1365" s="9" t="s">
        <v>1804</v>
      </c>
      <c r="F1365" t="s">
        <v>511</v>
      </c>
      <c r="G1365" t="s">
        <v>235</v>
      </c>
      <c r="H1365" t="s">
        <v>1046</v>
      </c>
    </row>
    <row r="1366" spans="1:8" x14ac:dyDescent="0.3">
      <c r="A1366" s="6">
        <v>17</v>
      </c>
      <c r="B1366" t="s">
        <v>797</v>
      </c>
      <c r="C1366" s="9" t="s">
        <v>932</v>
      </c>
      <c r="D1366" s="9">
        <v>17</v>
      </c>
      <c r="E1366" s="9" t="s">
        <v>1804</v>
      </c>
      <c r="F1366" t="s">
        <v>591</v>
      </c>
      <c r="G1366" t="s">
        <v>235</v>
      </c>
      <c r="H1366" t="s">
        <v>1049</v>
      </c>
    </row>
    <row r="1367" spans="1:8" x14ac:dyDescent="0.3">
      <c r="A1367" s="6">
        <v>17</v>
      </c>
      <c r="B1367" t="s">
        <v>797</v>
      </c>
      <c r="C1367" s="9" t="s">
        <v>932</v>
      </c>
      <c r="D1367" s="9">
        <v>15</v>
      </c>
      <c r="E1367" s="9" t="s">
        <v>1804</v>
      </c>
      <c r="F1367" t="s">
        <v>515</v>
      </c>
      <c r="G1367" t="s">
        <v>238</v>
      </c>
      <c r="H1367" t="s">
        <v>1064</v>
      </c>
    </row>
    <row r="1368" spans="1:8" x14ac:dyDescent="0.3">
      <c r="A1368" s="6">
        <v>17</v>
      </c>
      <c r="B1368" t="s">
        <v>797</v>
      </c>
      <c r="C1368" s="9" t="s">
        <v>932</v>
      </c>
      <c r="D1368" s="9">
        <v>24</v>
      </c>
      <c r="E1368" s="9" t="s">
        <v>1804</v>
      </c>
      <c r="F1368" t="s">
        <v>237</v>
      </c>
      <c r="G1368" t="s">
        <v>238</v>
      </c>
      <c r="H1368" t="s">
        <v>1065</v>
      </c>
    </row>
    <row r="1369" spans="1:8" x14ac:dyDescent="0.3">
      <c r="A1369" s="6">
        <v>17</v>
      </c>
      <c r="B1369" t="s">
        <v>797</v>
      </c>
      <c r="C1369" s="9" t="s">
        <v>932</v>
      </c>
      <c r="D1369" s="9">
        <v>35</v>
      </c>
      <c r="E1369" s="9" t="s">
        <v>1804</v>
      </c>
      <c r="F1369" t="s">
        <v>46</v>
      </c>
      <c r="G1369" t="s">
        <v>47</v>
      </c>
      <c r="H1369" t="s">
        <v>1409</v>
      </c>
    </row>
    <row r="1370" spans="1:8" x14ac:dyDescent="0.3">
      <c r="A1370" s="6">
        <v>17</v>
      </c>
      <c r="B1370" t="s">
        <v>797</v>
      </c>
      <c r="C1370" s="9" t="s">
        <v>932</v>
      </c>
      <c r="D1370" s="9">
        <v>12</v>
      </c>
      <c r="E1370" s="9" t="s">
        <v>1804</v>
      </c>
      <c r="F1370" t="s">
        <v>49</v>
      </c>
      <c r="G1370" t="s">
        <v>47</v>
      </c>
      <c r="H1370" t="s">
        <v>1410</v>
      </c>
    </row>
    <row r="1371" spans="1:8" x14ac:dyDescent="0.3">
      <c r="A1371" s="6">
        <v>17</v>
      </c>
      <c r="B1371" t="s">
        <v>797</v>
      </c>
      <c r="C1371" s="9" t="s">
        <v>932</v>
      </c>
      <c r="D1371" s="9">
        <v>18</v>
      </c>
      <c r="E1371" s="9" t="s">
        <v>1804</v>
      </c>
      <c r="F1371" t="s">
        <v>155</v>
      </c>
      <c r="G1371" t="s">
        <v>118</v>
      </c>
      <c r="H1371" t="s">
        <v>1415</v>
      </c>
    </row>
    <row r="1372" spans="1:8" x14ac:dyDescent="0.3">
      <c r="A1372" s="6">
        <v>17</v>
      </c>
      <c r="B1372" t="s">
        <v>797</v>
      </c>
      <c r="C1372" s="9" t="s">
        <v>932</v>
      </c>
      <c r="D1372" s="9">
        <v>18</v>
      </c>
      <c r="E1372" s="9" t="s">
        <v>1804</v>
      </c>
      <c r="F1372" t="s">
        <v>246</v>
      </c>
      <c r="G1372" t="s">
        <v>51</v>
      </c>
      <c r="H1372" t="s">
        <v>1596</v>
      </c>
    </row>
    <row r="1373" spans="1:8" x14ac:dyDescent="0.3">
      <c r="A1373" s="6">
        <v>17</v>
      </c>
      <c r="B1373" t="s">
        <v>797</v>
      </c>
      <c r="C1373" s="9" t="s">
        <v>932</v>
      </c>
      <c r="D1373" s="9">
        <v>24</v>
      </c>
      <c r="E1373" s="9" t="s">
        <v>1804</v>
      </c>
      <c r="F1373" t="s">
        <v>799</v>
      </c>
      <c r="G1373" t="s">
        <v>51</v>
      </c>
      <c r="H1373" t="s">
        <v>1597</v>
      </c>
    </row>
    <row r="1374" spans="1:8" x14ac:dyDescent="0.3">
      <c r="A1374" s="6">
        <v>17</v>
      </c>
      <c r="B1374" t="s">
        <v>797</v>
      </c>
      <c r="C1374" s="9" t="s">
        <v>932</v>
      </c>
      <c r="D1374" s="9">
        <v>14</v>
      </c>
      <c r="E1374" s="9" t="s">
        <v>1804</v>
      </c>
      <c r="F1374" t="s">
        <v>262</v>
      </c>
      <c r="G1374" t="s">
        <v>263</v>
      </c>
      <c r="H1374" t="s">
        <v>989</v>
      </c>
    </row>
    <row r="1375" spans="1:8" x14ac:dyDescent="0.3">
      <c r="A1375" s="6">
        <v>17</v>
      </c>
      <c r="B1375" t="s">
        <v>797</v>
      </c>
      <c r="C1375" s="9" t="s">
        <v>932</v>
      </c>
      <c r="D1375" s="9">
        <v>15</v>
      </c>
      <c r="E1375" s="9" t="s">
        <v>1804</v>
      </c>
      <c r="F1375" t="s">
        <v>443</v>
      </c>
      <c r="G1375" t="s">
        <v>444</v>
      </c>
      <c r="H1375" t="s">
        <v>1649</v>
      </c>
    </row>
    <row r="1376" spans="1:8" x14ac:dyDescent="0.3">
      <c r="A1376" s="6">
        <v>17</v>
      </c>
      <c r="B1376" t="s">
        <v>797</v>
      </c>
      <c r="C1376" s="9" t="s">
        <v>1807</v>
      </c>
      <c r="D1376" s="9">
        <v>1050</v>
      </c>
      <c r="E1376" s="9" t="s">
        <v>1808</v>
      </c>
      <c r="F1376" t="s">
        <v>291</v>
      </c>
      <c r="G1376" t="s">
        <v>292</v>
      </c>
      <c r="H1376" t="s">
        <v>1678</v>
      </c>
    </row>
    <row r="1377" spans="1:8" x14ac:dyDescent="0.3">
      <c r="A1377" s="6">
        <v>17</v>
      </c>
      <c r="B1377" t="s">
        <v>797</v>
      </c>
      <c r="C1377" s="9" t="s">
        <v>1807</v>
      </c>
      <c r="D1377" s="9">
        <v>750</v>
      </c>
      <c r="E1377" s="9" t="s">
        <v>1808</v>
      </c>
      <c r="F1377" t="s">
        <v>456</v>
      </c>
      <c r="G1377" t="s">
        <v>292</v>
      </c>
      <c r="H1377" t="s">
        <v>1679</v>
      </c>
    </row>
    <row r="1378" spans="1:8" x14ac:dyDescent="0.3">
      <c r="A1378" s="6">
        <v>17</v>
      </c>
      <c r="B1378" t="s">
        <v>797</v>
      </c>
      <c r="C1378" s="9" t="s">
        <v>932</v>
      </c>
      <c r="D1378" s="9">
        <v>12</v>
      </c>
      <c r="E1378" s="9" t="s">
        <v>1804</v>
      </c>
      <c r="F1378" t="s">
        <v>294</v>
      </c>
      <c r="G1378" t="s">
        <v>295</v>
      </c>
      <c r="H1378" t="s">
        <v>1680</v>
      </c>
    </row>
    <row r="1379" spans="1:8" x14ac:dyDescent="0.3">
      <c r="A1379" s="6">
        <v>17</v>
      </c>
      <c r="B1379" t="s">
        <v>797</v>
      </c>
      <c r="C1379" s="9" t="s">
        <v>932</v>
      </c>
      <c r="D1379" s="9">
        <v>15</v>
      </c>
      <c r="E1379" s="9" t="s">
        <v>1804</v>
      </c>
      <c r="F1379" t="s">
        <v>62</v>
      </c>
      <c r="G1379" t="s">
        <v>63</v>
      </c>
      <c r="H1379" t="s">
        <v>1103</v>
      </c>
    </row>
    <row r="1380" spans="1:8" x14ac:dyDescent="0.3">
      <c r="A1380" s="6">
        <v>17</v>
      </c>
      <c r="B1380" t="s">
        <v>797</v>
      </c>
      <c r="C1380" s="9" t="s">
        <v>1807</v>
      </c>
      <c r="D1380" s="9">
        <v>420</v>
      </c>
      <c r="E1380" s="9" t="s">
        <v>1808</v>
      </c>
      <c r="F1380" t="s">
        <v>68</v>
      </c>
      <c r="G1380" t="s">
        <v>69</v>
      </c>
      <c r="H1380" t="s">
        <v>1551</v>
      </c>
    </row>
    <row r="1381" spans="1:8" x14ac:dyDescent="0.3">
      <c r="A1381" s="6">
        <v>17</v>
      </c>
      <c r="B1381" t="s">
        <v>797</v>
      </c>
      <c r="C1381" s="9" t="s">
        <v>1807</v>
      </c>
      <c r="D1381" s="9">
        <v>770</v>
      </c>
      <c r="E1381" s="9" t="s">
        <v>1808</v>
      </c>
      <c r="F1381" t="s">
        <v>71</v>
      </c>
      <c r="G1381" t="s">
        <v>72</v>
      </c>
      <c r="H1381" t="s">
        <v>1565</v>
      </c>
    </row>
    <row r="1382" spans="1:8" x14ac:dyDescent="0.3">
      <c r="A1382" s="6">
        <v>17</v>
      </c>
      <c r="B1382" t="s">
        <v>797</v>
      </c>
      <c r="C1382" s="9" t="s">
        <v>932</v>
      </c>
      <c r="D1382" s="9">
        <v>12</v>
      </c>
      <c r="E1382" s="9" t="s">
        <v>1804</v>
      </c>
      <c r="F1382" t="s">
        <v>578</v>
      </c>
      <c r="G1382" t="s">
        <v>376</v>
      </c>
      <c r="H1382" t="s">
        <v>1577</v>
      </c>
    </row>
    <row r="1383" spans="1:8" x14ac:dyDescent="0.3">
      <c r="A1383" s="6">
        <v>17</v>
      </c>
      <c r="B1383" t="s">
        <v>797</v>
      </c>
      <c r="C1383" s="9" t="s">
        <v>1807</v>
      </c>
      <c r="D1383" s="9">
        <v>398</v>
      </c>
      <c r="E1383" s="9" t="s">
        <v>1808</v>
      </c>
      <c r="F1383" t="s">
        <v>318</v>
      </c>
      <c r="G1383" t="s">
        <v>76</v>
      </c>
      <c r="H1383" t="s">
        <v>1578</v>
      </c>
    </row>
    <row r="1384" spans="1:8" x14ac:dyDescent="0.3">
      <c r="A1384" s="6">
        <v>17</v>
      </c>
      <c r="B1384" t="s">
        <v>797</v>
      </c>
      <c r="C1384" s="9" t="s">
        <v>1807</v>
      </c>
      <c r="D1384" s="9">
        <v>698</v>
      </c>
      <c r="E1384" s="9" t="s">
        <v>1808</v>
      </c>
      <c r="F1384" t="s">
        <v>485</v>
      </c>
      <c r="G1384" t="s">
        <v>76</v>
      </c>
      <c r="H1384" t="s">
        <v>1579</v>
      </c>
    </row>
    <row r="1385" spans="1:8" x14ac:dyDescent="0.3">
      <c r="A1385" s="6">
        <v>17</v>
      </c>
      <c r="B1385" t="s">
        <v>797</v>
      </c>
      <c r="C1385" s="9" t="s">
        <v>932</v>
      </c>
      <c r="D1385" s="9">
        <v>24</v>
      </c>
      <c r="E1385" s="9" t="s">
        <v>1804</v>
      </c>
      <c r="F1385" t="s">
        <v>319</v>
      </c>
      <c r="G1385" t="s">
        <v>320</v>
      </c>
      <c r="H1385" t="s">
        <v>1245</v>
      </c>
    </row>
    <row r="1386" spans="1:8" x14ac:dyDescent="0.3">
      <c r="A1386" s="6">
        <v>17</v>
      </c>
      <c r="B1386" t="s">
        <v>797</v>
      </c>
      <c r="C1386" s="9" t="s">
        <v>932</v>
      </c>
      <c r="D1386" s="9">
        <v>24</v>
      </c>
      <c r="E1386" s="9" t="s">
        <v>1804</v>
      </c>
      <c r="F1386" t="s">
        <v>322</v>
      </c>
      <c r="G1386" t="s">
        <v>320</v>
      </c>
      <c r="H1386" t="s">
        <v>1246</v>
      </c>
    </row>
    <row r="1387" spans="1:8" x14ac:dyDescent="0.3">
      <c r="A1387" s="6">
        <v>17</v>
      </c>
      <c r="B1387" t="s">
        <v>797</v>
      </c>
      <c r="C1387" s="9" t="s">
        <v>1809</v>
      </c>
      <c r="D1387" s="9">
        <v>60</v>
      </c>
      <c r="E1387" s="9" t="s">
        <v>1804</v>
      </c>
      <c r="F1387" t="s">
        <v>78</v>
      </c>
      <c r="G1387" t="s">
        <v>1810</v>
      </c>
      <c r="H1387" t="s">
        <v>1811</v>
      </c>
    </row>
    <row r="1388" spans="1:8" x14ac:dyDescent="0.3">
      <c r="A1388" s="6">
        <v>17</v>
      </c>
      <c r="B1388" t="s">
        <v>797</v>
      </c>
      <c r="C1388" s="9" t="s">
        <v>963</v>
      </c>
      <c r="D1388" s="9">
        <v>60</v>
      </c>
      <c r="E1388" s="9" t="s">
        <v>1804</v>
      </c>
      <c r="F1388" t="s">
        <v>800</v>
      </c>
      <c r="G1388" t="s">
        <v>1852</v>
      </c>
      <c r="H1388" t="s">
        <v>1853</v>
      </c>
    </row>
    <row r="1389" spans="1:8" x14ac:dyDescent="0.3">
      <c r="A1389" s="6">
        <v>17</v>
      </c>
      <c r="B1389" t="s">
        <v>797</v>
      </c>
      <c r="C1389" s="9" t="s">
        <v>963</v>
      </c>
      <c r="D1389" s="9">
        <v>60</v>
      </c>
      <c r="E1389" s="9" t="s">
        <v>1804</v>
      </c>
      <c r="F1389" t="s">
        <v>79</v>
      </c>
      <c r="G1389" t="s">
        <v>80</v>
      </c>
      <c r="H1389" t="s">
        <v>1416</v>
      </c>
    </row>
    <row r="1390" spans="1:8" x14ac:dyDescent="0.3">
      <c r="A1390" s="6">
        <v>17</v>
      </c>
      <c r="B1390" t="s">
        <v>797</v>
      </c>
      <c r="C1390" s="9" t="s">
        <v>963</v>
      </c>
      <c r="D1390" s="9">
        <v>60</v>
      </c>
      <c r="E1390" s="9" t="s">
        <v>1804</v>
      </c>
      <c r="F1390" t="s">
        <v>612</v>
      </c>
      <c r="G1390" t="s">
        <v>613</v>
      </c>
      <c r="H1390" t="s">
        <v>1343</v>
      </c>
    </row>
    <row r="1391" spans="1:8" x14ac:dyDescent="0.3">
      <c r="A1391" s="6">
        <v>17</v>
      </c>
      <c r="B1391" t="s">
        <v>797</v>
      </c>
      <c r="C1391" s="9" t="s">
        <v>963</v>
      </c>
      <c r="D1391" s="9">
        <v>73</v>
      </c>
      <c r="E1391" s="9" t="s">
        <v>1804</v>
      </c>
      <c r="F1391" t="s">
        <v>90</v>
      </c>
      <c r="G1391" t="s">
        <v>15</v>
      </c>
      <c r="H1391" t="s">
        <v>1351</v>
      </c>
    </row>
    <row r="1392" spans="1:8" x14ac:dyDescent="0.3">
      <c r="A1392" s="6">
        <v>17</v>
      </c>
      <c r="B1392" t="s">
        <v>797</v>
      </c>
      <c r="C1392" s="9" t="s">
        <v>963</v>
      </c>
      <c r="D1392" s="9">
        <v>77</v>
      </c>
      <c r="E1392" s="9" t="s">
        <v>1804</v>
      </c>
      <c r="F1392" t="s">
        <v>91</v>
      </c>
      <c r="G1392" t="s">
        <v>92</v>
      </c>
      <c r="H1392" t="s">
        <v>1353</v>
      </c>
    </row>
    <row r="1393" spans="1:8" x14ac:dyDescent="0.3">
      <c r="A1393" s="6">
        <v>17</v>
      </c>
      <c r="B1393" t="s">
        <v>797</v>
      </c>
      <c r="C1393" s="9" t="s">
        <v>963</v>
      </c>
      <c r="D1393" s="9">
        <v>72</v>
      </c>
      <c r="E1393" s="9" t="s">
        <v>1804</v>
      </c>
      <c r="F1393" t="s">
        <v>101</v>
      </c>
      <c r="G1393" t="s">
        <v>102</v>
      </c>
      <c r="H1393" t="s">
        <v>1365</v>
      </c>
    </row>
    <row r="1394" spans="1:8" x14ac:dyDescent="0.3">
      <c r="A1394" s="6">
        <v>17</v>
      </c>
      <c r="B1394" t="s">
        <v>797</v>
      </c>
      <c r="C1394" s="9" t="s">
        <v>963</v>
      </c>
      <c r="D1394" s="9">
        <v>60</v>
      </c>
      <c r="E1394" s="9" t="s">
        <v>1804</v>
      </c>
      <c r="F1394" t="s">
        <v>400</v>
      </c>
      <c r="G1394" t="s">
        <v>401</v>
      </c>
      <c r="H1394" t="s">
        <v>1185</v>
      </c>
    </row>
    <row r="1395" spans="1:8" x14ac:dyDescent="0.3">
      <c r="A1395" s="6">
        <v>17</v>
      </c>
      <c r="B1395" t="s">
        <v>797</v>
      </c>
      <c r="C1395" s="9" t="s">
        <v>963</v>
      </c>
      <c r="D1395" s="9">
        <v>60</v>
      </c>
      <c r="E1395" s="9" t="s">
        <v>1804</v>
      </c>
      <c r="F1395" t="s">
        <v>167</v>
      </c>
      <c r="G1395" t="s">
        <v>168</v>
      </c>
      <c r="H1395" t="s">
        <v>1533</v>
      </c>
    </row>
    <row r="1396" spans="1:8" x14ac:dyDescent="0.3">
      <c r="A1396" s="6">
        <v>17</v>
      </c>
      <c r="B1396" t="s">
        <v>797</v>
      </c>
      <c r="C1396" s="9" t="s">
        <v>963</v>
      </c>
      <c r="D1396" s="9">
        <v>60</v>
      </c>
      <c r="E1396" s="9" t="s">
        <v>1804</v>
      </c>
      <c r="F1396" t="s">
        <v>170</v>
      </c>
      <c r="G1396" t="s">
        <v>171</v>
      </c>
      <c r="H1396" t="s">
        <v>1535</v>
      </c>
    </row>
    <row r="1397" spans="1:8" x14ac:dyDescent="0.3">
      <c r="A1397" s="6">
        <v>17</v>
      </c>
      <c r="B1397" t="s">
        <v>797</v>
      </c>
      <c r="C1397" s="9" t="s">
        <v>963</v>
      </c>
      <c r="D1397" s="9">
        <v>60</v>
      </c>
      <c r="E1397" s="9" t="s">
        <v>1804</v>
      </c>
      <c r="F1397" t="s">
        <v>686</v>
      </c>
      <c r="G1397" t="s">
        <v>115</v>
      </c>
      <c r="H1397" t="s">
        <v>1536</v>
      </c>
    </row>
    <row r="1398" spans="1:8" x14ac:dyDescent="0.3">
      <c r="A1398" s="6">
        <v>17</v>
      </c>
      <c r="B1398" t="s">
        <v>797</v>
      </c>
      <c r="C1398" s="9" t="s">
        <v>963</v>
      </c>
      <c r="D1398" s="9">
        <v>60</v>
      </c>
      <c r="E1398" s="9" t="s">
        <v>1804</v>
      </c>
      <c r="F1398" t="s">
        <v>106</v>
      </c>
      <c r="G1398" t="s">
        <v>32</v>
      </c>
      <c r="H1398" t="s">
        <v>1537</v>
      </c>
    </row>
    <row r="1399" spans="1:8" x14ac:dyDescent="0.3">
      <c r="A1399" s="6">
        <v>17</v>
      </c>
      <c r="B1399" t="s">
        <v>797</v>
      </c>
      <c r="C1399" s="9" t="s">
        <v>963</v>
      </c>
      <c r="D1399" s="9">
        <v>60</v>
      </c>
      <c r="E1399" s="9" t="s">
        <v>1804</v>
      </c>
      <c r="F1399" t="s">
        <v>656</v>
      </c>
      <c r="G1399" t="s">
        <v>504</v>
      </c>
      <c r="H1399" t="s">
        <v>1538</v>
      </c>
    </row>
    <row r="1400" spans="1:8" x14ac:dyDescent="0.3">
      <c r="A1400" s="6">
        <v>17</v>
      </c>
      <c r="B1400" t="s">
        <v>797</v>
      </c>
      <c r="C1400" s="9" t="s">
        <v>963</v>
      </c>
      <c r="D1400" s="9">
        <v>60</v>
      </c>
      <c r="E1400" s="9" t="s">
        <v>1804</v>
      </c>
      <c r="F1400" t="s">
        <v>725</v>
      </c>
      <c r="G1400" t="s">
        <v>504</v>
      </c>
      <c r="H1400" t="s">
        <v>1539</v>
      </c>
    </row>
    <row r="1401" spans="1:8" x14ac:dyDescent="0.3">
      <c r="A1401" s="6">
        <v>17</v>
      </c>
      <c r="B1401" t="s">
        <v>797</v>
      </c>
      <c r="C1401" s="9" t="s">
        <v>963</v>
      </c>
      <c r="D1401" s="9">
        <v>60</v>
      </c>
      <c r="E1401" s="9" t="s">
        <v>1804</v>
      </c>
      <c r="F1401" t="s">
        <v>107</v>
      </c>
      <c r="G1401" t="s">
        <v>108</v>
      </c>
      <c r="H1401" t="s">
        <v>1140</v>
      </c>
    </row>
    <row r="1402" spans="1:8" x14ac:dyDescent="0.3">
      <c r="A1402" s="6">
        <v>17</v>
      </c>
      <c r="B1402" t="s">
        <v>797</v>
      </c>
      <c r="C1402" s="9" t="s">
        <v>963</v>
      </c>
      <c r="D1402" s="9">
        <v>60</v>
      </c>
      <c r="E1402" s="9" t="s">
        <v>1804</v>
      </c>
      <c r="F1402" t="s">
        <v>351</v>
      </c>
      <c r="G1402" t="s">
        <v>38</v>
      </c>
      <c r="H1402" t="s">
        <v>1142</v>
      </c>
    </row>
    <row r="1403" spans="1:8" x14ac:dyDescent="0.3">
      <c r="A1403" s="6">
        <v>17</v>
      </c>
      <c r="B1403" t="s">
        <v>797</v>
      </c>
      <c r="C1403" s="9" t="s">
        <v>963</v>
      </c>
      <c r="D1403" s="9">
        <v>60</v>
      </c>
      <c r="E1403" s="9" t="s">
        <v>1804</v>
      </c>
      <c r="F1403" t="s">
        <v>110</v>
      </c>
      <c r="G1403" t="s">
        <v>41</v>
      </c>
      <c r="H1403" t="s">
        <v>1144</v>
      </c>
    </row>
    <row r="1404" spans="1:8" x14ac:dyDescent="0.3">
      <c r="A1404" s="6">
        <v>17</v>
      </c>
      <c r="B1404" t="s">
        <v>797</v>
      </c>
      <c r="C1404" s="9" t="s">
        <v>963</v>
      </c>
      <c r="D1404" s="9">
        <v>66</v>
      </c>
      <c r="E1404" s="9" t="s">
        <v>1804</v>
      </c>
      <c r="F1404" t="s">
        <v>353</v>
      </c>
      <c r="G1404" t="s">
        <v>354</v>
      </c>
      <c r="H1404" t="s">
        <v>1020</v>
      </c>
    </row>
    <row r="1405" spans="1:8" x14ac:dyDescent="0.3">
      <c r="A1405" s="6">
        <v>17</v>
      </c>
      <c r="B1405" t="s">
        <v>797</v>
      </c>
      <c r="C1405" s="9" t="s">
        <v>963</v>
      </c>
      <c r="D1405" s="9">
        <v>60</v>
      </c>
      <c r="E1405" s="9" t="s">
        <v>1804</v>
      </c>
      <c r="F1405" t="s">
        <v>114</v>
      </c>
      <c r="G1405" t="s">
        <v>115</v>
      </c>
      <c r="H1405" t="s">
        <v>1121</v>
      </c>
    </row>
    <row r="1406" spans="1:8" x14ac:dyDescent="0.3">
      <c r="A1406" s="6">
        <v>17</v>
      </c>
      <c r="B1406" t="s">
        <v>797</v>
      </c>
      <c r="C1406" s="9" t="s">
        <v>963</v>
      </c>
      <c r="D1406" s="9">
        <v>64</v>
      </c>
      <c r="E1406" s="9" t="s">
        <v>1804</v>
      </c>
      <c r="F1406" t="s">
        <v>583</v>
      </c>
      <c r="G1406" t="s">
        <v>238</v>
      </c>
      <c r="H1406" t="s">
        <v>1122</v>
      </c>
    </row>
    <row r="1407" spans="1:8" x14ac:dyDescent="0.3">
      <c r="A1407" s="6">
        <v>17</v>
      </c>
      <c r="B1407" t="s">
        <v>797</v>
      </c>
      <c r="C1407" s="9" t="s">
        <v>963</v>
      </c>
      <c r="D1407" s="9">
        <v>60</v>
      </c>
      <c r="E1407" s="9" t="s">
        <v>1804</v>
      </c>
      <c r="F1407" t="s">
        <v>120</v>
      </c>
      <c r="G1407" t="s">
        <v>51</v>
      </c>
      <c r="H1407" t="s">
        <v>1590</v>
      </c>
    </row>
    <row r="1408" spans="1:8" x14ac:dyDescent="0.3">
      <c r="A1408" s="6">
        <v>17</v>
      </c>
      <c r="B1408" t="s">
        <v>797</v>
      </c>
      <c r="C1408" s="9" t="s">
        <v>963</v>
      </c>
      <c r="D1408" s="9">
        <v>62</v>
      </c>
      <c r="E1408" s="9" t="s">
        <v>1804</v>
      </c>
      <c r="F1408" t="s">
        <v>769</v>
      </c>
      <c r="G1408" t="s">
        <v>470</v>
      </c>
      <c r="H1408" t="s">
        <v>1792</v>
      </c>
    </row>
    <row r="1409" spans="1:8" x14ac:dyDescent="0.3">
      <c r="A1409" s="6">
        <v>17</v>
      </c>
      <c r="B1409" t="s">
        <v>797</v>
      </c>
      <c r="C1409" s="9" t="s">
        <v>963</v>
      </c>
      <c r="D1409" s="9">
        <v>68</v>
      </c>
      <c r="E1409" s="9" t="s">
        <v>1804</v>
      </c>
      <c r="F1409" t="s">
        <v>472</v>
      </c>
      <c r="G1409" t="s">
        <v>473</v>
      </c>
      <c r="H1409" t="s">
        <v>1686</v>
      </c>
    </row>
    <row r="1410" spans="1:8" x14ac:dyDescent="0.3">
      <c r="A1410" s="6">
        <v>17</v>
      </c>
      <c r="B1410" t="s">
        <v>797</v>
      </c>
      <c r="C1410" s="9" t="s">
        <v>963</v>
      </c>
      <c r="D1410" s="9">
        <v>62</v>
      </c>
      <c r="E1410" s="9" t="s">
        <v>1804</v>
      </c>
      <c r="F1410" t="s">
        <v>405</v>
      </c>
      <c r="G1410" t="s">
        <v>260</v>
      </c>
      <c r="H1410" t="s">
        <v>1022</v>
      </c>
    </row>
    <row r="1411" spans="1:8" x14ac:dyDescent="0.3">
      <c r="A1411" s="6">
        <v>17</v>
      </c>
      <c r="B1411" t="s">
        <v>797</v>
      </c>
      <c r="C1411" s="9" t="s">
        <v>963</v>
      </c>
      <c r="D1411" s="9">
        <v>64</v>
      </c>
      <c r="E1411" s="9" t="s">
        <v>1804</v>
      </c>
      <c r="F1411" t="s">
        <v>121</v>
      </c>
      <c r="G1411" t="s">
        <v>122</v>
      </c>
      <c r="H1411" t="s">
        <v>1125</v>
      </c>
    </row>
    <row r="1412" spans="1:8" x14ac:dyDescent="0.3">
      <c r="A1412" s="6">
        <v>17</v>
      </c>
      <c r="B1412" t="s">
        <v>797</v>
      </c>
      <c r="C1412" s="9" t="s">
        <v>963</v>
      </c>
      <c r="D1412" s="9">
        <v>64</v>
      </c>
      <c r="E1412" s="9" t="s">
        <v>1804</v>
      </c>
      <c r="F1412" t="s">
        <v>478</v>
      </c>
      <c r="G1412" t="s">
        <v>479</v>
      </c>
      <c r="H1412" t="s">
        <v>1128</v>
      </c>
    </row>
    <row r="1413" spans="1:8" x14ac:dyDescent="0.3">
      <c r="A1413" s="6">
        <v>17</v>
      </c>
      <c r="B1413" t="s">
        <v>797</v>
      </c>
      <c r="C1413" s="9" t="s">
        <v>963</v>
      </c>
      <c r="D1413" s="9">
        <v>60</v>
      </c>
      <c r="E1413" s="9" t="s">
        <v>1804</v>
      </c>
      <c r="F1413" t="s">
        <v>367</v>
      </c>
      <c r="G1413" t="s">
        <v>368</v>
      </c>
      <c r="H1413" t="s">
        <v>1688</v>
      </c>
    </row>
    <row r="1414" spans="1:8" x14ac:dyDescent="0.3">
      <c r="A1414" s="6">
        <v>17</v>
      </c>
      <c r="B1414" t="s">
        <v>797</v>
      </c>
      <c r="C1414" s="9" t="s">
        <v>963</v>
      </c>
      <c r="D1414" s="9">
        <v>64</v>
      </c>
      <c r="E1414" s="9" t="s">
        <v>1804</v>
      </c>
      <c r="F1414" t="s">
        <v>125</v>
      </c>
      <c r="G1414" t="s">
        <v>126</v>
      </c>
      <c r="H1414" t="s">
        <v>1581</v>
      </c>
    </row>
    <row r="1415" spans="1:8" x14ac:dyDescent="0.3">
      <c r="A1415" s="6">
        <v>17</v>
      </c>
      <c r="B1415" t="s">
        <v>797</v>
      </c>
      <c r="C1415" s="9" t="s">
        <v>963</v>
      </c>
      <c r="D1415" s="9">
        <v>60</v>
      </c>
      <c r="E1415" s="9" t="s">
        <v>1804</v>
      </c>
      <c r="F1415" t="s">
        <v>486</v>
      </c>
      <c r="G1415" t="s">
        <v>487</v>
      </c>
      <c r="H1415" t="s">
        <v>1196</v>
      </c>
    </row>
    <row r="1416" spans="1:8" x14ac:dyDescent="0.3">
      <c r="A1416" s="6">
        <v>17</v>
      </c>
      <c r="B1416" t="s">
        <v>797</v>
      </c>
      <c r="C1416" s="9" t="s">
        <v>963</v>
      </c>
      <c r="D1416" s="9">
        <v>60</v>
      </c>
      <c r="E1416" s="9" t="s">
        <v>1804</v>
      </c>
      <c r="F1416" t="s">
        <v>128</v>
      </c>
      <c r="G1416" t="s">
        <v>129</v>
      </c>
      <c r="H1416" t="s">
        <v>1582</v>
      </c>
    </row>
    <row r="1417" spans="1:8" x14ac:dyDescent="0.3">
      <c r="A1417" s="6">
        <v>17</v>
      </c>
      <c r="B1417" t="s">
        <v>797</v>
      </c>
      <c r="C1417" s="9" t="s">
        <v>963</v>
      </c>
      <c r="D1417" s="9">
        <v>60</v>
      </c>
      <c r="E1417" s="9" t="s">
        <v>1804</v>
      </c>
      <c r="F1417" t="s">
        <v>375</v>
      </c>
      <c r="G1417" t="s">
        <v>376</v>
      </c>
      <c r="H1417" t="s">
        <v>1586</v>
      </c>
    </row>
    <row r="1418" spans="1:8" x14ac:dyDescent="0.3">
      <c r="A1418" s="6">
        <v>17</v>
      </c>
      <c r="B1418" t="s">
        <v>797</v>
      </c>
      <c r="C1418" s="9" t="s">
        <v>963</v>
      </c>
      <c r="D1418" s="9">
        <v>60</v>
      </c>
      <c r="E1418" s="9" t="s">
        <v>1804</v>
      </c>
      <c r="F1418" t="s">
        <v>378</v>
      </c>
      <c r="G1418" t="s">
        <v>320</v>
      </c>
      <c r="H1418" t="s">
        <v>1247</v>
      </c>
    </row>
    <row r="1419" spans="1:8" x14ac:dyDescent="0.3">
      <c r="A1419" s="6">
        <v>18</v>
      </c>
      <c r="B1419" t="s">
        <v>770</v>
      </c>
      <c r="C1419" s="9" t="s">
        <v>932</v>
      </c>
      <c r="D1419" s="9">
        <v>12</v>
      </c>
      <c r="E1419" s="9" t="s">
        <v>1804</v>
      </c>
      <c r="F1419" t="s">
        <v>530</v>
      </c>
      <c r="G1419" t="s">
        <v>531</v>
      </c>
      <c r="H1419" t="s">
        <v>938</v>
      </c>
    </row>
    <row r="1420" spans="1:8" x14ac:dyDescent="0.3">
      <c r="A1420" s="6">
        <v>18</v>
      </c>
      <c r="B1420" t="s">
        <v>770</v>
      </c>
      <c r="C1420" s="9" t="s">
        <v>932</v>
      </c>
      <c r="D1420" s="9">
        <v>18</v>
      </c>
      <c r="E1420" s="9" t="s">
        <v>1804</v>
      </c>
      <c r="F1420" t="s">
        <v>533</v>
      </c>
      <c r="G1420" t="s">
        <v>531</v>
      </c>
      <c r="H1420" t="s">
        <v>939</v>
      </c>
    </row>
    <row r="1421" spans="1:8" x14ac:dyDescent="0.3">
      <c r="A1421" s="6">
        <v>18</v>
      </c>
      <c r="B1421" t="s">
        <v>770</v>
      </c>
      <c r="C1421" s="9" t="s">
        <v>932</v>
      </c>
      <c r="D1421" s="9">
        <v>30</v>
      </c>
      <c r="E1421" s="9" t="s">
        <v>1804</v>
      </c>
      <c r="F1421" t="s">
        <v>534</v>
      </c>
      <c r="G1421" t="s">
        <v>531</v>
      </c>
      <c r="H1421" t="s">
        <v>940</v>
      </c>
    </row>
    <row r="1422" spans="1:8" x14ac:dyDescent="0.3">
      <c r="A1422" s="6">
        <v>18</v>
      </c>
      <c r="B1422" t="s">
        <v>770</v>
      </c>
      <c r="C1422" s="9" t="s">
        <v>932</v>
      </c>
      <c r="D1422" s="9">
        <v>12</v>
      </c>
      <c r="E1422" s="9" t="s">
        <v>1804</v>
      </c>
      <c r="F1422" t="s">
        <v>143</v>
      </c>
      <c r="G1422" t="s">
        <v>144</v>
      </c>
      <c r="H1422" t="s">
        <v>1694</v>
      </c>
    </row>
    <row r="1423" spans="1:8" x14ac:dyDescent="0.3">
      <c r="A1423" s="6">
        <v>18</v>
      </c>
      <c r="B1423" t="s">
        <v>770</v>
      </c>
      <c r="C1423" s="9" t="s">
        <v>932</v>
      </c>
      <c r="D1423" s="9">
        <v>12</v>
      </c>
      <c r="E1423" s="9" t="s">
        <v>1804</v>
      </c>
      <c r="F1423" t="s">
        <v>771</v>
      </c>
      <c r="G1423" t="s">
        <v>382</v>
      </c>
      <c r="H1423" t="s">
        <v>1232</v>
      </c>
    </row>
    <row r="1424" spans="1:8" x14ac:dyDescent="0.3">
      <c r="A1424" s="6">
        <v>18</v>
      </c>
      <c r="B1424" t="s">
        <v>770</v>
      </c>
      <c r="C1424" s="9" t="s">
        <v>932</v>
      </c>
      <c r="D1424" s="9">
        <v>30</v>
      </c>
      <c r="E1424" s="9" t="s">
        <v>1804</v>
      </c>
      <c r="F1424" t="s">
        <v>146</v>
      </c>
      <c r="G1424" t="s">
        <v>147</v>
      </c>
      <c r="H1424" t="s">
        <v>1377</v>
      </c>
    </row>
    <row r="1425" spans="1:8" x14ac:dyDescent="0.3">
      <c r="A1425" s="6">
        <v>18</v>
      </c>
      <c r="B1425" t="s">
        <v>770</v>
      </c>
      <c r="C1425" s="9" t="s">
        <v>932</v>
      </c>
      <c r="D1425" s="9">
        <v>30</v>
      </c>
      <c r="E1425" s="9" t="s">
        <v>1804</v>
      </c>
      <c r="F1425" t="s">
        <v>176</v>
      </c>
      <c r="G1425" t="s">
        <v>177</v>
      </c>
      <c r="H1425" t="s">
        <v>1381</v>
      </c>
    </row>
    <row r="1426" spans="1:8" x14ac:dyDescent="0.3">
      <c r="A1426" s="6">
        <v>18</v>
      </c>
      <c r="B1426" t="s">
        <v>770</v>
      </c>
      <c r="C1426" s="9" t="s">
        <v>1807</v>
      </c>
      <c r="D1426" s="9">
        <v>45</v>
      </c>
      <c r="E1426" s="9" t="s">
        <v>1808</v>
      </c>
      <c r="F1426" t="s">
        <v>772</v>
      </c>
      <c r="G1426" t="s">
        <v>180</v>
      </c>
      <c r="H1426" t="s">
        <v>1697</v>
      </c>
    </row>
    <row r="1427" spans="1:8" x14ac:dyDescent="0.3">
      <c r="A1427" s="6">
        <v>18</v>
      </c>
      <c r="B1427" t="s">
        <v>770</v>
      </c>
      <c r="C1427" s="9" t="s">
        <v>1807</v>
      </c>
      <c r="D1427" s="9">
        <v>200</v>
      </c>
      <c r="E1427" s="9" t="s">
        <v>1808</v>
      </c>
      <c r="F1427" t="s">
        <v>185</v>
      </c>
      <c r="G1427" t="s">
        <v>183</v>
      </c>
      <c r="H1427" t="s">
        <v>1233</v>
      </c>
    </row>
    <row r="1428" spans="1:8" x14ac:dyDescent="0.3">
      <c r="A1428" s="6">
        <v>18</v>
      </c>
      <c r="B1428" t="s">
        <v>770</v>
      </c>
      <c r="C1428" s="9" t="s">
        <v>1807</v>
      </c>
      <c r="D1428" s="9">
        <v>40</v>
      </c>
      <c r="E1428" s="9" t="s">
        <v>1808</v>
      </c>
      <c r="F1428" t="s">
        <v>186</v>
      </c>
      <c r="G1428" t="s">
        <v>183</v>
      </c>
      <c r="H1428" t="s">
        <v>1234</v>
      </c>
    </row>
    <row r="1429" spans="1:8" x14ac:dyDescent="0.3">
      <c r="A1429" s="6">
        <v>18</v>
      </c>
      <c r="B1429" t="s">
        <v>770</v>
      </c>
      <c r="C1429" s="9" t="s">
        <v>1807</v>
      </c>
      <c r="D1429" s="9">
        <v>60</v>
      </c>
      <c r="E1429" s="9" t="s">
        <v>1808</v>
      </c>
      <c r="F1429" t="s">
        <v>773</v>
      </c>
      <c r="G1429" t="s">
        <v>183</v>
      </c>
      <c r="H1429" t="s">
        <v>1236</v>
      </c>
    </row>
    <row r="1430" spans="1:8" x14ac:dyDescent="0.3">
      <c r="A1430" s="6">
        <v>18</v>
      </c>
      <c r="B1430" t="s">
        <v>770</v>
      </c>
      <c r="C1430" s="9" t="s">
        <v>932</v>
      </c>
      <c r="D1430" s="9">
        <v>30</v>
      </c>
      <c r="E1430" s="9" t="s">
        <v>1804</v>
      </c>
      <c r="F1430" t="s">
        <v>192</v>
      </c>
      <c r="G1430" t="s">
        <v>193</v>
      </c>
      <c r="H1430" t="s">
        <v>1252</v>
      </c>
    </row>
    <row r="1431" spans="1:8" x14ac:dyDescent="0.3">
      <c r="A1431" s="6">
        <v>18</v>
      </c>
      <c r="B1431" t="s">
        <v>770</v>
      </c>
      <c r="C1431" s="9" t="s">
        <v>1807</v>
      </c>
      <c r="D1431" s="9">
        <v>1230</v>
      </c>
      <c r="E1431" s="9" t="s">
        <v>1808</v>
      </c>
      <c r="F1431" t="s">
        <v>10</v>
      </c>
      <c r="G1431" t="s">
        <v>526</v>
      </c>
      <c r="H1431" t="s">
        <v>1812</v>
      </c>
    </row>
    <row r="1432" spans="1:8" x14ac:dyDescent="0.3">
      <c r="A1432" s="6">
        <v>18</v>
      </c>
      <c r="B1432" t="s">
        <v>770</v>
      </c>
      <c r="C1432" s="9" t="s">
        <v>1266</v>
      </c>
      <c r="D1432" s="9">
        <v>33</v>
      </c>
      <c r="E1432" s="9" t="s">
        <v>1804</v>
      </c>
      <c r="F1432" t="s">
        <v>774</v>
      </c>
      <c r="G1432" t="s">
        <v>196</v>
      </c>
      <c r="H1432" t="s">
        <v>1854</v>
      </c>
    </row>
    <row r="1433" spans="1:8" x14ac:dyDescent="0.3">
      <c r="A1433" s="6">
        <v>18</v>
      </c>
      <c r="B1433" t="s">
        <v>770</v>
      </c>
      <c r="C1433" s="9" t="s">
        <v>932</v>
      </c>
      <c r="D1433" s="9">
        <v>24</v>
      </c>
      <c r="E1433" s="9" t="s">
        <v>1804</v>
      </c>
      <c r="F1433" t="s">
        <v>195</v>
      </c>
      <c r="G1433" t="s">
        <v>196</v>
      </c>
      <c r="H1433" t="s">
        <v>1263</v>
      </c>
    </row>
    <row r="1434" spans="1:8" x14ac:dyDescent="0.3">
      <c r="A1434" s="6">
        <v>18</v>
      </c>
      <c r="B1434" t="s">
        <v>770</v>
      </c>
      <c r="C1434" s="9" t="s">
        <v>932</v>
      </c>
      <c r="D1434" s="9">
        <v>37</v>
      </c>
      <c r="E1434" s="9" t="s">
        <v>1804</v>
      </c>
      <c r="F1434" t="s">
        <v>198</v>
      </c>
      <c r="G1434" t="s">
        <v>196</v>
      </c>
      <c r="H1434" t="s">
        <v>1267</v>
      </c>
    </row>
    <row r="1435" spans="1:8" x14ac:dyDescent="0.3">
      <c r="A1435" s="6">
        <v>18</v>
      </c>
      <c r="B1435" t="s">
        <v>770</v>
      </c>
      <c r="C1435" s="9" t="s">
        <v>1807</v>
      </c>
      <c r="D1435" s="9">
        <v>1300</v>
      </c>
      <c r="E1435" s="9" t="s">
        <v>1808</v>
      </c>
      <c r="F1435" t="s">
        <v>199</v>
      </c>
      <c r="G1435" t="s">
        <v>200</v>
      </c>
      <c r="H1435" t="s">
        <v>1271</v>
      </c>
    </row>
    <row r="1436" spans="1:8" x14ac:dyDescent="0.3">
      <c r="A1436" s="6">
        <v>18</v>
      </c>
      <c r="B1436" t="s">
        <v>770</v>
      </c>
      <c r="C1436" s="9" t="s">
        <v>1266</v>
      </c>
      <c r="D1436" s="9">
        <v>11</v>
      </c>
      <c r="E1436" s="9" t="s">
        <v>1804</v>
      </c>
      <c r="F1436" t="s">
        <v>666</v>
      </c>
      <c r="G1436" t="s">
        <v>15</v>
      </c>
      <c r="H1436" t="s">
        <v>1855</v>
      </c>
    </row>
    <row r="1437" spans="1:8" x14ac:dyDescent="0.3">
      <c r="A1437" s="6">
        <v>18</v>
      </c>
      <c r="B1437" t="s">
        <v>770</v>
      </c>
      <c r="C1437" s="9" t="s">
        <v>932</v>
      </c>
      <c r="D1437" s="9">
        <v>42</v>
      </c>
      <c r="E1437" s="9" t="s">
        <v>1804</v>
      </c>
      <c r="F1437" t="s">
        <v>14</v>
      </c>
      <c r="G1437" t="s">
        <v>15</v>
      </c>
      <c r="H1437" t="s">
        <v>1290</v>
      </c>
    </row>
    <row r="1438" spans="1:8" x14ac:dyDescent="0.3">
      <c r="A1438" s="6">
        <v>18</v>
      </c>
      <c r="B1438" t="s">
        <v>770</v>
      </c>
      <c r="C1438" s="9" t="s">
        <v>932</v>
      </c>
      <c r="D1438" s="9">
        <v>12</v>
      </c>
      <c r="E1438" s="9" t="s">
        <v>1804</v>
      </c>
      <c r="F1438" t="s">
        <v>204</v>
      </c>
      <c r="G1438" t="s">
        <v>15</v>
      </c>
      <c r="H1438" t="s">
        <v>1292</v>
      </c>
    </row>
    <row r="1439" spans="1:8" x14ac:dyDescent="0.3">
      <c r="A1439" s="6">
        <v>18</v>
      </c>
      <c r="B1439" t="s">
        <v>770</v>
      </c>
      <c r="C1439" s="9" t="s">
        <v>1806</v>
      </c>
      <c r="D1439" s="9">
        <v>9</v>
      </c>
      <c r="E1439" s="9" t="s">
        <v>1804</v>
      </c>
      <c r="F1439" t="s">
        <v>775</v>
      </c>
      <c r="G1439" t="s">
        <v>92</v>
      </c>
      <c r="H1439" t="s">
        <v>1354</v>
      </c>
    </row>
    <row r="1440" spans="1:8" x14ac:dyDescent="0.3">
      <c r="A1440" s="6">
        <v>18</v>
      </c>
      <c r="B1440" t="s">
        <v>770</v>
      </c>
      <c r="C1440" s="9" t="s">
        <v>1806</v>
      </c>
      <c r="D1440" s="9">
        <v>9</v>
      </c>
      <c r="E1440" s="9" t="s">
        <v>1804</v>
      </c>
      <c r="F1440" t="s">
        <v>540</v>
      </c>
      <c r="G1440" t="s">
        <v>92</v>
      </c>
      <c r="H1440" t="s">
        <v>1353</v>
      </c>
    </row>
    <row r="1441" spans="1:8" x14ac:dyDescent="0.3">
      <c r="A1441" s="6">
        <v>18</v>
      </c>
      <c r="B1441" t="s">
        <v>770</v>
      </c>
      <c r="C1441" s="9" t="s">
        <v>1807</v>
      </c>
      <c r="D1441" s="9">
        <v>1330</v>
      </c>
      <c r="E1441" s="9" t="s">
        <v>1808</v>
      </c>
      <c r="F1441" t="s">
        <v>207</v>
      </c>
      <c r="G1441" t="s">
        <v>19</v>
      </c>
      <c r="H1441" t="s">
        <v>1301</v>
      </c>
    </row>
    <row r="1442" spans="1:8" x14ac:dyDescent="0.3">
      <c r="A1442" s="6">
        <v>18</v>
      </c>
      <c r="B1442" t="s">
        <v>770</v>
      </c>
      <c r="C1442" s="9" t="s">
        <v>932</v>
      </c>
      <c r="D1442" s="9">
        <v>47</v>
      </c>
      <c r="E1442" s="9" t="s">
        <v>1804</v>
      </c>
      <c r="F1442" t="s">
        <v>776</v>
      </c>
      <c r="G1442" t="s">
        <v>99</v>
      </c>
      <c r="H1442" t="s">
        <v>1303</v>
      </c>
    </row>
    <row r="1443" spans="1:8" x14ac:dyDescent="0.3">
      <c r="A1443" s="6">
        <v>18</v>
      </c>
      <c r="B1443" t="s">
        <v>770</v>
      </c>
      <c r="C1443" s="9" t="s">
        <v>1807</v>
      </c>
      <c r="D1443" s="9">
        <v>750</v>
      </c>
      <c r="E1443" s="9" t="s">
        <v>1808</v>
      </c>
      <c r="F1443" t="s">
        <v>211</v>
      </c>
      <c r="G1443" t="s">
        <v>212</v>
      </c>
      <c r="H1443" t="s">
        <v>1331</v>
      </c>
    </row>
    <row r="1444" spans="1:8" x14ac:dyDescent="0.3">
      <c r="A1444" s="6">
        <v>18</v>
      </c>
      <c r="B1444" t="s">
        <v>770</v>
      </c>
      <c r="C1444" s="9" t="s">
        <v>1807</v>
      </c>
      <c r="D1444" s="9">
        <v>1350</v>
      </c>
      <c r="E1444" s="9" t="s">
        <v>1808</v>
      </c>
      <c r="F1444" t="s">
        <v>413</v>
      </c>
      <c r="G1444" t="s">
        <v>414</v>
      </c>
      <c r="H1444" t="s">
        <v>1332</v>
      </c>
    </row>
    <row r="1445" spans="1:8" x14ac:dyDescent="0.3">
      <c r="A1445" s="6">
        <v>18</v>
      </c>
      <c r="B1445" t="s">
        <v>770</v>
      </c>
      <c r="C1445" s="9" t="s">
        <v>1807</v>
      </c>
      <c r="D1445" s="9">
        <v>290</v>
      </c>
      <c r="E1445" s="9" t="s">
        <v>1808</v>
      </c>
      <c r="F1445" t="s">
        <v>777</v>
      </c>
      <c r="G1445" t="s">
        <v>26</v>
      </c>
      <c r="H1445" t="s">
        <v>1334</v>
      </c>
    </row>
    <row r="1446" spans="1:8" x14ac:dyDescent="0.3">
      <c r="A1446" s="6">
        <v>18</v>
      </c>
      <c r="B1446" t="s">
        <v>770</v>
      </c>
      <c r="C1446" s="9" t="s">
        <v>1806</v>
      </c>
      <c r="D1446" s="9">
        <v>9</v>
      </c>
      <c r="E1446" s="9" t="s">
        <v>1804</v>
      </c>
      <c r="F1446" t="s">
        <v>778</v>
      </c>
      <c r="G1446" t="s">
        <v>343</v>
      </c>
      <c r="H1446" t="s">
        <v>1191</v>
      </c>
    </row>
    <row r="1447" spans="1:8" x14ac:dyDescent="0.3">
      <c r="A1447" s="6">
        <v>18</v>
      </c>
      <c r="B1447" t="s">
        <v>770</v>
      </c>
      <c r="C1447" s="9" t="s">
        <v>1807</v>
      </c>
      <c r="D1447" s="9">
        <v>30</v>
      </c>
      <c r="E1447" s="9" t="s">
        <v>1808</v>
      </c>
      <c r="F1447" t="s">
        <v>779</v>
      </c>
      <c r="G1447" t="s">
        <v>29</v>
      </c>
      <c r="H1447" t="s">
        <v>1181</v>
      </c>
    </row>
    <row r="1448" spans="1:8" x14ac:dyDescent="0.3">
      <c r="A1448" s="6">
        <v>18</v>
      </c>
      <c r="B1448" t="s">
        <v>770</v>
      </c>
      <c r="C1448" s="9" t="s">
        <v>932</v>
      </c>
      <c r="D1448" s="9">
        <v>12</v>
      </c>
      <c r="E1448" s="9" t="s">
        <v>1804</v>
      </c>
      <c r="F1448" t="s">
        <v>483</v>
      </c>
      <c r="G1448" t="s">
        <v>29</v>
      </c>
      <c r="H1448" t="s">
        <v>1182</v>
      </c>
    </row>
    <row r="1449" spans="1:8" x14ac:dyDescent="0.3">
      <c r="A1449" s="6">
        <v>18</v>
      </c>
      <c r="B1449" t="s">
        <v>770</v>
      </c>
      <c r="C1449" s="9" t="s">
        <v>932</v>
      </c>
      <c r="D1449" s="9">
        <v>12</v>
      </c>
      <c r="E1449" s="9" t="s">
        <v>1804</v>
      </c>
      <c r="F1449" t="s">
        <v>588</v>
      </c>
      <c r="G1449" t="s">
        <v>29</v>
      </c>
      <c r="H1449" t="s">
        <v>1183</v>
      </c>
    </row>
    <row r="1450" spans="1:8" x14ac:dyDescent="0.3">
      <c r="A1450" s="6">
        <v>18</v>
      </c>
      <c r="B1450" t="s">
        <v>770</v>
      </c>
      <c r="C1450" s="9" t="s">
        <v>932</v>
      </c>
      <c r="D1450" s="9">
        <v>12</v>
      </c>
      <c r="E1450" s="9" t="s">
        <v>1804</v>
      </c>
      <c r="F1450" t="s">
        <v>589</v>
      </c>
      <c r="G1450" t="s">
        <v>29</v>
      </c>
      <c r="H1450" t="s">
        <v>1184</v>
      </c>
    </row>
    <row r="1451" spans="1:8" x14ac:dyDescent="0.3">
      <c r="A1451" s="6">
        <v>18</v>
      </c>
      <c r="B1451" t="s">
        <v>770</v>
      </c>
      <c r="C1451" s="9" t="s">
        <v>1807</v>
      </c>
      <c r="D1451" s="9">
        <v>600</v>
      </c>
      <c r="E1451" s="9" t="s">
        <v>1808</v>
      </c>
      <c r="F1451" t="s">
        <v>623</v>
      </c>
      <c r="G1451" t="s">
        <v>29</v>
      </c>
      <c r="H1451" t="s">
        <v>1185</v>
      </c>
    </row>
    <row r="1452" spans="1:8" x14ac:dyDescent="0.3">
      <c r="A1452" s="6">
        <v>18</v>
      </c>
      <c r="B1452" t="s">
        <v>770</v>
      </c>
      <c r="C1452" s="9" t="s">
        <v>1807</v>
      </c>
      <c r="D1452" s="9">
        <v>120</v>
      </c>
      <c r="E1452" s="9" t="s">
        <v>1808</v>
      </c>
      <c r="F1452" t="s">
        <v>780</v>
      </c>
      <c r="G1452" t="s">
        <v>29</v>
      </c>
      <c r="H1452" t="s">
        <v>1186</v>
      </c>
    </row>
    <row r="1453" spans="1:8" x14ac:dyDescent="0.3">
      <c r="A1453" s="6">
        <v>18</v>
      </c>
      <c r="B1453" t="s">
        <v>770</v>
      </c>
      <c r="C1453" s="9" t="s">
        <v>932</v>
      </c>
      <c r="D1453" s="9">
        <v>24</v>
      </c>
      <c r="E1453" s="9" t="s">
        <v>1804</v>
      </c>
      <c r="F1453" t="s">
        <v>385</v>
      </c>
      <c r="G1453" t="s">
        <v>386</v>
      </c>
      <c r="H1453" t="s">
        <v>1421</v>
      </c>
    </row>
    <row r="1454" spans="1:8" x14ac:dyDescent="0.3">
      <c r="A1454" s="6">
        <v>18</v>
      </c>
      <c r="B1454" t="s">
        <v>770</v>
      </c>
      <c r="C1454" s="9" t="s">
        <v>932</v>
      </c>
      <c r="D1454" s="9">
        <v>18</v>
      </c>
      <c r="E1454" s="9" t="s">
        <v>1804</v>
      </c>
      <c r="F1454" t="s">
        <v>388</v>
      </c>
      <c r="G1454" t="s">
        <v>386</v>
      </c>
      <c r="H1454" t="s">
        <v>1425</v>
      </c>
    </row>
    <row r="1455" spans="1:8" x14ac:dyDescent="0.3">
      <c r="A1455" s="6">
        <v>18</v>
      </c>
      <c r="B1455" t="s">
        <v>770</v>
      </c>
      <c r="C1455" s="9" t="s">
        <v>932</v>
      </c>
      <c r="D1455" s="9">
        <v>18</v>
      </c>
      <c r="E1455" s="9" t="s">
        <v>1804</v>
      </c>
      <c r="F1455" t="s">
        <v>670</v>
      </c>
      <c r="G1455" t="s">
        <v>386</v>
      </c>
      <c r="H1455" t="s">
        <v>1426</v>
      </c>
    </row>
    <row r="1456" spans="1:8" x14ac:dyDescent="0.3">
      <c r="A1456" s="6">
        <v>18</v>
      </c>
      <c r="B1456" t="s">
        <v>770</v>
      </c>
      <c r="C1456" s="9" t="s">
        <v>932</v>
      </c>
      <c r="D1456" s="9">
        <v>18</v>
      </c>
      <c r="E1456" s="9" t="s">
        <v>1804</v>
      </c>
      <c r="F1456" t="s">
        <v>418</v>
      </c>
      <c r="G1456" t="s">
        <v>168</v>
      </c>
      <c r="H1456" t="s">
        <v>1440</v>
      </c>
    </row>
    <row r="1457" spans="1:8" x14ac:dyDescent="0.3">
      <c r="A1457" s="6">
        <v>18</v>
      </c>
      <c r="B1457" t="s">
        <v>770</v>
      </c>
      <c r="C1457" s="9" t="s">
        <v>932</v>
      </c>
      <c r="D1457" s="9">
        <v>18</v>
      </c>
      <c r="E1457" s="9" t="s">
        <v>1804</v>
      </c>
      <c r="F1457" t="s">
        <v>217</v>
      </c>
      <c r="G1457" t="s">
        <v>168</v>
      </c>
      <c r="H1457" t="s">
        <v>1442</v>
      </c>
    </row>
    <row r="1458" spans="1:8" x14ac:dyDescent="0.3">
      <c r="A1458" s="6">
        <v>18</v>
      </c>
      <c r="B1458" t="s">
        <v>770</v>
      </c>
      <c r="C1458" s="9" t="s">
        <v>932</v>
      </c>
      <c r="D1458" s="9">
        <v>27</v>
      </c>
      <c r="E1458" s="9" t="s">
        <v>1804</v>
      </c>
      <c r="F1458" t="s">
        <v>218</v>
      </c>
      <c r="G1458" t="s">
        <v>168</v>
      </c>
      <c r="H1458" t="s">
        <v>1443</v>
      </c>
    </row>
    <row r="1459" spans="1:8" x14ac:dyDescent="0.3">
      <c r="A1459" s="6">
        <v>18</v>
      </c>
      <c r="B1459" t="s">
        <v>770</v>
      </c>
      <c r="C1459" s="9" t="s">
        <v>932</v>
      </c>
      <c r="D1459" s="9">
        <v>18</v>
      </c>
      <c r="E1459" s="9" t="s">
        <v>1804</v>
      </c>
      <c r="F1459" t="s">
        <v>389</v>
      </c>
      <c r="G1459" t="s">
        <v>171</v>
      </c>
      <c r="H1459" t="s">
        <v>1447</v>
      </c>
    </row>
    <row r="1460" spans="1:8" x14ac:dyDescent="0.3">
      <c r="A1460" s="6">
        <v>18</v>
      </c>
      <c r="B1460" t="s">
        <v>770</v>
      </c>
      <c r="C1460" s="9" t="s">
        <v>932</v>
      </c>
      <c r="D1460" s="9">
        <v>33</v>
      </c>
      <c r="E1460" s="9" t="s">
        <v>1804</v>
      </c>
      <c r="F1460" t="s">
        <v>390</v>
      </c>
      <c r="G1460" t="s">
        <v>391</v>
      </c>
      <c r="H1460" t="s">
        <v>1449</v>
      </c>
    </row>
    <row r="1461" spans="1:8" x14ac:dyDescent="0.3">
      <c r="A1461" s="6">
        <v>18</v>
      </c>
      <c r="B1461" t="s">
        <v>770</v>
      </c>
      <c r="C1461" s="9" t="s">
        <v>932</v>
      </c>
      <c r="D1461" s="9">
        <v>35</v>
      </c>
      <c r="E1461" s="9" t="s">
        <v>1804</v>
      </c>
      <c r="F1461" t="s">
        <v>421</v>
      </c>
      <c r="G1461" t="s">
        <v>115</v>
      </c>
      <c r="H1461" t="s">
        <v>1464</v>
      </c>
    </row>
    <row r="1462" spans="1:8" x14ac:dyDescent="0.3">
      <c r="A1462" s="6">
        <v>18</v>
      </c>
      <c r="B1462" t="s">
        <v>770</v>
      </c>
      <c r="C1462" s="9" t="s">
        <v>932</v>
      </c>
      <c r="D1462" s="9">
        <v>24</v>
      </c>
      <c r="E1462" s="9" t="s">
        <v>1804</v>
      </c>
      <c r="F1462" t="s">
        <v>31</v>
      </c>
      <c r="G1462" t="s">
        <v>32</v>
      </c>
      <c r="H1462" t="s">
        <v>1483</v>
      </c>
    </row>
    <row r="1463" spans="1:8" x14ac:dyDescent="0.3">
      <c r="A1463" s="6">
        <v>18</v>
      </c>
      <c r="B1463" t="s">
        <v>770</v>
      </c>
      <c r="C1463" s="9" t="s">
        <v>932</v>
      </c>
      <c r="D1463" s="9">
        <v>21</v>
      </c>
      <c r="E1463" s="9" t="s">
        <v>1804</v>
      </c>
      <c r="F1463" t="s">
        <v>34</v>
      </c>
      <c r="G1463" t="s">
        <v>32</v>
      </c>
      <c r="H1463" t="s">
        <v>1485</v>
      </c>
    </row>
    <row r="1464" spans="1:8" x14ac:dyDescent="0.3">
      <c r="A1464" s="6">
        <v>18</v>
      </c>
      <c r="B1464" t="s">
        <v>770</v>
      </c>
      <c r="C1464" s="9" t="s">
        <v>932</v>
      </c>
      <c r="D1464" s="9">
        <v>36</v>
      </c>
      <c r="E1464" s="9" t="s">
        <v>1804</v>
      </c>
      <c r="F1464" t="s">
        <v>541</v>
      </c>
      <c r="G1464" t="s">
        <v>32</v>
      </c>
      <c r="H1464" t="s">
        <v>1486</v>
      </c>
    </row>
    <row r="1465" spans="1:8" x14ac:dyDescent="0.3">
      <c r="A1465" s="6">
        <v>18</v>
      </c>
      <c r="B1465" t="s">
        <v>770</v>
      </c>
      <c r="C1465" s="9" t="s">
        <v>932</v>
      </c>
      <c r="D1465" s="9">
        <v>30</v>
      </c>
      <c r="E1465" s="9" t="s">
        <v>1804</v>
      </c>
      <c r="F1465" t="s">
        <v>35</v>
      </c>
      <c r="G1465" t="s">
        <v>32</v>
      </c>
      <c r="H1465" t="s">
        <v>1489</v>
      </c>
    </row>
    <row r="1466" spans="1:8" x14ac:dyDescent="0.3">
      <c r="A1466" s="6">
        <v>18</v>
      </c>
      <c r="B1466" t="s">
        <v>770</v>
      </c>
      <c r="C1466" s="9" t="s">
        <v>932</v>
      </c>
      <c r="D1466" s="9">
        <v>21</v>
      </c>
      <c r="E1466" s="9" t="s">
        <v>1804</v>
      </c>
      <c r="F1466" t="s">
        <v>36</v>
      </c>
      <c r="G1466" t="s">
        <v>32</v>
      </c>
      <c r="H1466" t="s">
        <v>1492</v>
      </c>
    </row>
    <row r="1467" spans="1:8" x14ac:dyDescent="0.3">
      <c r="A1467" s="6">
        <v>18</v>
      </c>
      <c r="B1467" t="s">
        <v>770</v>
      </c>
      <c r="C1467" s="9" t="s">
        <v>932</v>
      </c>
      <c r="D1467" s="9">
        <v>12</v>
      </c>
      <c r="E1467" s="9" t="s">
        <v>1804</v>
      </c>
      <c r="F1467" t="s">
        <v>153</v>
      </c>
      <c r="G1467" t="s">
        <v>108</v>
      </c>
      <c r="H1467" t="s">
        <v>1150</v>
      </c>
    </row>
    <row r="1468" spans="1:8" x14ac:dyDescent="0.3">
      <c r="A1468" s="6">
        <v>18</v>
      </c>
      <c r="B1468" t="s">
        <v>770</v>
      </c>
      <c r="C1468" s="9" t="s">
        <v>932</v>
      </c>
      <c r="D1468" s="9">
        <v>18</v>
      </c>
      <c r="E1468" s="9" t="s">
        <v>1804</v>
      </c>
      <c r="F1468" t="s">
        <v>154</v>
      </c>
      <c r="G1468" t="s">
        <v>108</v>
      </c>
      <c r="H1468" t="s">
        <v>1151</v>
      </c>
    </row>
    <row r="1469" spans="1:8" x14ac:dyDescent="0.3">
      <c r="A1469" s="6">
        <v>18</v>
      </c>
      <c r="B1469" t="s">
        <v>770</v>
      </c>
      <c r="C1469" s="9" t="s">
        <v>932</v>
      </c>
      <c r="D1469" s="9">
        <v>18</v>
      </c>
      <c r="E1469" s="9" t="s">
        <v>1804</v>
      </c>
      <c r="F1469" t="s">
        <v>697</v>
      </c>
      <c r="G1469" t="s">
        <v>108</v>
      </c>
      <c r="H1469" t="s">
        <v>1155</v>
      </c>
    </row>
    <row r="1470" spans="1:8" x14ac:dyDescent="0.3">
      <c r="A1470" s="6">
        <v>18</v>
      </c>
      <c r="B1470" t="s">
        <v>770</v>
      </c>
      <c r="C1470" s="9" t="s">
        <v>932</v>
      </c>
      <c r="D1470" s="9">
        <v>27</v>
      </c>
      <c r="E1470" s="9" t="s">
        <v>1804</v>
      </c>
      <c r="F1470" t="s">
        <v>40</v>
      </c>
      <c r="G1470" t="s">
        <v>41</v>
      </c>
      <c r="H1470" t="s">
        <v>1169</v>
      </c>
    </row>
    <row r="1471" spans="1:8" x14ac:dyDescent="0.3">
      <c r="A1471" s="6">
        <v>18</v>
      </c>
      <c r="B1471" t="s">
        <v>770</v>
      </c>
      <c r="C1471" s="9" t="s">
        <v>932</v>
      </c>
      <c r="D1471" s="9">
        <v>24</v>
      </c>
      <c r="E1471" s="9" t="s">
        <v>1804</v>
      </c>
      <c r="F1471" t="s">
        <v>232</v>
      </c>
      <c r="G1471" t="s">
        <v>144</v>
      </c>
      <c r="H1471" t="s">
        <v>1171</v>
      </c>
    </row>
    <row r="1472" spans="1:8" x14ac:dyDescent="0.3">
      <c r="A1472" s="6">
        <v>18</v>
      </c>
      <c r="B1472" t="s">
        <v>770</v>
      </c>
      <c r="C1472" s="9" t="s">
        <v>932</v>
      </c>
      <c r="D1472" s="9">
        <v>15</v>
      </c>
      <c r="E1472" s="9" t="s">
        <v>1804</v>
      </c>
      <c r="F1472" t="s">
        <v>515</v>
      </c>
      <c r="G1472" t="s">
        <v>238</v>
      </c>
      <c r="H1472" t="s">
        <v>1064</v>
      </c>
    </row>
    <row r="1473" spans="1:8" x14ac:dyDescent="0.3">
      <c r="A1473" s="6">
        <v>18</v>
      </c>
      <c r="B1473" t="s">
        <v>770</v>
      </c>
      <c r="C1473" s="9" t="s">
        <v>932</v>
      </c>
      <c r="D1473" s="9">
        <v>24</v>
      </c>
      <c r="E1473" s="9" t="s">
        <v>1804</v>
      </c>
      <c r="F1473" t="s">
        <v>237</v>
      </c>
      <c r="G1473" t="s">
        <v>238</v>
      </c>
      <c r="H1473" t="s">
        <v>1065</v>
      </c>
    </row>
    <row r="1474" spans="1:8" x14ac:dyDescent="0.3">
      <c r="A1474" s="6">
        <v>18</v>
      </c>
      <c r="B1474" t="s">
        <v>770</v>
      </c>
      <c r="C1474" s="9" t="s">
        <v>932</v>
      </c>
      <c r="D1474" s="9">
        <v>24</v>
      </c>
      <c r="E1474" s="9" t="s">
        <v>1804</v>
      </c>
      <c r="F1474" t="s">
        <v>553</v>
      </c>
      <c r="G1474" t="s">
        <v>238</v>
      </c>
      <c r="H1474" t="s">
        <v>1066</v>
      </c>
    </row>
    <row r="1475" spans="1:8" x14ac:dyDescent="0.3">
      <c r="A1475" s="6">
        <v>18</v>
      </c>
      <c r="B1475" t="s">
        <v>770</v>
      </c>
      <c r="C1475" s="9" t="s">
        <v>1807</v>
      </c>
      <c r="D1475" s="9">
        <v>1200</v>
      </c>
      <c r="E1475" s="9" t="s">
        <v>1808</v>
      </c>
      <c r="F1475" t="s">
        <v>240</v>
      </c>
      <c r="G1475" t="s">
        <v>241</v>
      </c>
      <c r="H1475" t="s">
        <v>1427</v>
      </c>
    </row>
    <row r="1476" spans="1:8" x14ac:dyDescent="0.3">
      <c r="A1476" s="6">
        <v>18</v>
      </c>
      <c r="B1476" t="s">
        <v>770</v>
      </c>
      <c r="C1476" s="9" t="s">
        <v>1807</v>
      </c>
      <c r="D1476" s="9">
        <v>1200</v>
      </c>
      <c r="E1476" s="9" t="s">
        <v>1808</v>
      </c>
      <c r="F1476" t="s">
        <v>430</v>
      </c>
      <c r="G1476" t="s">
        <v>431</v>
      </c>
      <c r="H1476" t="s">
        <v>1428</v>
      </c>
    </row>
    <row r="1477" spans="1:8" x14ac:dyDescent="0.3">
      <c r="A1477" s="6">
        <v>18</v>
      </c>
      <c r="B1477" t="s">
        <v>770</v>
      </c>
      <c r="C1477" s="9" t="s">
        <v>1807</v>
      </c>
      <c r="D1477" s="9">
        <v>260</v>
      </c>
      <c r="E1477" s="9" t="s">
        <v>1808</v>
      </c>
      <c r="F1477" t="s">
        <v>243</v>
      </c>
      <c r="G1477" t="s">
        <v>244</v>
      </c>
      <c r="H1477" t="s">
        <v>1429</v>
      </c>
    </row>
    <row r="1478" spans="1:8" x14ac:dyDescent="0.3">
      <c r="A1478" s="6">
        <v>18</v>
      </c>
      <c r="B1478" t="s">
        <v>770</v>
      </c>
      <c r="C1478" s="9" t="s">
        <v>1807</v>
      </c>
      <c r="D1478" s="9">
        <v>240</v>
      </c>
      <c r="E1478" s="9" t="s">
        <v>1808</v>
      </c>
      <c r="F1478" t="s">
        <v>715</v>
      </c>
      <c r="G1478" t="s">
        <v>716</v>
      </c>
      <c r="H1478" t="s">
        <v>1431</v>
      </c>
    </row>
    <row r="1479" spans="1:8" x14ac:dyDescent="0.3">
      <c r="A1479" s="6">
        <v>18</v>
      </c>
      <c r="B1479" t="s">
        <v>770</v>
      </c>
      <c r="C1479" s="9" t="s">
        <v>932</v>
      </c>
      <c r="D1479" s="9">
        <v>18</v>
      </c>
      <c r="E1479" s="9" t="s">
        <v>1804</v>
      </c>
      <c r="F1479" t="s">
        <v>246</v>
      </c>
      <c r="G1479" t="s">
        <v>51</v>
      </c>
      <c r="H1479" t="s">
        <v>1596</v>
      </c>
    </row>
    <row r="1480" spans="1:8" x14ac:dyDescent="0.3">
      <c r="A1480" s="6">
        <v>18</v>
      </c>
      <c r="B1480" t="s">
        <v>770</v>
      </c>
      <c r="C1480" s="9" t="s">
        <v>932</v>
      </c>
      <c r="D1480" s="9">
        <v>12</v>
      </c>
      <c r="E1480" s="9" t="s">
        <v>1804</v>
      </c>
      <c r="F1480" t="s">
        <v>50</v>
      </c>
      <c r="G1480" t="s">
        <v>51</v>
      </c>
      <c r="H1480" t="s">
        <v>1598</v>
      </c>
    </row>
    <row r="1481" spans="1:8" x14ac:dyDescent="0.3">
      <c r="A1481" s="6">
        <v>18</v>
      </c>
      <c r="B1481" t="s">
        <v>770</v>
      </c>
      <c r="C1481" s="9" t="s">
        <v>932</v>
      </c>
      <c r="D1481" s="9">
        <v>30</v>
      </c>
      <c r="E1481" s="9" t="s">
        <v>1804</v>
      </c>
      <c r="F1481" t="s">
        <v>247</v>
      </c>
      <c r="G1481" t="s">
        <v>51</v>
      </c>
      <c r="H1481" t="s">
        <v>1599</v>
      </c>
    </row>
    <row r="1482" spans="1:8" x14ac:dyDescent="0.3">
      <c r="A1482" s="6">
        <v>18</v>
      </c>
      <c r="B1482" t="s">
        <v>770</v>
      </c>
      <c r="C1482" s="9" t="s">
        <v>1807</v>
      </c>
      <c r="D1482" s="9">
        <v>750</v>
      </c>
      <c r="E1482" s="9" t="s">
        <v>1808</v>
      </c>
      <c r="F1482" t="s">
        <v>248</v>
      </c>
      <c r="G1482" t="s">
        <v>249</v>
      </c>
      <c r="H1482" t="s">
        <v>979</v>
      </c>
    </row>
    <row r="1483" spans="1:8" x14ac:dyDescent="0.3">
      <c r="A1483" s="6">
        <v>18</v>
      </c>
      <c r="B1483" t="s">
        <v>770</v>
      </c>
      <c r="C1483" s="9" t="s">
        <v>932</v>
      </c>
      <c r="D1483" s="9">
        <v>18</v>
      </c>
      <c r="E1483" s="9" t="s">
        <v>1804</v>
      </c>
      <c r="F1483" t="s">
        <v>629</v>
      </c>
      <c r="G1483" t="s">
        <v>630</v>
      </c>
      <c r="H1483" t="s">
        <v>1198</v>
      </c>
    </row>
    <row r="1484" spans="1:8" x14ac:dyDescent="0.3">
      <c r="A1484" s="6">
        <v>18</v>
      </c>
      <c r="B1484" t="s">
        <v>770</v>
      </c>
      <c r="C1484" s="9" t="s">
        <v>932</v>
      </c>
      <c r="D1484" s="9">
        <v>12</v>
      </c>
      <c r="E1484" s="9" t="s">
        <v>1804</v>
      </c>
      <c r="F1484" t="s">
        <v>781</v>
      </c>
      <c r="G1484" t="s">
        <v>253</v>
      </c>
      <c r="H1484" t="s">
        <v>1634</v>
      </c>
    </row>
    <row r="1485" spans="1:8" x14ac:dyDescent="0.3">
      <c r="A1485" s="6">
        <v>18</v>
      </c>
      <c r="B1485" t="s">
        <v>770</v>
      </c>
      <c r="C1485" s="9" t="s">
        <v>932</v>
      </c>
      <c r="D1485" s="9">
        <v>19</v>
      </c>
      <c r="E1485" s="9" t="s">
        <v>1804</v>
      </c>
      <c r="F1485" t="s">
        <v>265</v>
      </c>
      <c r="G1485" t="s">
        <v>266</v>
      </c>
      <c r="H1485" t="s">
        <v>1337</v>
      </c>
    </row>
    <row r="1486" spans="1:8" x14ac:dyDescent="0.3">
      <c r="A1486" s="6">
        <v>18</v>
      </c>
      <c r="B1486" t="s">
        <v>770</v>
      </c>
      <c r="C1486" s="9" t="s">
        <v>1807</v>
      </c>
      <c r="D1486" s="9">
        <v>1200</v>
      </c>
      <c r="E1486" s="9" t="s">
        <v>1808</v>
      </c>
      <c r="F1486" t="s">
        <v>272</v>
      </c>
      <c r="G1486" t="s">
        <v>273</v>
      </c>
      <c r="H1486" t="s">
        <v>997</v>
      </c>
    </row>
    <row r="1487" spans="1:8" x14ac:dyDescent="0.3">
      <c r="A1487" s="6">
        <v>18</v>
      </c>
      <c r="B1487" t="s">
        <v>770</v>
      </c>
      <c r="C1487" s="9" t="s">
        <v>1807</v>
      </c>
      <c r="D1487" s="9">
        <v>750</v>
      </c>
      <c r="E1487" s="9" t="s">
        <v>1808</v>
      </c>
      <c r="F1487" t="s">
        <v>782</v>
      </c>
      <c r="G1487" t="s">
        <v>783</v>
      </c>
      <c r="H1487" t="s">
        <v>1011</v>
      </c>
    </row>
    <row r="1488" spans="1:8" x14ac:dyDescent="0.3">
      <c r="A1488" s="6">
        <v>18</v>
      </c>
      <c r="B1488" t="s">
        <v>770</v>
      </c>
      <c r="C1488" s="9" t="s">
        <v>1807</v>
      </c>
      <c r="D1488" s="9">
        <v>1350</v>
      </c>
      <c r="E1488" s="9" t="s">
        <v>1808</v>
      </c>
      <c r="F1488" t="s">
        <v>275</v>
      </c>
      <c r="G1488" t="s">
        <v>276</v>
      </c>
      <c r="H1488" t="s">
        <v>1012</v>
      </c>
    </row>
    <row r="1489" spans="1:8" x14ac:dyDescent="0.3">
      <c r="A1489" s="6">
        <v>18</v>
      </c>
      <c r="B1489" t="s">
        <v>770</v>
      </c>
      <c r="C1489" s="9" t="s">
        <v>1807</v>
      </c>
      <c r="D1489" s="9">
        <v>1800</v>
      </c>
      <c r="E1489" s="9" t="s">
        <v>1808</v>
      </c>
      <c r="F1489" t="s">
        <v>785</v>
      </c>
      <c r="G1489" t="s">
        <v>786</v>
      </c>
      <c r="H1489" t="s">
        <v>1718</v>
      </c>
    </row>
    <row r="1490" spans="1:8" x14ac:dyDescent="0.3">
      <c r="A1490" s="6">
        <v>18</v>
      </c>
      <c r="B1490" t="s">
        <v>770</v>
      </c>
      <c r="C1490" s="9" t="s">
        <v>1807</v>
      </c>
      <c r="D1490" s="9">
        <v>1800</v>
      </c>
      <c r="E1490" s="9" t="s">
        <v>1808</v>
      </c>
      <c r="F1490" t="s">
        <v>449</v>
      </c>
      <c r="G1490" t="s">
        <v>450</v>
      </c>
      <c r="H1490" t="s">
        <v>1711</v>
      </c>
    </row>
    <row r="1491" spans="1:8" x14ac:dyDescent="0.3">
      <c r="A1491" s="6">
        <v>18</v>
      </c>
      <c r="B1491" t="s">
        <v>770</v>
      </c>
      <c r="C1491" s="9" t="s">
        <v>1807</v>
      </c>
      <c r="D1491" s="9">
        <v>1050</v>
      </c>
      <c r="E1491" s="9" t="s">
        <v>1808</v>
      </c>
      <c r="F1491" t="s">
        <v>788</v>
      </c>
      <c r="G1491" t="s">
        <v>450</v>
      </c>
      <c r="H1491" t="s">
        <v>1724</v>
      </c>
    </row>
    <row r="1492" spans="1:8" x14ac:dyDescent="0.3">
      <c r="A1492" s="6">
        <v>18</v>
      </c>
      <c r="B1492" t="s">
        <v>770</v>
      </c>
      <c r="C1492" s="9" t="s">
        <v>1807</v>
      </c>
      <c r="D1492" s="9">
        <v>750</v>
      </c>
      <c r="E1492" s="9" t="s">
        <v>1808</v>
      </c>
      <c r="F1492" t="s">
        <v>789</v>
      </c>
      <c r="G1492" t="s">
        <v>450</v>
      </c>
      <c r="H1492" t="s">
        <v>1725</v>
      </c>
    </row>
    <row r="1493" spans="1:8" x14ac:dyDescent="0.3">
      <c r="A1493" s="6">
        <v>18</v>
      </c>
      <c r="B1493" t="s">
        <v>770</v>
      </c>
      <c r="C1493" s="9" t="s">
        <v>1807</v>
      </c>
      <c r="D1493" s="9">
        <v>600</v>
      </c>
      <c r="E1493" s="9" t="s">
        <v>1808</v>
      </c>
      <c r="F1493" t="s">
        <v>790</v>
      </c>
      <c r="G1493" t="s">
        <v>450</v>
      </c>
      <c r="H1493" t="s">
        <v>1735</v>
      </c>
    </row>
    <row r="1494" spans="1:8" x14ac:dyDescent="0.3">
      <c r="A1494" s="6">
        <v>18</v>
      </c>
      <c r="B1494" t="s">
        <v>770</v>
      </c>
      <c r="C1494" s="9" t="s">
        <v>1807</v>
      </c>
      <c r="D1494" s="9">
        <v>1800</v>
      </c>
      <c r="E1494" s="9" t="s">
        <v>1808</v>
      </c>
      <c r="F1494" t="s">
        <v>280</v>
      </c>
      <c r="G1494" t="s">
        <v>157</v>
      </c>
      <c r="H1494" t="s">
        <v>1823</v>
      </c>
    </row>
    <row r="1495" spans="1:8" x14ac:dyDescent="0.3">
      <c r="A1495" s="6">
        <v>18</v>
      </c>
      <c r="B1495" t="s">
        <v>770</v>
      </c>
      <c r="C1495" s="9" t="s">
        <v>1807</v>
      </c>
      <c r="D1495" s="9">
        <v>1050</v>
      </c>
      <c r="E1495" s="9" t="s">
        <v>1808</v>
      </c>
      <c r="F1495" t="s">
        <v>288</v>
      </c>
      <c r="G1495" t="s">
        <v>289</v>
      </c>
      <c r="H1495" t="s">
        <v>1764</v>
      </c>
    </row>
    <row r="1496" spans="1:8" x14ac:dyDescent="0.3">
      <c r="A1496" s="6">
        <v>18</v>
      </c>
      <c r="B1496" t="s">
        <v>770</v>
      </c>
      <c r="C1496" s="9" t="s">
        <v>1807</v>
      </c>
      <c r="D1496" s="9">
        <v>1350</v>
      </c>
      <c r="E1496" s="9" t="s">
        <v>1808</v>
      </c>
      <c r="F1496" t="s">
        <v>791</v>
      </c>
      <c r="G1496" t="s">
        <v>792</v>
      </c>
      <c r="H1496" t="s">
        <v>1770</v>
      </c>
    </row>
    <row r="1497" spans="1:8" x14ac:dyDescent="0.3">
      <c r="A1497" s="6">
        <v>18</v>
      </c>
      <c r="B1497" t="s">
        <v>770</v>
      </c>
      <c r="C1497" s="9" t="s">
        <v>1807</v>
      </c>
      <c r="D1497" s="9">
        <v>1500</v>
      </c>
      <c r="E1497" s="9" t="s">
        <v>1808</v>
      </c>
      <c r="F1497" t="s">
        <v>794</v>
      </c>
      <c r="G1497" t="s">
        <v>454</v>
      </c>
      <c r="H1497" t="s">
        <v>1676</v>
      </c>
    </row>
    <row r="1498" spans="1:8" x14ac:dyDescent="0.3">
      <c r="A1498" s="6">
        <v>18</v>
      </c>
      <c r="B1498" t="s">
        <v>770</v>
      </c>
      <c r="C1498" s="9" t="s">
        <v>1807</v>
      </c>
      <c r="D1498" s="9">
        <v>1050</v>
      </c>
      <c r="E1498" s="9" t="s">
        <v>1808</v>
      </c>
      <c r="F1498" t="s">
        <v>291</v>
      </c>
      <c r="G1498" t="s">
        <v>292</v>
      </c>
      <c r="H1498" t="s">
        <v>1678</v>
      </c>
    </row>
    <row r="1499" spans="1:8" x14ac:dyDescent="0.3">
      <c r="A1499" s="6">
        <v>18</v>
      </c>
      <c r="B1499" t="s">
        <v>770</v>
      </c>
      <c r="C1499" s="9" t="s">
        <v>932</v>
      </c>
      <c r="D1499" s="9">
        <v>24</v>
      </c>
      <c r="E1499" s="9" t="s">
        <v>1804</v>
      </c>
      <c r="F1499" t="s">
        <v>567</v>
      </c>
      <c r="G1499" t="s">
        <v>63</v>
      </c>
      <c r="H1499" t="s">
        <v>1099</v>
      </c>
    </row>
    <row r="1500" spans="1:8" x14ac:dyDescent="0.3">
      <c r="A1500" s="6">
        <v>18</v>
      </c>
      <c r="B1500" t="s">
        <v>770</v>
      </c>
      <c r="C1500" s="9" t="s">
        <v>932</v>
      </c>
      <c r="D1500" s="9">
        <v>16</v>
      </c>
      <c r="E1500" s="9" t="s">
        <v>1804</v>
      </c>
      <c r="F1500" t="s">
        <v>744</v>
      </c>
      <c r="G1500" t="s">
        <v>63</v>
      </c>
      <c r="H1500" t="s">
        <v>1100</v>
      </c>
    </row>
    <row r="1501" spans="1:8" x14ac:dyDescent="0.3">
      <c r="A1501" s="6">
        <v>18</v>
      </c>
      <c r="B1501" t="s">
        <v>770</v>
      </c>
      <c r="C1501" s="9" t="s">
        <v>932</v>
      </c>
      <c r="D1501" s="9">
        <v>16</v>
      </c>
      <c r="E1501" s="9" t="s">
        <v>1804</v>
      </c>
      <c r="F1501" t="s">
        <v>745</v>
      </c>
      <c r="G1501" t="s">
        <v>63</v>
      </c>
      <c r="H1501" t="s">
        <v>1101</v>
      </c>
    </row>
    <row r="1502" spans="1:8" x14ac:dyDescent="0.3">
      <c r="A1502" s="6">
        <v>18</v>
      </c>
      <c r="B1502" t="s">
        <v>770</v>
      </c>
      <c r="C1502" s="9" t="s">
        <v>932</v>
      </c>
      <c r="D1502" s="9">
        <v>16</v>
      </c>
      <c r="E1502" s="9" t="s">
        <v>1804</v>
      </c>
      <c r="F1502" t="s">
        <v>746</v>
      </c>
      <c r="G1502" t="s">
        <v>63</v>
      </c>
      <c r="H1502" t="s">
        <v>1102</v>
      </c>
    </row>
    <row r="1503" spans="1:8" x14ac:dyDescent="0.3">
      <c r="A1503" s="6">
        <v>18</v>
      </c>
      <c r="B1503" t="s">
        <v>770</v>
      </c>
      <c r="C1503" s="9" t="s">
        <v>932</v>
      </c>
      <c r="D1503" s="9">
        <v>18</v>
      </c>
      <c r="E1503" s="9" t="s">
        <v>1804</v>
      </c>
      <c r="F1503" t="s">
        <v>65</v>
      </c>
      <c r="G1503" t="s">
        <v>66</v>
      </c>
      <c r="H1503" t="s">
        <v>1791</v>
      </c>
    </row>
    <row r="1504" spans="1:8" x14ac:dyDescent="0.3">
      <c r="A1504" s="6">
        <v>18</v>
      </c>
      <c r="B1504" t="s">
        <v>770</v>
      </c>
      <c r="C1504" s="9" t="s">
        <v>932</v>
      </c>
      <c r="D1504" s="9">
        <v>14</v>
      </c>
      <c r="E1504" s="9" t="s">
        <v>1804</v>
      </c>
      <c r="F1504" t="s">
        <v>311</v>
      </c>
      <c r="G1504" t="s">
        <v>312</v>
      </c>
      <c r="H1504" t="s">
        <v>951</v>
      </c>
    </row>
    <row r="1505" spans="1:8" x14ac:dyDescent="0.3">
      <c r="A1505" s="6">
        <v>18</v>
      </c>
      <c r="B1505" t="s">
        <v>770</v>
      </c>
      <c r="C1505" s="9" t="s">
        <v>932</v>
      </c>
      <c r="D1505" s="9">
        <v>30</v>
      </c>
      <c r="E1505" s="9" t="s">
        <v>1804</v>
      </c>
      <c r="F1505" t="s">
        <v>314</v>
      </c>
      <c r="G1505" t="s">
        <v>312</v>
      </c>
      <c r="H1505" t="s">
        <v>953</v>
      </c>
    </row>
    <row r="1506" spans="1:8" x14ac:dyDescent="0.3">
      <c r="A1506" s="6">
        <v>18</v>
      </c>
      <c r="B1506" t="s">
        <v>770</v>
      </c>
      <c r="C1506" s="9" t="s">
        <v>1806</v>
      </c>
      <c r="D1506" s="9">
        <v>9</v>
      </c>
      <c r="E1506" s="9" t="s">
        <v>1804</v>
      </c>
      <c r="F1506" t="s">
        <v>315</v>
      </c>
      <c r="G1506" t="s">
        <v>126</v>
      </c>
      <c r="H1506" t="s">
        <v>1581</v>
      </c>
    </row>
    <row r="1507" spans="1:8" x14ac:dyDescent="0.3">
      <c r="A1507" s="6">
        <v>18</v>
      </c>
      <c r="B1507" t="s">
        <v>770</v>
      </c>
      <c r="C1507" s="9" t="s">
        <v>1807</v>
      </c>
      <c r="D1507" s="9">
        <v>420</v>
      </c>
      <c r="E1507" s="9" t="s">
        <v>1808</v>
      </c>
      <c r="F1507" t="s">
        <v>68</v>
      </c>
      <c r="G1507" t="s">
        <v>69</v>
      </c>
      <c r="H1507" t="s">
        <v>1551</v>
      </c>
    </row>
    <row r="1508" spans="1:8" x14ac:dyDescent="0.3">
      <c r="A1508" s="6">
        <v>18</v>
      </c>
      <c r="B1508" t="s">
        <v>770</v>
      </c>
      <c r="C1508" s="9" t="s">
        <v>1807</v>
      </c>
      <c r="D1508" s="9">
        <v>198</v>
      </c>
      <c r="E1508" s="9" t="s">
        <v>1808</v>
      </c>
      <c r="F1508" t="s">
        <v>484</v>
      </c>
      <c r="G1508" t="s">
        <v>69</v>
      </c>
      <c r="H1508" t="s">
        <v>1556</v>
      </c>
    </row>
    <row r="1509" spans="1:8" x14ac:dyDescent="0.3">
      <c r="A1509" s="6">
        <v>18</v>
      </c>
      <c r="B1509" t="s">
        <v>770</v>
      </c>
      <c r="C1509" s="9" t="s">
        <v>932</v>
      </c>
      <c r="D1509" s="9">
        <v>28</v>
      </c>
      <c r="E1509" s="9" t="s">
        <v>1804</v>
      </c>
      <c r="F1509" t="s">
        <v>395</v>
      </c>
      <c r="G1509" t="s">
        <v>396</v>
      </c>
      <c r="H1509" t="s">
        <v>1564</v>
      </c>
    </row>
    <row r="1510" spans="1:8" x14ac:dyDescent="0.3">
      <c r="A1510" s="6">
        <v>18</v>
      </c>
      <c r="B1510" t="s">
        <v>770</v>
      </c>
      <c r="C1510" s="9" t="s">
        <v>1807</v>
      </c>
      <c r="D1510" s="9">
        <v>770</v>
      </c>
      <c r="E1510" s="9" t="s">
        <v>1808</v>
      </c>
      <c r="F1510" t="s">
        <v>71</v>
      </c>
      <c r="G1510" t="s">
        <v>72</v>
      </c>
      <c r="H1510" t="s">
        <v>1565</v>
      </c>
    </row>
    <row r="1511" spans="1:8" x14ac:dyDescent="0.3">
      <c r="A1511" s="6">
        <v>18</v>
      </c>
      <c r="B1511" t="s">
        <v>770</v>
      </c>
      <c r="C1511" s="9" t="s">
        <v>1807</v>
      </c>
      <c r="D1511" s="9">
        <v>518</v>
      </c>
      <c r="E1511" s="9" t="s">
        <v>1808</v>
      </c>
      <c r="F1511" t="s">
        <v>74</v>
      </c>
      <c r="G1511" t="s">
        <v>72</v>
      </c>
      <c r="H1511" t="s">
        <v>1566</v>
      </c>
    </row>
    <row r="1512" spans="1:8" x14ac:dyDescent="0.3">
      <c r="A1512" s="6">
        <v>18</v>
      </c>
      <c r="B1512" t="s">
        <v>770</v>
      </c>
      <c r="C1512" s="9" t="s">
        <v>1807</v>
      </c>
      <c r="D1512" s="9">
        <v>364</v>
      </c>
      <c r="E1512" s="9" t="s">
        <v>1808</v>
      </c>
      <c r="F1512" t="s">
        <v>702</v>
      </c>
      <c r="G1512" t="s">
        <v>72</v>
      </c>
      <c r="H1512" t="s">
        <v>1570</v>
      </c>
    </row>
    <row r="1513" spans="1:8" x14ac:dyDescent="0.3">
      <c r="A1513" s="6">
        <v>18</v>
      </c>
      <c r="B1513" t="s">
        <v>770</v>
      </c>
      <c r="C1513" s="9" t="s">
        <v>932</v>
      </c>
      <c r="D1513" s="9">
        <v>15</v>
      </c>
      <c r="E1513" s="9" t="s">
        <v>1804</v>
      </c>
      <c r="F1513" t="s">
        <v>795</v>
      </c>
      <c r="G1513" t="s">
        <v>376</v>
      </c>
      <c r="H1513" t="s">
        <v>1856</v>
      </c>
    </row>
    <row r="1514" spans="1:8" x14ac:dyDescent="0.3">
      <c r="A1514" s="6">
        <v>18</v>
      </c>
      <c r="B1514" t="s">
        <v>770</v>
      </c>
      <c r="C1514" s="9" t="s">
        <v>932</v>
      </c>
      <c r="D1514" s="9">
        <v>12</v>
      </c>
      <c r="E1514" s="9" t="s">
        <v>1804</v>
      </c>
      <c r="F1514" t="s">
        <v>578</v>
      </c>
      <c r="G1514" t="s">
        <v>376</v>
      </c>
      <c r="H1514" t="s">
        <v>1577</v>
      </c>
    </row>
    <row r="1515" spans="1:8" x14ac:dyDescent="0.3">
      <c r="A1515" s="6">
        <v>18</v>
      </c>
      <c r="B1515" t="s">
        <v>770</v>
      </c>
      <c r="C1515" s="9" t="s">
        <v>1807</v>
      </c>
      <c r="D1515" s="9">
        <v>398</v>
      </c>
      <c r="E1515" s="9" t="s">
        <v>1808</v>
      </c>
      <c r="F1515" t="s">
        <v>318</v>
      </c>
      <c r="G1515" t="s">
        <v>76</v>
      </c>
      <c r="H1515" t="s">
        <v>1578</v>
      </c>
    </row>
    <row r="1516" spans="1:8" x14ac:dyDescent="0.3">
      <c r="A1516" s="6">
        <v>18</v>
      </c>
      <c r="B1516" t="s">
        <v>770</v>
      </c>
      <c r="C1516" s="9" t="s">
        <v>1807</v>
      </c>
      <c r="D1516" s="9">
        <v>698</v>
      </c>
      <c r="E1516" s="9" t="s">
        <v>1808</v>
      </c>
      <c r="F1516" t="s">
        <v>485</v>
      </c>
      <c r="G1516" t="s">
        <v>76</v>
      </c>
      <c r="H1516" t="s">
        <v>1579</v>
      </c>
    </row>
    <row r="1517" spans="1:8" x14ac:dyDescent="0.3">
      <c r="A1517" s="6">
        <v>18</v>
      </c>
      <c r="B1517" t="s">
        <v>770</v>
      </c>
      <c r="C1517" s="9" t="s">
        <v>932</v>
      </c>
      <c r="D1517" s="9">
        <v>24</v>
      </c>
      <c r="E1517" s="9" t="s">
        <v>1804</v>
      </c>
      <c r="F1517" t="s">
        <v>319</v>
      </c>
      <c r="G1517" t="s">
        <v>320</v>
      </c>
      <c r="H1517" t="s">
        <v>1245</v>
      </c>
    </row>
    <row r="1518" spans="1:8" x14ac:dyDescent="0.3">
      <c r="A1518" s="6">
        <v>18</v>
      </c>
      <c r="B1518" t="s">
        <v>770</v>
      </c>
      <c r="C1518" s="9" t="s">
        <v>1807</v>
      </c>
      <c r="D1518" s="9">
        <v>232</v>
      </c>
      <c r="E1518" s="9" t="s">
        <v>1808</v>
      </c>
      <c r="F1518" t="s">
        <v>606</v>
      </c>
      <c r="G1518" t="s">
        <v>607</v>
      </c>
      <c r="H1518" t="s">
        <v>1580</v>
      </c>
    </row>
    <row r="1519" spans="1:8" x14ac:dyDescent="0.3">
      <c r="A1519" s="6">
        <v>18</v>
      </c>
      <c r="B1519" t="s">
        <v>770</v>
      </c>
      <c r="C1519" s="9" t="s">
        <v>1814</v>
      </c>
      <c r="D1519" s="9">
        <v>10000</v>
      </c>
      <c r="E1519" s="9" t="s">
        <v>1808</v>
      </c>
      <c r="F1519" t="s">
        <v>162</v>
      </c>
      <c r="G1519" t="s">
        <v>273</v>
      </c>
      <c r="H1519" t="s">
        <v>1816</v>
      </c>
    </row>
    <row r="1520" spans="1:8" x14ac:dyDescent="0.3">
      <c r="A1520" s="6">
        <v>18</v>
      </c>
      <c r="B1520" t="s">
        <v>770</v>
      </c>
      <c r="C1520" s="9" t="s">
        <v>1814</v>
      </c>
      <c r="D1520" s="9">
        <v>10000</v>
      </c>
      <c r="E1520" s="9" t="s">
        <v>1808</v>
      </c>
      <c r="F1520" t="s">
        <v>164</v>
      </c>
      <c r="G1520" t="s">
        <v>276</v>
      </c>
      <c r="H1520" t="s">
        <v>1832</v>
      </c>
    </row>
    <row r="1521" spans="1:8" x14ac:dyDescent="0.3">
      <c r="A1521" s="6">
        <v>18</v>
      </c>
      <c r="B1521" t="s">
        <v>770</v>
      </c>
      <c r="C1521" s="9" t="s">
        <v>1809</v>
      </c>
      <c r="D1521" s="9">
        <v>60</v>
      </c>
      <c r="E1521" s="9" t="s">
        <v>1804</v>
      </c>
      <c r="F1521" t="s">
        <v>78</v>
      </c>
      <c r="G1521" t="s">
        <v>1810</v>
      </c>
      <c r="H1521" t="s">
        <v>1811</v>
      </c>
    </row>
    <row r="1522" spans="1:8" x14ac:dyDescent="0.3">
      <c r="A1522" s="6">
        <v>18</v>
      </c>
      <c r="B1522" t="s">
        <v>770</v>
      </c>
      <c r="C1522" s="9" t="s">
        <v>963</v>
      </c>
      <c r="D1522" s="9">
        <v>60</v>
      </c>
      <c r="E1522" s="9" t="s">
        <v>1804</v>
      </c>
      <c r="F1522" t="s">
        <v>579</v>
      </c>
      <c r="G1522" t="s">
        <v>531</v>
      </c>
      <c r="H1522" t="s">
        <v>967</v>
      </c>
    </row>
    <row r="1523" spans="1:8" x14ac:dyDescent="0.3">
      <c r="A1523" s="6">
        <v>18</v>
      </c>
      <c r="B1523" t="s">
        <v>770</v>
      </c>
      <c r="C1523" s="9" t="s">
        <v>963</v>
      </c>
      <c r="D1523" s="9">
        <v>60</v>
      </c>
      <c r="E1523" s="9" t="s">
        <v>1804</v>
      </c>
      <c r="F1523" t="s">
        <v>79</v>
      </c>
      <c r="G1523" t="s">
        <v>80</v>
      </c>
      <c r="H1523" t="s">
        <v>1416</v>
      </c>
    </row>
    <row r="1524" spans="1:8" x14ac:dyDescent="0.3">
      <c r="A1524" s="6">
        <v>18</v>
      </c>
      <c r="B1524" t="s">
        <v>770</v>
      </c>
      <c r="C1524" s="9" t="s">
        <v>963</v>
      </c>
      <c r="D1524" s="9">
        <v>61</v>
      </c>
      <c r="E1524" s="9" t="s">
        <v>1804</v>
      </c>
      <c r="F1524" t="s">
        <v>324</v>
      </c>
      <c r="G1524" t="s">
        <v>193</v>
      </c>
      <c r="H1524" t="s">
        <v>1339</v>
      </c>
    </row>
    <row r="1525" spans="1:8" x14ac:dyDescent="0.3">
      <c r="A1525" s="6">
        <v>18</v>
      </c>
      <c r="B1525" t="s">
        <v>770</v>
      </c>
      <c r="C1525" s="9" t="s">
        <v>963</v>
      </c>
      <c r="D1525" s="9">
        <v>88</v>
      </c>
      <c r="E1525" s="9" t="s">
        <v>1804</v>
      </c>
      <c r="F1525" t="s">
        <v>84</v>
      </c>
      <c r="G1525" t="s">
        <v>85</v>
      </c>
      <c r="H1525" t="s">
        <v>1342</v>
      </c>
    </row>
    <row r="1526" spans="1:8" x14ac:dyDescent="0.3">
      <c r="A1526" s="6">
        <v>18</v>
      </c>
      <c r="B1526" t="s">
        <v>770</v>
      </c>
      <c r="C1526" s="9" t="s">
        <v>963</v>
      </c>
      <c r="D1526" s="9">
        <v>70</v>
      </c>
      <c r="E1526" s="9" t="s">
        <v>1804</v>
      </c>
      <c r="F1526" t="s">
        <v>325</v>
      </c>
      <c r="G1526" t="s">
        <v>196</v>
      </c>
      <c r="H1526" t="s">
        <v>1344</v>
      </c>
    </row>
    <row r="1527" spans="1:8" x14ac:dyDescent="0.3">
      <c r="A1527" s="6">
        <v>18</v>
      </c>
      <c r="B1527" t="s">
        <v>770</v>
      </c>
      <c r="C1527" s="9" t="s">
        <v>963</v>
      </c>
      <c r="D1527" s="9">
        <v>73</v>
      </c>
      <c r="E1527" s="9" t="s">
        <v>1804</v>
      </c>
      <c r="F1527" t="s">
        <v>90</v>
      </c>
      <c r="G1527" t="s">
        <v>15</v>
      </c>
      <c r="H1527" t="s">
        <v>1351</v>
      </c>
    </row>
    <row r="1528" spans="1:8" x14ac:dyDescent="0.3">
      <c r="A1528" s="6">
        <v>18</v>
      </c>
      <c r="B1528" t="s">
        <v>770</v>
      </c>
      <c r="C1528" s="9" t="s">
        <v>963</v>
      </c>
      <c r="D1528" s="9">
        <v>77</v>
      </c>
      <c r="E1528" s="9" t="s">
        <v>1804</v>
      </c>
      <c r="F1528" t="s">
        <v>91</v>
      </c>
      <c r="G1528" t="s">
        <v>92</v>
      </c>
      <c r="H1528" t="s">
        <v>1353</v>
      </c>
    </row>
    <row r="1529" spans="1:8" x14ac:dyDescent="0.3">
      <c r="A1529" s="6">
        <v>18</v>
      </c>
      <c r="B1529" t="s">
        <v>770</v>
      </c>
      <c r="C1529" s="9" t="s">
        <v>963</v>
      </c>
      <c r="D1529" s="9">
        <v>76</v>
      </c>
      <c r="E1529" s="9" t="s">
        <v>1804</v>
      </c>
      <c r="F1529" t="s">
        <v>94</v>
      </c>
      <c r="G1529" t="s">
        <v>95</v>
      </c>
      <c r="H1529" t="s">
        <v>1355</v>
      </c>
    </row>
    <row r="1530" spans="1:8" x14ac:dyDescent="0.3">
      <c r="A1530" s="6">
        <v>18</v>
      </c>
      <c r="B1530" t="s">
        <v>770</v>
      </c>
      <c r="C1530" s="9" t="s">
        <v>963</v>
      </c>
      <c r="D1530" s="9">
        <v>77</v>
      </c>
      <c r="E1530" s="9" t="s">
        <v>1804</v>
      </c>
      <c r="F1530" t="s">
        <v>98</v>
      </c>
      <c r="G1530" t="s">
        <v>99</v>
      </c>
      <c r="H1530" t="s">
        <v>1357</v>
      </c>
    </row>
    <row r="1531" spans="1:8" x14ac:dyDescent="0.3">
      <c r="A1531" s="6">
        <v>18</v>
      </c>
      <c r="B1531" t="s">
        <v>770</v>
      </c>
      <c r="C1531" s="9" t="s">
        <v>963</v>
      </c>
      <c r="D1531" s="9">
        <v>72</v>
      </c>
      <c r="E1531" s="9" t="s">
        <v>1804</v>
      </c>
      <c r="F1531" t="s">
        <v>338</v>
      </c>
      <c r="G1531" t="s">
        <v>339</v>
      </c>
      <c r="H1531" t="s">
        <v>1362</v>
      </c>
    </row>
    <row r="1532" spans="1:8" x14ac:dyDescent="0.3">
      <c r="A1532" s="6">
        <v>18</v>
      </c>
      <c r="B1532" t="s">
        <v>770</v>
      </c>
      <c r="C1532" s="9" t="s">
        <v>963</v>
      </c>
      <c r="D1532" s="9">
        <v>72</v>
      </c>
      <c r="E1532" s="9" t="s">
        <v>1804</v>
      </c>
      <c r="F1532" t="s">
        <v>101</v>
      </c>
      <c r="G1532" t="s">
        <v>102</v>
      </c>
      <c r="H1532" t="s">
        <v>1365</v>
      </c>
    </row>
    <row r="1533" spans="1:8" x14ac:dyDescent="0.3">
      <c r="A1533" s="6">
        <v>18</v>
      </c>
      <c r="B1533" t="s">
        <v>770</v>
      </c>
      <c r="C1533" s="9" t="s">
        <v>963</v>
      </c>
      <c r="D1533" s="9">
        <v>63</v>
      </c>
      <c r="E1533" s="9" t="s">
        <v>1804</v>
      </c>
      <c r="F1533" t="s">
        <v>104</v>
      </c>
      <c r="G1533" t="s">
        <v>401</v>
      </c>
      <c r="H1533" t="s">
        <v>1185</v>
      </c>
    </row>
    <row r="1534" spans="1:8" x14ac:dyDescent="0.3">
      <c r="A1534" s="6">
        <v>18</v>
      </c>
      <c r="B1534" t="s">
        <v>770</v>
      </c>
      <c r="C1534" s="9" t="s">
        <v>963</v>
      </c>
      <c r="D1534" s="9">
        <v>60</v>
      </c>
      <c r="E1534" s="9" t="s">
        <v>1804</v>
      </c>
      <c r="F1534" t="s">
        <v>400</v>
      </c>
      <c r="G1534" t="s">
        <v>401</v>
      </c>
      <c r="H1534" t="s">
        <v>1185</v>
      </c>
    </row>
    <row r="1535" spans="1:8" x14ac:dyDescent="0.3">
      <c r="A1535" s="6">
        <v>18</v>
      </c>
      <c r="B1535" t="s">
        <v>770</v>
      </c>
      <c r="C1535" s="9" t="s">
        <v>963</v>
      </c>
      <c r="D1535" s="9">
        <v>75</v>
      </c>
      <c r="E1535" s="9" t="s">
        <v>1804</v>
      </c>
      <c r="F1535" t="s">
        <v>345</v>
      </c>
      <c r="G1535" t="s">
        <v>215</v>
      </c>
      <c r="H1535" t="s">
        <v>1115</v>
      </c>
    </row>
    <row r="1536" spans="1:8" x14ac:dyDescent="0.3">
      <c r="A1536" s="6">
        <v>18</v>
      </c>
      <c r="B1536" t="s">
        <v>770</v>
      </c>
      <c r="C1536" s="9" t="s">
        <v>963</v>
      </c>
      <c r="D1536" s="9">
        <v>60</v>
      </c>
      <c r="E1536" s="9" t="s">
        <v>1804</v>
      </c>
      <c r="F1536" t="s">
        <v>403</v>
      </c>
      <c r="G1536" t="s">
        <v>386</v>
      </c>
      <c r="H1536" t="s">
        <v>1432</v>
      </c>
    </row>
    <row r="1537" spans="1:8" x14ac:dyDescent="0.3">
      <c r="A1537" s="6">
        <v>18</v>
      </c>
      <c r="B1537" t="s">
        <v>770</v>
      </c>
      <c r="C1537" s="9" t="s">
        <v>963</v>
      </c>
      <c r="D1537" s="9">
        <v>60</v>
      </c>
      <c r="E1537" s="9" t="s">
        <v>1804</v>
      </c>
      <c r="F1537" t="s">
        <v>170</v>
      </c>
      <c r="G1537" t="s">
        <v>171</v>
      </c>
      <c r="H1537" t="s">
        <v>1535</v>
      </c>
    </row>
    <row r="1538" spans="1:8" x14ac:dyDescent="0.3">
      <c r="A1538" s="6">
        <v>18</v>
      </c>
      <c r="B1538" t="s">
        <v>770</v>
      </c>
      <c r="C1538" s="9" t="s">
        <v>963</v>
      </c>
      <c r="D1538" s="9">
        <v>60</v>
      </c>
      <c r="E1538" s="9" t="s">
        <v>1804</v>
      </c>
      <c r="F1538" t="s">
        <v>686</v>
      </c>
      <c r="G1538" t="s">
        <v>115</v>
      </c>
      <c r="H1538" t="s">
        <v>1536</v>
      </c>
    </row>
    <row r="1539" spans="1:8" x14ac:dyDescent="0.3">
      <c r="A1539" s="6">
        <v>18</v>
      </c>
      <c r="B1539" t="s">
        <v>770</v>
      </c>
      <c r="C1539" s="9" t="s">
        <v>963</v>
      </c>
      <c r="D1539" s="9">
        <v>60</v>
      </c>
      <c r="E1539" s="9" t="s">
        <v>1804</v>
      </c>
      <c r="F1539" t="s">
        <v>106</v>
      </c>
      <c r="G1539" t="s">
        <v>32</v>
      </c>
      <c r="H1539" t="s">
        <v>1537</v>
      </c>
    </row>
    <row r="1540" spans="1:8" x14ac:dyDescent="0.3">
      <c r="A1540" s="6">
        <v>18</v>
      </c>
      <c r="B1540" t="s">
        <v>770</v>
      </c>
      <c r="C1540" s="9" t="s">
        <v>963</v>
      </c>
      <c r="D1540" s="9">
        <v>60</v>
      </c>
      <c r="E1540" s="9" t="s">
        <v>1804</v>
      </c>
      <c r="F1540" t="s">
        <v>107</v>
      </c>
      <c r="G1540" t="s">
        <v>108</v>
      </c>
      <c r="H1540" t="s">
        <v>1140</v>
      </c>
    </row>
    <row r="1541" spans="1:8" x14ac:dyDescent="0.3">
      <c r="A1541" s="6">
        <v>18</v>
      </c>
      <c r="B1541" t="s">
        <v>770</v>
      </c>
      <c r="C1541" s="9" t="s">
        <v>963</v>
      </c>
      <c r="D1541" s="9">
        <v>60</v>
      </c>
      <c r="E1541" s="9" t="s">
        <v>1804</v>
      </c>
      <c r="F1541" t="s">
        <v>110</v>
      </c>
      <c r="G1541" t="s">
        <v>41</v>
      </c>
      <c r="H1541" t="s">
        <v>1144</v>
      </c>
    </row>
    <row r="1542" spans="1:8" x14ac:dyDescent="0.3">
      <c r="A1542" s="6">
        <v>18</v>
      </c>
      <c r="B1542" t="s">
        <v>770</v>
      </c>
      <c r="C1542" s="9" t="s">
        <v>963</v>
      </c>
      <c r="D1542" s="9">
        <v>60</v>
      </c>
      <c r="E1542" s="9" t="s">
        <v>1804</v>
      </c>
      <c r="F1542" t="s">
        <v>111</v>
      </c>
      <c r="G1542" t="s">
        <v>112</v>
      </c>
      <c r="H1542" t="s">
        <v>1146</v>
      </c>
    </row>
    <row r="1543" spans="1:8" x14ac:dyDescent="0.3">
      <c r="A1543" s="6">
        <v>18</v>
      </c>
      <c r="B1543" t="s">
        <v>770</v>
      </c>
      <c r="C1543" s="9" t="s">
        <v>963</v>
      </c>
      <c r="D1543" s="9">
        <v>64</v>
      </c>
      <c r="E1543" s="9" t="s">
        <v>1804</v>
      </c>
      <c r="F1543" t="s">
        <v>583</v>
      </c>
      <c r="G1543" t="s">
        <v>238</v>
      </c>
      <c r="H1543" t="s">
        <v>1122</v>
      </c>
    </row>
    <row r="1544" spans="1:8" x14ac:dyDescent="0.3">
      <c r="A1544" s="6">
        <v>18</v>
      </c>
      <c r="B1544" t="s">
        <v>770</v>
      </c>
      <c r="C1544" s="9" t="s">
        <v>963</v>
      </c>
      <c r="D1544" s="9">
        <v>60</v>
      </c>
      <c r="E1544" s="9" t="s">
        <v>1804</v>
      </c>
      <c r="F1544" t="s">
        <v>120</v>
      </c>
      <c r="G1544" t="s">
        <v>51</v>
      </c>
      <c r="H1544" t="s">
        <v>1590</v>
      </c>
    </row>
    <row r="1545" spans="1:8" x14ac:dyDescent="0.3">
      <c r="A1545" s="6">
        <v>18</v>
      </c>
      <c r="B1545" t="s">
        <v>770</v>
      </c>
      <c r="C1545" s="9" t="s">
        <v>963</v>
      </c>
      <c r="D1545" s="9">
        <v>68</v>
      </c>
      <c r="E1545" s="9" t="s">
        <v>1804</v>
      </c>
      <c r="F1545" t="s">
        <v>796</v>
      </c>
      <c r="G1545" t="s">
        <v>54</v>
      </c>
      <c r="H1545" t="s">
        <v>1218</v>
      </c>
    </row>
    <row r="1546" spans="1:8" x14ac:dyDescent="0.3">
      <c r="A1546" s="6">
        <v>18</v>
      </c>
      <c r="B1546" t="s">
        <v>770</v>
      </c>
      <c r="C1546" s="9" t="s">
        <v>963</v>
      </c>
      <c r="D1546" s="9">
        <v>64</v>
      </c>
      <c r="E1546" s="9" t="s">
        <v>1804</v>
      </c>
      <c r="F1546" t="s">
        <v>363</v>
      </c>
      <c r="G1546" t="s">
        <v>301</v>
      </c>
      <c r="H1546" t="s">
        <v>1797</v>
      </c>
    </row>
    <row r="1547" spans="1:8" x14ac:dyDescent="0.3">
      <c r="A1547" s="6">
        <v>18</v>
      </c>
      <c r="B1547" t="s">
        <v>770</v>
      </c>
      <c r="C1547" s="9" t="s">
        <v>963</v>
      </c>
      <c r="D1547" s="9">
        <v>64</v>
      </c>
      <c r="E1547" s="9" t="s">
        <v>1804</v>
      </c>
      <c r="F1547" t="s">
        <v>586</v>
      </c>
      <c r="G1547" t="s">
        <v>63</v>
      </c>
      <c r="H1547" t="s">
        <v>1126</v>
      </c>
    </row>
    <row r="1548" spans="1:8" x14ac:dyDescent="0.3">
      <c r="A1548" s="6">
        <v>18</v>
      </c>
      <c r="B1548" t="s">
        <v>770</v>
      </c>
      <c r="C1548" s="9" t="s">
        <v>963</v>
      </c>
      <c r="D1548" s="9">
        <v>60</v>
      </c>
      <c r="E1548" s="9" t="s">
        <v>1804</v>
      </c>
      <c r="F1548" t="s">
        <v>367</v>
      </c>
      <c r="G1548" t="s">
        <v>368</v>
      </c>
      <c r="H1548" t="s">
        <v>1688</v>
      </c>
    </row>
    <row r="1549" spans="1:8" x14ac:dyDescent="0.3">
      <c r="A1549" s="6">
        <v>18</v>
      </c>
      <c r="B1549" t="s">
        <v>770</v>
      </c>
      <c r="C1549" s="9" t="s">
        <v>963</v>
      </c>
      <c r="D1549" s="9">
        <v>60</v>
      </c>
      <c r="E1549" s="9" t="s">
        <v>1804</v>
      </c>
      <c r="F1549" t="s">
        <v>371</v>
      </c>
      <c r="G1549" t="s">
        <v>66</v>
      </c>
      <c r="H1549" t="s">
        <v>1799</v>
      </c>
    </row>
    <row r="1550" spans="1:8" x14ac:dyDescent="0.3">
      <c r="A1550" s="6">
        <v>18</v>
      </c>
      <c r="B1550" t="s">
        <v>770</v>
      </c>
      <c r="C1550" s="9" t="s">
        <v>963</v>
      </c>
      <c r="D1550" s="9">
        <v>64</v>
      </c>
      <c r="E1550" s="9" t="s">
        <v>1804</v>
      </c>
      <c r="F1550" t="s">
        <v>372</v>
      </c>
      <c r="G1550" t="s">
        <v>312</v>
      </c>
      <c r="H1550" t="s">
        <v>973</v>
      </c>
    </row>
    <row r="1551" spans="1:8" x14ac:dyDescent="0.3">
      <c r="A1551" s="6">
        <v>18</v>
      </c>
      <c r="B1551" t="s">
        <v>770</v>
      </c>
      <c r="C1551" s="9" t="s">
        <v>963</v>
      </c>
      <c r="D1551" s="9">
        <v>64</v>
      </c>
      <c r="E1551" s="9" t="s">
        <v>1804</v>
      </c>
      <c r="F1551" t="s">
        <v>125</v>
      </c>
      <c r="G1551" t="s">
        <v>126</v>
      </c>
      <c r="H1551" t="s">
        <v>1581</v>
      </c>
    </row>
    <row r="1552" spans="1:8" x14ac:dyDescent="0.3">
      <c r="A1552" s="6">
        <v>18</v>
      </c>
      <c r="B1552" t="s">
        <v>770</v>
      </c>
      <c r="C1552" s="9" t="s">
        <v>963</v>
      </c>
      <c r="D1552" s="9">
        <v>60</v>
      </c>
      <c r="E1552" s="9" t="s">
        <v>1804</v>
      </c>
      <c r="F1552" t="s">
        <v>128</v>
      </c>
      <c r="G1552" t="s">
        <v>129</v>
      </c>
      <c r="H1552" t="s">
        <v>1582</v>
      </c>
    </row>
    <row r="1553" spans="1:8" x14ac:dyDescent="0.3">
      <c r="A1553" s="6">
        <v>18</v>
      </c>
      <c r="B1553" t="s">
        <v>770</v>
      </c>
      <c r="C1553" s="9" t="s">
        <v>963</v>
      </c>
      <c r="D1553" s="9">
        <v>60</v>
      </c>
      <c r="E1553" s="9" t="s">
        <v>1804</v>
      </c>
      <c r="F1553" t="s">
        <v>407</v>
      </c>
      <c r="G1553" t="s">
        <v>396</v>
      </c>
      <c r="H1553" t="s">
        <v>1583</v>
      </c>
    </row>
    <row r="1554" spans="1:8" x14ac:dyDescent="0.3">
      <c r="A1554" s="6">
        <v>18</v>
      </c>
      <c r="B1554" t="s">
        <v>770</v>
      </c>
      <c r="C1554" s="9" t="s">
        <v>963</v>
      </c>
      <c r="D1554" s="9">
        <v>60</v>
      </c>
      <c r="E1554" s="9" t="s">
        <v>1804</v>
      </c>
      <c r="F1554" t="s">
        <v>375</v>
      </c>
      <c r="G1554" t="s">
        <v>376</v>
      </c>
      <c r="H1554" t="s">
        <v>1586</v>
      </c>
    </row>
    <row r="1555" spans="1:8" x14ac:dyDescent="0.3">
      <c r="A1555" s="6">
        <v>18</v>
      </c>
      <c r="B1555" t="s">
        <v>770</v>
      </c>
      <c r="C1555" s="9" t="s">
        <v>963</v>
      </c>
      <c r="D1555" s="9">
        <v>60</v>
      </c>
      <c r="E1555" s="9" t="s">
        <v>1804</v>
      </c>
      <c r="F1555" t="s">
        <v>378</v>
      </c>
      <c r="G1555" t="s">
        <v>320</v>
      </c>
      <c r="H1555" t="s">
        <v>1247</v>
      </c>
    </row>
    <row r="1556" spans="1:8" x14ac:dyDescent="0.3">
      <c r="A1556" s="6">
        <v>19</v>
      </c>
      <c r="B1556" t="s">
        <v>756</v>
      </c>
      <c r="C1556" s="9" t="s">
        <v>932</v>
      </c>
      <c r="D1556" s="9">
        <v>12</v>
      </c>
      <c r="E1556" s="9" t="s">
        <v>1804</v>
      </c>
      <c r="F1556" t="s">
        <v>143</v>
      </c>
      <c r="G1556" t="s">
        <v>144</v>
      </c>
      <c r="H1556" t="s">
        <v>1694</v>
      </c>
    </row>
    <row r="1557" spans="1:8" x14ac:dyDescent="0.3">
      <c r="A1557" s="6">
        <v>19</v>
      </c>
      <c r="B1557" t="s">
        <v>756</v>
      </c>
      <c r="C1557" s="9" t="s">
        <v>932</v>
      </c>
      <c r="D1557" s="9">
        <v>31</v>
      </c>
      <c r="E1557" s="9" t="s">
        <v>1804</v>
      </c>
      <c r="F1557" t="s">
        <v>757</v>
      </c>
      <c r="G1557" t="s">
        <v>758</v>
      </c>
      <c r="H1557" t="s">
        <v>1226</v>
      </c>
    </row>
    <row r="1558" spans="1:8" x14ac:dyDescent="0.3">
      <c r="A1558" s="6">
        <v>19</v>
      </c>
      <c r="B1558" t="s">
        <v>756</v>
      </c>
      <c r="C1558" s="9" t="s">
        <v>932</v>
      </c>
      <c r="D1558" s="9">
        <v>12</v>
      </c>
      <c r="E1558" s="9" t="s">
        <v>1804</v>
      </c>
      <c r="F1558" t="s">
        <v>760</v>
      </c>
      <c r="G1558" t="s">
        <v>758</v>
      </c>
      <c r="H1558" t="s">
        <v>1227</v>
      </c>
    </row>
    <row r="1559" spans="1:8" x14ac:dyDescent="0.3">
      <c r="A1559" s="6">
        <v>19</v>
      </c>
      <c r="B1559" t="s">
        <v>756</v>
      </c>
      <c r="C1559" s="9" t="s">
        <v>932</v>
      </c>
      <c r="D1559" s="9">
        <v>30</v>
      </c>
      <c r="E1559" s="9" t="s">
        <v>1804</v>
      </c>
      <c r="F1559" t="s">
        <v>498</v>
      </c>
      <c r="G1559" t="s">
        <v>499</v>
      </c>
      <c r="H1559" t="s">
        <v>1695</v>
      </c>
    </row>
    <row r="1560" spans="1:8" x14ac:dyDescent="0.3">
      <c r="A1560" s="6">
        <v>19</v>
      </c>
      <c r="B1560" t="s">
        <v>756</v>
      </c>
      <c r="C1560" s="9" t="s">
        <v>1807</v>
      </c>
      <c r="D1560" s="9">
        <v>1230</v>
      </c>
      <c r="E1560" s="9" t="s">
        <v>1808</v>
      </c>
      <c r="F1560" t="s">
        <v>10</v>
      </c>
      <c r="G1560" t="s">
        <v>526</v>
      </c>
      <c r="H1560" t="s">
        <v>1812</v>
      </c>
    </row>
    <row r="1561" spans="1:8" x14ac:dyDescent="0.3">
      <c r="A1561" s="6">
        <v>19</v>
      </c>
      <c r="B1561" t="s">
        <v>756</v>
      </c>
      <c r="C1561" s="9" t="s">
        <v>1807</v>
      </c>
      <c r="D1561" s="9">
        <v>630</v>
      </c>
      <c r="E1561" s="9" t="s">
        <v>1808</v>
      </c>
      <c r="F1561" t="s">
        <v>761</v>
      </c>
      <c r="G1561" t="s">
        <v>762</v>
      </c>
      <c r="H1561" t="s">
        <v>1260</v>
      </c>
    </row>
    <row r="1562" spans="1:8" x14ac:dyDescent="0.3">
      <c r="A1562" s="6">
        <v>19</v>
      </c>
      <c r="B1562" t="s">
        <v>756</v>
      </c>
      <c r="C1562" s="9" t="s">
        <v>1807</v>
      </c>
      <c r="D1562" s="9">
        <v>1300</v>
      </c>
      <c r="E1562" s="9" t="s">
        <v>1808</v>
      </c>
      <c r="F1562" t="s">
        <v>199</v>
      </c>
      <c r="G1562" t="s">
        <v>200</v>
      </c>
      <c r="H1562" t="s">
        <v>1271</v>
      </c>
    </row>
    <row r="1563" spans="1:8" x14ac:dyDescent="0.3">
      <c r="A1563" s="6">
        <v>19</v>
      </c>
      <c r="B1563" t="s">
        <v>756</v>
      </c>
      <c r="C1563" s="9" t="s">
        <v>1807</v>
      </c>
      <c r="D1563" s="9">
        <v>1050</v>
      </c>
      <c r="E1563" s="9" t="s">
        <v>1808</v>
      </c>
      <c r="F1563" t="s">
        <v>203</v>
      </c>
      <c r="G1563" t="s">
        <v>12</v>
      </c>
      <c r="H1563" t="s">
        <v>1821</v>
      </c>
    </row>
    <row r="1564" spans="1:8" x14ac:dyDescent="0.3">
      <c r="A1564" s="6">
        <v>19</v>
      </c>
      <c r="B1564" t="s">
        <v>756</v>
      </c>
      <c r="C1564" s="9" t="s">
        <v>932</v>
      </c>
      <c r="D1564" s="9">
        <v>42</v>
      </c>
      <c r="E1564" s="9" t="s">
        <v>1804</v>
      </c>
      <c r="F1564" t="s">
        <v>14</v>
      </c>
      <c r="G1564" t="s">
        <v>15</v>
      </c>
      <c r="H1564" t="s">
        <v>1290</v>
      </c>
    </row>
    <row r="1565" spans="1:8" x14ac:dyDescent="0.3">
      <c r="A1565" s="6">
        <v>19</v>
      </c>
      <c r="B1565" t="s">
        <v>756</v>
      </c>
      <c r="C1565" s="9" t="s">
        <v>1266</v>
      </c>
      <c r="D1565" s="9">
        <v>12</v>
      </c>
      <c r="E1565" s="9" t="s">
        <v>1804</v>
      </c>
      <c r="F1565" t="s">
        <v>17</v>
      </c>
      <c r="G1565" t="s">
        <v>15</v>
      </c>
      <c r="H1565" t="s">
        <v>1291</v>
      </c>
    </row>
    <row r="1566" spans="1:8" x14ac:dyDescent="0.3">
      <c r="A1566" s="6">
        <v>19</v>
      </c>
      <c r="B1566" t="s">
        <v>756</v>
      </c>
      <c r="C1566" s="9" t="s">
        <v>1807</v>
      </c>
      <c r="D1566" s="9">
        <v>1330</v>
      </c>
      <c r="E1566" s="9" t="s">
        <v>1808</v>
      </c>
      <c r="F1566" t="s">
        <v>207</v>
      </c>
      <c r="G1566" t="s">
        <v>19</v>
      </c>
      <c r="H1566" t="s">
        <v>1301</v>
      </c>
    </row>
    <row r="1567" spans="1:8" x14ac:dyDescent="0.3">
      <c r="A1567" s="6">
        <v>19</v>
      </c>
      <c r="B1567" t="s">
        <v>756</v>
      </c>
      <c r="C1567" s="9" t="s">
        <v>1807</v>
      </c>
      <c r="D1567" s="9">
        <v>165</v>
      </c>
      <c r="E1567" s="9" t="s">
        <v>1808</v>
      </c>
      <c r="F1567" t="s">
        <v>410</v>
      </c>
      <c r="G1567" t="s">
        <v>411</v>
      </c>
      <c r="H1567" t="s">
        <v>1313</v>
      </c>
    </row>
    <row r="1568" spans="1:8" x14ac:dyDescent="0.3">
      <c r="A1568" s="6">
        <v>19</v>
      </c>
      <c r="B1568" t="s">
        <v>756</v>
      </c>
      <c r="C1568" s="9" t="s">
        <v>932</v>
      </c>
      <c r="D1568" s="9">
        <v>27</v>
      </c>
      <c r="E1568" s="9" t="s">
        <v>1804</v>
      </c>
      <c r="F1568" t="s">
        <v>384</v>
      </c>
      <c r="G1568" t="s">
        <v>1819</v>
      </c>
      <c r="H1568" t="s">
        <v>1820</v>
      </c>
    </row>
    <row r="1569" spans="1:8" x14ac:dyDescent="0.3">
      <c r="A1569" s="6">
        <v>19</v>
      </c>
      <c r="B1569" t="s">
        <v>756</v>
      </c>
      <c r="C1569" s="9" t="s">
        <v>1807</v>
      </c>
      <c r="D1569" s="9">
        <v>1350</v>
      </c>
      <c r="E1569" s="9" t="s">
        <v>1808</v>
      </c>
      <c r="F1569" t="s">
        <v>24</v>
      </c>
      <c r="G1569" t="s">
        <v>414</v>
      </c>
      <c r="H1569" t="s">
        <v>1332</v>
      </c>
    </row>
    <row r="1570" spans="1:8" x14ac:dyDescent="0.3">
      <c r="A1570" s="6">
        <v>19</v>
      </c>
      <c r="B1570" t="s">
        <v>756</v>
      </c>
      <c r="C1570" s="9" t="s">
        <v>1807</v>
      </c>
      <c r="D1570" s="9">
        <v>120</v>
      </c>
      <c r="E1570" s="9" t="s">
        <v>1808</v>
      </c>
      <c r="F1570" t="s">
        <v>25</v>
      </c>
      <c r="G1570" t="s">
        <v>26</v>
      </c>
      <c r="H1570" t="s">
        <v>1333</v>
      </c>
    </row>
    <row r="1571" spans="1:8" x14ac:dyDescent="0.3">
      <c r="A1571" s="6">
        <v>19</v>
      </c>
      <c r="B1571" t="s">
        <v>756</v>
      </c>
      <c r="C1571" s="9" t="s">
        <v>932</v>
      </c>
      <c r="D1571" s="9">
        <v>18</v>
      </c>
      <c r="E1571" s="9" t="s">
        <v>1804</v>
      </c>
      <c r="F1571" t="s">
        <v>418</v>
      </c>
      <c r="G1571" t="s">
        <v>168</v>
      </c>
      <c r="H1571" t="s">
        <v>1440</v>
      </c>
    </row>
    <row r="1572" spans="1:8" x14ac:dyDescent="0.3">
      <c r="A1572" s="6">
        <v>19</v>
      </c>
      <c r="B1572" t="s">
        <v>756</v>
      </c>
      <c r="C1572" s="9" t="s">
        <v>932</v>
      </c>
      <c r="D1572" s="9">
        <v>18</v>
      </c>
      <c r="E1572" s="9" t="s">
        <v>1804</v>
      </c>
      <c r="F1572" t="s">
        <v>389</v>
      </c>
      <c r="G1572" t="s">
        <v>171</v>
      </c>
      <c r="H1572" t="s">
        <v>1447</v>
      </c>
    </row>
    <row r="1573" spans="1:8" x14ac:dyDescent="0.3">
      <c r="A1573" s="6">
        <v>19</v>
      </c>
      <c r="B1573" t="s">
        <v>756</v>
      </c>
      <c r="C1573" s="9" t="s">
        <v>932</v>
      </c>
      <c r="D1573" s="9">
        <v>33</v>
      </c>
      <c r="E1573" s="9" t="s">
        <v>1804</v>
      </c>
      <c r="F1573" t="s">
        <v>390</v>
      </c>
      <c r="G1573" t="s">
        <v>391</v>
      </c>
      <c r="H1573" t="s">
        <v>1449</v>
      </c>
    </row>
    <row r="1574" spans="1:8" x14ac:dyDescent="0.3">
      <c r="A1574" s="6">
        <v>19</v>
      </c>
      <c r="B1574" t="s">
        <v>756</v>
      </c>
      <c r="C1574" s="9" t="s">
        <v>932</v>
      </c>
      <c r="D1574" s="9">
        <v>35</v>
      </c>
      <c r="E1574" s="9" t="s">
        <v>1804</v>
      </c>
      <c r="F1574" t="s">
        <v>421</v>
      </c>
      <c r="G1574" t="s">
        <v>115</v>
      </c>
      <c r="H1574" t="s">
        <v>1464</v>
      </c>
    </row>
    <row r="1575" spans="1:8" x14ac:dyDescent="0.3">
      <c r="A1575" s="6">
        <v>19</v>
      </c>
      <c r="B1575" t="s">
        <v>756</v>
      </c>
      <c r="C1575" s="9" t="s">
        <v>932</v>
      </c>
      <c r="D1575" s="9">
        <v>21</v>
      </c>
      <c r="E1575" s="9" t="s">
        <v>1804</v>
      </c>
      <c r="F1575" t="s">
        <v>34</v>
      </c>
      <c r="G1575" t="s">
        <v>32</v>
      </c>
      <c r="H1575" t="s">
        <v>1485</v>
      </c>
    </row>
    <row r="1576" spans="1:8" x14ac:dyDescent="0.3">
      <c r="A1576" s="6">
        <v>19</v>
      </c>
      <c r="B1576" t="s">
        <v>756</v>
      </c>
      <c r="C1576" s="9" t="s">
        <v>932</v>
      </c>
      <c r="D1576" s="9">
        <v>24</v>
      </c>
      <c r="E1576" s="9" t="s">
        <v>1804</v>
      </c>
      <c r="F1576" t="s">
        <v>542</v>
      </c>
      <c r="G1576" t="s">
        <v>32</v>
      </c>
      <c r="H1576" t="s">
        <v>1487</v>
      </c>
    </row>
    <row r="1577" spans="1:8" x14ac:dyDescent="0.3">
      <c r="A1577" s="6">
        <v>19</v>
      </c>
      <c r="B1577" t="s">
        <v>756</v>
      </c>
      <c r="C1577" s="9" t="s">
        <v>932</v>
      </c>
      <c r="D1577" s="9">
        <v>30</v>
      </c>
      <c r="E1577" s="9" t="s">
        <v>1804</v>
      </c>
      <c r="F1577" t="s">
        <v>35</v>
      </c>
      <c r="G1577" t="s">
        <v>32</v>
      </c>
      <c r="H1577" t="s">
        <v>1489</v>
      </c>
    </row>
    <row r="1578" spans="1:8" x14ac:dyDescent="0.3">
      <c r="A1578" s="6">
        <v>19</v>
      </c>
      <c r="B1578" t="s">
        <v>756</v>
      </c>
      <c r="C1578" s="9" t="s">
        <v>932</v>
      </c>
      <c r="D1578" s="9">
        <v>21</v>
      </c>
      <c r="E1578" s="9" t="s">
        <v>1804</v>
      </c>
      <c r="F1578" t="s">
        <v>36</v>
      </c>
      <c r="G1578" t="s">
        <v>32</v>
      </c>
      <c r="H1578" t="s">
        <v>1492</v>
      </c>
    </row>
    <row r="1579" spans="1:8" x14ac:dyDescent="0.3">
      <c r="A1579" s="6">
        <v>19</v>
      </c>
      <c r="B1579" t="s">
        <v>756</v>
      </c>
      <c r="C1579" s="9" t="s">
        <v>1807</v>
      </c>
      <c r="D1579" s="9">
        <v>1050</v>
      </c>
      <c r="E1579" s="9" t="s">
        <v>1808</v>
      </c>
      <c r="F1579" t="s">
        <v>600</v>
      </c>
      <c r="G1579" t="s">
        <v>423</v>
      </c>
      <c r="H1579" t="s">
        <v>1139</v>
      </c>
    </row>
    <row r="1580" spans="1:8" x14ac:dyDescent="0.3">
      <c r="A1580" s="6">
        <v>19</v>
      </c>
      <c r="B1580" t="s">
        <v>756</v>
      </c>
      <c r="C1580" s="9" t="s">
        <v>932</v>
      </c>
      <c r="D1580" s="9">
        <v>12</v>
      </c>
      <c r="E1580" s="9" t="s">
        <v>1804</v>
      </c>
      <c r="F1580" t="s">
        <v>153</v>
      </c>
      <c r="G1580" t="s">
        <v>108</v>
      </c>
      <c r="H1580" t="s">
        <v>1150</v>
      </c>
    </row>
    <row r="1581" spans="1:8" x14ac:dyDescent="0.3">
      <c r="A1581" s="6">
        <v>19</v>
      </c>
      <c r="B1581" t="s">
        <v>756</v>
      </c>
      <c r="C1581" s="9" t="s">
        <v>932</v>
      </c>
      <c r="D1581" s="9">
        <v>18</v>
      </c>
      <c r="E1581" s="9" t="s">
        <v>1804</v>
      </c>
      <c r="F1581" t="s">
        <v>154</v>
      </c>
      <c r="G1581" t="s">
        <v>108</v>
      </c>
      <c r="H1581" t="s">
        <v>1151</v>
      </c>
    </row>
    <row r="1582" spans="1:8" x14ac:dyDescent="0.3">
      <c r="A1582" s="6">
        <v>19</v>
      </c>
      <c r="B1582" t="s">
        <v>756</v>
      </c>
      <c r="C1582" s="9" t="s">
        <v>932</v>
      </c>
      <c r="D1582" s="9">
        <v>27</v>
      </c>
      <c r="E1582" s="9" t="s">
        <v>1804</v>
      </c>
      <c r="F1582" t="s">
        <v>37</v>
      </c>
      <c r="G1582" t="s">
        <v>38</v>
      </c>
      <c r="H1582" t="s">
        <v>1164</v>
      </c>
    </row>
    <row r="1583" spans="1:8" x14ac:dyDescent="0.3">
      <c r="A1583" s="6">
        <v>19</v>
      </c>
      <c r="B1583" t="s">
        <v>756</v>
      </c>
      <c r="C1583" s="9" t="s">
        <v>932</v>
      </c>
      <c r="D1583" s="9">
        <v>12</v>
      </c>
      <c r="E1583" s="9" t="s">
        <v>1804</v>
      </c>
      <c r="F1583" t="s">
        <v>226</v>
      </c>
      <c r="G1583" t="s">
        <v>38</v>
      </c>
      <c r="H1583" t="s">
        <v>1165</v>
      </c>
    </row>
    <row r="1584" spans="1:8" x14ac:dyDescent="0.3">
      <c r="A1584" s="6">
        <v>19</v>
      </c>
      <c r="B1584" t="s">
        <v>756</v>
      </c>
      <c r="C1584" s="9" t="s">
        <v>932</v>
      </c>
      <c r="D1584" s="9">
        <v>18</v>
      </c>
      <c r="E1584" s="9" t="s">
        <v>1804</v>
      </c>
      <c r="F1584" t="s">
        <v>227</v>
      </c>
      <c r="G1584" t="s">
        <v>41</v>
      </c>
      <c r="H1584" t="s">
        <v>1167</v>
      </c>
    </row>
    <row r="1585" spans="1:8" x14ac:dyDescent="0.3">
      <c r="A1585" s="6">
        <v>19</v>
      </c>
      <c r="B1585" t="s">
        <v>756</v>
      </c>
      <c r="C1585" s="9" t="s">
        <v>932</v>
      </c>
      <c r="D1585" s="9">
        <v>12</v>
      </c>
      <c r="E1585" s="9" t="s">
        <v>1804</v>
      </c>
      <c r="F1585" t="s">
        <v>228</v>
      </c>
      <c r="G1585" t="s">
        <v>41</v>
      </c>
      <c r="H1585" t="s">
        <v>1168</v>
      </c>
    </row>
    <row r="1586" spans="1:8" x14ac:dyDescent="0.3">
      <c r="A1586" s="6">
        <v>19</v>
      </c>
      <c r="B1586" t="s">
        <v>756</v>
      </c>
      <c r="C1586" s="9" t="s">
        <v>932</v>
      </c>
      <c r="D1586" s="9">
        <v>27</v>
      </c>
      <c r="E1586" s="9" t="s">
        <v>1804</v>
      </c>
      <c r="F1586" t="s">
        <v>40</v>
      </c>
      <c r="G1586" t="s">
        <v>41</v>
      </c>
      <c r="H1586" t="s">
        <v>1169</v>
      </c>
    </row>
    <row r="1587" spans="1:8" x14ac:dyDescent="0.3">
      <c r="A1587" s="6">
        <v>19</v>
      </c>
      <c r="B1587" t="s">
        <v>756</v>
      </c>
      <c r="C1587" s="9" t="s">
        <v>932</v>
      </c>
      <c r="D1587" s="9">
        <v>18</v>
      </c>
      <c r="E1587" s="9" t="s">
        <v>1804</v>
      </c>
      <c r="F1587" t="s">
        <v>229</v>
      </c>
      <c r="G1587" t="s">
        <v>230</v>
      </c>
      <c r="H1587" t="s">
        <v>1170</v>
      </c>
    </row>
    <row r="1588" spans="1:8" x14ac:dyDescent="0.3">
      <c r="A1588" s="6">
        <v>19</v>
      </c>
      <c r="B1588" t="s">
        <v>756</v>
      </c>
      <c r="C1588" s="9" t="s">
        <v>932</v>
      </c>
      <c r="D1588" s="9">
        <v>24</v>
      </c>
      <c r="E1588" s="9" t="s">
        <v>1804</v>
      </c>
      <c r="F1588" t="s">
        <v>232</v>
      </c>
      <c r="G1588" t="s">
        <v>144</v>
      </c>
      <c r="H1588" t="s">
        <v>1171</v>
      </c>
    </row>
    <row r="1589" spans="1:8" x14ac:dyDescent="0.3">
      <c r="A1589" s="6">
        <v>19</v>
      </c>
      <c r="B1589" t="s">
        <v>756</v>
      </c>
      <c r="C1589" s="9" t="s">
        <v>932</v>
      </c>
      <c r="D1589" s="9">
        <v>25</v>
      </c>
      <c r="E1589" s="9" t="s">
        <v>1804</v>
      </c>
      <c r="F1589" t="s">
        <v>394</v>
      </c>
      <c r="G1589" t="s">
        <v>112</v>
      </c>
      <c r="H1589" t="s">
        <v>1172</v>
      </c>
    </row>
    <row r="1590" spans="1:8" x14ac:dyDescent="0.3">
      <c r="A1590" s="6">
        <v>19</v>
      </c>
      <c r="B1590" t="s">
        <v>756</v>
      </c>
      <c r="C1590" s="9" t="s">
        <v>932</v>
      </c>
      <c r="D1590" s="9">
        <v>24</v>
      </c>
      <c r="E1590" s="9" t="s">
        <v>1804</v>
      </c>
      <c r="F1590" t="s">
        <v>764</v>
      </c>
      <c r="G1590" t="s">
        <v>509</v>
      </c>
      <c r="H1590" t="s">
        <v>1522</v>
      </c>
    </row>
    <row r="1591" spans="1:8" x14ac:dyDescent="0.3">
      <c r="A1591" s="6">
        <v>19</v>
      </c>
      <c r="B1591" t="s">
        <v>756</v>
      </c>
      <c r="C1591" s="9" t="s">
        <v>932</v>
      </c>
      <c r="D1591" s="9">
        <v>18</v>
      </c>
      <c r="E1591" s="9" t="s">
        <v>1804</v>
      </c>
      <c r="F1591" t="s">
        <v>246</v>
      </c>
      <c r="G1591" t="s">
        <v>51</v>
      </c>
      <c r="H1591" t="s">
        <v>1596</v>
      </c>
    </row>
    <row r="1592" spans="1:8" x14ac:dyDescent="0.3">
      <c r="A1592" s="6">
        <v>19</v>
      </c>
      <c r="B1592" t="s">
        <v>756</v>
      </c>
      <c r="C1592" s="9" t="s">
        <v>932</v>
      </c>
      <c r="D1592" s="9">
        <v>12</v>
      </c>
      <c r="E1592" s="9" t="s">
        <v>1804</v>
      </c>
      <c r="F1592" t="s">
        <v>56</v>
      </c>
      <c r="G1592" t="s">
        <v>57</v>
      </c>
      <c r="H1592" t="s">
        <v>1623</v>
      </c>
    </row>
    <row r="1593" spans="1:8" x14ac:dyDescent="0.3">
      <c r="A1593" s="6">
        <v>19</v>
      </c>
      <c r="B1593" t="s">
        <v>756</v>
      </c>
      <c r="C1593" s="9" t="s">
        <v>932</v>
      </c>
      <c r="D1593" s="9">
        <v>12</v>
      </c>
      <c r="E1593" s="9" t="s">
        <v>1804</v>
      </c>
      <c r="F1593" t="s">
        <v>252</v>
      </c>
      <c r="G1593" t="s">
        <v>253</v>
      </c>
      <c r="H1593" t="s">
        <v>1635</v>
      </c>
    </row>
    <row r="1594" spans="1:8" x14ac:dyDescent="0.3">
      <c r="A1594" s="6">
        <v>19</v>
      </c>
      <c r="B1594" t="s">
        <v>756</v>
      </c>
      <c r="C1594" s="9" t="s">
        <v>932</v>
      </c>
      <c r="D1594" s="9">
        <v>14</v>
      </c>
      <c r="E1594" s="9" t="s">
        <v>1804</v>
      </c>
      <c r="F1594" t="s">
        <v>262</v>
      </c>
      <c r="G1594" t="s">
        <v>263</v>
      </c>
      <c r="H1594" t="s">
        <v>989</v>
      </c>
    </row>
    <row r="1595" spans="1:8" x14ac:dyDescent="0.3">
      <c r="A1595" s="6">
        <v>19</v>
      </c>
      <c r="B1595" t="s">
        <v>756</v>
      </c>
      <c r="C1595" s="9" t="s">
        <v>1807</v>
      </c>
      <c r="D1595" s="9">
        <v>1050</v>
      </c>
      <c r="E1595" s="9" t="s">
        <v>1808</v>
      </c>
      <c r="F1595" t="s">
        <v>291</v>
      </c>
      <c r="G1595" t="s">
        <v>292</v>
      </c>
      <c r="H1595" t="s">
        <v>1678</v>
      </c>
    </row>
    <row r="1596" spans="1:8" x14ac:dyDescent="0.3">
      <c r="A1596" s="6">
        <v>19</v>
      </c>
      <c r="B1596" t="s">
        <v>756</v>
      </c>
      <c r="C1596" s="9" t="s">
        <v>1807</v>
      </c>
      <c r="D1596" s="9">
        <v>750</v>
      </c>
      <c r="E1596" s="9" t="s">
        <v>1808</v>
      </c>
      <c r="F1596" t="s">
        <v>456</v>
      </c>
      <c r="G1596" t="s">
        <v>292</v>
      </c>
      <c r="H1596" t="s">
        <v>1679</v>
      </c>
    </row>
    <row r="1597" spans="1:8" x14ac:dyDescent="0.3">
      <c r="A1597" s="6">
        <v>19</v>
      </c>
      <c r="B1597" t="s">
        <v>756</v>
      </c>
      <c r="C1597" s="9" t="s">
        <v>1807</v>
      </c>
      <c r="D1597" s="9">
        <v>420</v>
      </c>
      <c r="E1597" s="9" t="s">
        <v>1808</v>
      </c>
      <c r="F1597" t="s">
        <v>68</v>
      </c>
      <c r="G1597" t="s">
        <v>69</v>
      </c>
      <c r="H1597" t="s">
        <v>1551</v>
      </c>
    </row>
    <row r="1598" spans="1:8" x14ac:dyDescent="0.3">
      <c r="A1598" s="6">
        <v>19</v>
      </c>
      <c r="B1598" t="s">
        <v>756</v>
      </c>
      <c r="C1598" s="9" t="s">
        <v>1807</v>
      </c>
      <c r="D1598" s="9">
        <v>198</v>
      </c>
      <c r="E1598" s="9" t="s">
        <v>1808</v>
      </c>
      <c r="F1598" t="s">
        <v>484</v>
      </c>
      <c r="G1598" t="s">
        <v>69</v>
      </c>
      <c r="H1598" t="s">
        <v>1556</v>
      </c>
    </row>
    <row r="1599" spans="1:8" x14ac:dyDescent="0.3">
      <c r="A1599" s="6">
        <v>19</v>
      </c>
      <c r="B1599" t="s">
        <v>756</v>
      </c>
      <c r="C1599" s="9" t="s">
        <v>1807</v>
      </c>
      <c r="D1599" s="9">
        <v>770</v>
      </c>
      <c r="E1599" s="9" t="s">
        <v>1808</v>
      </c>
      <c r="F1599" t="s">
        <v>71</v>
      </c>
      <c r="G1599" t="s">
        <v>72</v>
      </c>
      <c r="H1599" t="s">
        <v>1565</v>
      </c>
    </row>
    <row r="1600" spans="1:8" x14ac:dyDescent="0.3">
      <c r="A1600" s="6">
        <v>19</v>
      </c>
      <c r="B1600" t="s">
        <v>756</v>
      </c>
      <c r="C1600" s="9" t="s">
        <v>1807</v>
      </c>
      <c r="D1600" s="9">
        <v>518</v>
      </c>
      <c r="E1600" s="9" t="s">
        <v>1808</v>
      </c>
      <c r="F1600" t="s">
        <v>74</v>
      </c>
      <c r="G1600" t="s">
        <v>72</v>
      </c>
      <c r="H1600" t="s">
        <v>1566</v>
      </c>
    </row>
    <row r="1601" spans="1:8" x14ac:dyDescent="0.3">
      <c r="A1601" s="6">
        <v>19</v>
      </c>
      <c r="B1601" t="s">
        <v>756</v>
      </c>
      <c r="C1601" s="9" t="s">
        <v>1807</v>
      </c>
      <c r="D1601" s="9">
        <v>490</v>
      </c>
      <c r="E1601" s="9" t="s">
        <v>1808</v>
      </c>
      <c r="F1601" t="s">
        <v>765</v>
      </c>
      <c r="G1601" t="s">
        <v>72</v>
      </c>
      <c r="H1601" t="s">
        <v>1571</v>
      </c>
    </row>
    <row r="1602" spans="1:8" x14ac:dyDescent="0.3">
      <c r="A1602" s="6">
        <v>19</v>
      </c>
      <c r="B1602" t="s">
        <v>756</v>
      </c>
      <c r="C1602" s="9" t="s">
        <v>1807</v>
      </c>
      <c r="D1602" s="9">
        <v>398</v>
      </c>
      <c r="E1602" s="9" t="s">
        <v>1808</v>
      </c>
      <c r="F1602" t="s">
        <v>318</v>
      </c>
      <c r="G1602" t="s">
        <v>76</v>
      </c>
      <c r="H1602" t="s">
        <v>1578</v>
      </c>
    </row>
    <row r="1603" spans="1:8" x14ac:dyDescent="0.3">
      <c r="A1603" s="6">
        <v>19</v>
      </c>
      <c r="B1603" t="s">
        <v>756</v>
      </c>
      <c r="C1603" s="9" t="s">
        <v>1809</v>
      </c>
      <c r="D1603" s="9">
        <v>60</v>
      </c>
      <c r="E1603" s="9" t="s">
        <v>1804</v>
      </c>
      <c r="F1603" t="s">
        <v>78</v>
      </c>
      <c r="G1603" t="s">
        <v>1810</v>
      </c>
      <c r="H1603" t="s">
        <v>1811</v>
      </c>
    </row>
    <row r="1604" spans="1:8" x14ac:dyDescent="0.3">
      <c r="A1604" s="6">
        <v>19</v>
      </c>
      <c r="B1604" t="s">
        <v>756</v>
      </c>
      <c r="C1604" s="9" t="s">
        <v>963</v>
      </c>
      <c r="D1604" s="9">
        <v>60</v>
      </c>
      <c r="E1604" s="9" t="s">
        <v>1804</v>
      </c>
      <c r="F1604" t="s">
        <v>766</v>
      </c>
      <c r="G1604" t="s">
        <v>758</v>
      </c>
      <c r="H1604" t="s">
        <v>1241</v>
      </c>
    </row>
    <row r="1605" spans="1:8" x14ac:dyDescent="0.3">
      <c r="A1605" s="6">
        <v>19</v>
      </c>
      <c r="B1605" t="s">
        <v>756</v>
      </c>
      <c r="C1605" s="9" t="s">
        <v>963</v>
      </c>
      <c r="D1605" s="9">
        <v>64</v>
      </c>
      <c r="E1605" s="9" t="s">
        <v>1804</v>
      </c>
      <c r="F1605" t="s">
        <v>767</v>
      </c>
      <c r="G1605" t="s">
        <v>499</v>
      </c>
      <c r="H1605" t="s">
        <v>1703</v>
      </c>
    </row>
    <row r="1606" spans="1:8" x14ac:dyDescent="0.3">
      <c r="A1606" s="6">
        <v>19</v>
      </c>
      <c r="B1606" t="s">
        <v>756</v>
      </c>
      <c r="C1606" s="9" t="s">
        <v>963</v>
      </c>
      <c r="D1606" s="9">
        <v>88</v>
      </c>
      <c r="E1606" s="9" t="s">
        <v>1804</v>
      </c>
      <c r="F1606" t="s">
        <v>84</v>
      </c>
      <c r="G1606" t="s">
        <v>85</v>
      </c>
      <c r="H1606" t="s">
        <v>1342</v>
      </c>
    </row>
    <row r="1607" spans="1:8" x14ac:dyDescent="0.3">
      <c r="A1607" s="6">
        <v>19</v>
      </c>
      <c r="B1607" t="s">
        <v>756</v>
      </c>
      <c r="C1607" s="9" t="s">
        <v>963</v>
      </c>
      <c r="D1607" s="9">
        <v>73</v>
      </c>
      <c r="E1607" s="9" t="s">
        <v>1804</v>
      </c>
      <c r="F1607" t="s">
        <v>90</v>
      </c>
      <c r="G1607" t="s">
        <v>15</v>
      </c>
      <c r="H1607" t="s">
        <v>1351</v>
      </c>
    </row>
    <row r="1608" spans="1:8" x14ac:dyDescent="0.3">
      <c r="A1608" s="6">
        <v>19</v>
      </c>
      <c r="B1608" t="s">
        <v>756</v>
      </c>
      <c r="C1608" s="9" t="s">
        <v>963</v>
      </c>
      <c r="D1608" s="9">
        <v>77</v>
      </c>
      <c r="E1608" s="9" t="s">
        <v>1804</v>
      </c>
      <c r="F1608" t="s">
        <v>91</v>
      </c>
      <c r="G1608" t="s">
        <v>92</v>
      </c>
      <c r="H1608" t="s">
        <v>1353</v>
      </c>
    </row>
    <row r="1609" spans="1:8" x14ac:dyDescent="0.3">
      <c r="A1609" s="6">
        <v>19</v>
      </c>
      <c r="B1609" t="s">
        <v>756</v>
      </c>
      <c r="C1609" s="9" t="s">
        <v>963</v>
      </c>
      <c r="D1609" s="9">
        <v>65</v>
      </c>
      <c r="E1609" s="9" t="s">
        <v>1804</v>
      </c>
      <c r="F1609" t="s">
        <v>399</v>
      </c>
      <c r="G1609" t="s">
        <v>1819</v>
      </c>
      <c r="H1609" t="s">
        <v>1420</v>
      </c>
    </row>
    <row r="1610" spans="1:8" x14ac:dyDescent="0.3">
      <c r="A1610" s="6">
        <v>19</v>
      </c>
      <c r="B1610" t="s">
        <v>756</v>
      </c>
      <c r="C1610" s="9" t="s">
        <v>963</v>
      </c>
      <c r="D1610" s="9">
        <v>72</v>
      </c>
      <c r="E1610" s="9" t="s">
        <v>1804</v>
      </c>
      <c r="F1610" t="s">
        <v>101</v>
      </c>
      <c r="G1610" t="s">
        <v>102</v>
      </c>
      <c r="H1610" t="s">
        <v>1365</v>
      </c>
    </row>
    <row r="1611" spans="1:8" x14ac:dyDescent="0.3">
      <c r="A1611" s="6">
        <v>19</v>
      </c>
      <c r="B1611" t="s">
        <v>756</v>
      </c>
      <c r="C1611" s="9" t="s">
        <v>963</v>
      </c>
      <c r="D1611" s="9">
        <v>60</v>
      </c>
      <c r="E1611" s="9" t="s">
        <v>1804</v>
      </c>
      <c r="F1611" t="s">
        <v>170</v>
      </c>
      <c r="G1611" t="s">
        <v>171</v>
      </c>
      <c r="H1611" t="s">
        <v>1535</v>
      </c>
    </row>
    <row r="1612" spans="1:8" x14ac:dyDescent="0.3">
      <c r="A1612" s="6">
        <v>19</v>
      </c>
      <c r="B1612" t="s">
        <v>756</v>
      </c>
      <c r="C1612" s="9" t="s">
        <v>963</v>
      </c>
      <c r="D1612" s="9">
        <v>60</v>
      </c>
      <c r="E1612" s="9" t="s">
        <v>1804</v>
      </c>
      <c r="F1612" t="s">
        <v>686</v>
      </c>
      <c r="G1612" t="s">
        <v>115</v>
      </c>
      <c r="H1612" t="s">
        <v>1536</v>
      </c>
    </row>
    <row r="1613" spans="1:8" x14ac:dyDescent="0.3">
      <c r="A1613" s="6">
        <v>19</v>
      </c>
      <c r="B1613" t="s">
        <v>756</v>
      </c>
      <c r="C1613" s="9" t="s">
        <v>963</v>
      </c>
      <c r="D1613" s="9">
        <v>63</v>
      </c>
      <c r="E1613" s="9" t="s">
        <v>1804</v>
      </c>
      <c r="F1613" t="s">
        <v>349</v>
      </c>
      <c r="G1613" t="s">
        <v>32</v>
      </c>
      <c r="H1613" t="s">
        <v>1537</v>
      </c>
    </row>
    <row r="1614" spans="1:8" x14ac:dyDescent="0.3">
      <c r="A1614" s="6">
        <v>19</v>
      </c>
      <c r="B1614" t="s">
        <v>756</v>
      </c>
      <c r="C1614" s="9" t="s">
        <v>963</v>
      </c>
      <c r="D1614" s="9">
        <v>60</v>
      </c>
      <c r="E1614" s="9" t="s">
        <v>1804</v>
      </c>
      <c r="F1614" t="s">
        <v>106</v>
      </c>
      <c r="G1614" t="s">
        <v>32</v>
      </c>
      <c r="H1614" t="s">
        <v>1537</v>
      </c>
    </row>
    <row r="1615" spans="1:8" x14ac:dyDescent="0.3">
      <c r="A1615" s="6">
        <v>19</v>
      </c>
      <c r="B1615" t="s">
        <v>756</v>
      </c>
      <c r="C1615" s="9" t="s">
        <v>963</v>
      </c>
      <c r="D1615" s="9">
        <v>60</v>
      </c>
      <c r="E1615" s="9" t="s">
        <v>1804</v>
      </c>
      <c r="F1615" t="s">
        <v>656</v>
      </c>
      <c r="G1615" t="s">
        <v>504</v>
      </c>
      <c r="H1615" t="s">
        <v>1538</v>
      </c>
    </row>
    <row r="1616" spans="1:8" x14ac:dyDescent="0.3">
      <c r="A1616" s="6">
        <v>19</v>
      </c>
      <c r="B1616" t="s">
        <v>756</v>
      </c>
      <c r="C1616" s="9" t="s">
        <v>963</v>
      </c>
      <c r="D1616" s="9">
        <v>60</v>
      </c>
      <c r="E1616" s="9" t="s">
        <v>1804</v>
      </c>
      <c r="F1616" t="s">
        <v>107</v>
      </c>
      <c r="G1616" t="s">
        <v>108</v>
      </c>
      <c r="H1616" t="s">
        <v>1140</v>
      </c>
    </row>
    <row r="1617" spans="1:8" x14ac:dyDescent="0.3">
      <c r="A1617" s="6">
        <v>19</v>
      </c>
      <c r="B1617" t="s">
        <v>756</v>
      </c>
      <c r="C1617" s="9" t="s">
        <v>963</v>
      </c>
      <c r="D1617" s="9">
        <v>60</v>
      </c>
      <c r="E1617" s="9" t="s">
        <v>1804</v>
      </c>
      <c r="F1617" t="s">
        <v>351</v>
      </c>
      <c r="G1617" t="s">
        <v>38</v>
      </c>
      <c r="H1617" t="s">
        <v>1142</v>
      </c>
    </row>
    <row r="1618" spans="1:8" x14ac:dyDescent="0.3">
      <c r="A1618" s="6">
        <v>19</v>
      </c>
      <c r="B1618" t="s">
        <v>756</v>
      </c>
      <c r="C1618" s="9" t="s">
        <v>963</v>
      </c>
      <c r="D1618" s="9">
        <v>60</v>
      </c>
      <c r="E1618" s="9" t="s">
        <v>1804</v>
      </c>
      <c r="F1618" t="s">
        <v>110</v>
      </c>
      <c r="G1618" t="s">
        <v>41</v>
      </c>
      <c r="H1618" t="s">
        <v>1144</v>
      </c>
    </row>
    <row r="1619" spans="1:8" x14ac:dyDescent="0.3">
      <c r="A1619" s="6">
        <v>19</v>
      </c>
      <c r="B1619" t="s">
        <v>756</v>
      </c>
      <c r="C1619" s="9" t="s">
        <v>963</v>
      </c>
      <c r="D1619" s="9">
        <v>60</v>
      </c>
      <c r="E1619" s="9" t="s">
        <v>1804</v>
      </c>
      <c r="F1619" t="s">
        <v>768</v>
      </c>
      <c r="G1619" t="s">
        <v>509</v>
      </c>
      <c r="H1619" t="s">
        <v>1542</v>
      </c>
    </row>
    <row r="1620" spans="1:8" x14ac:dyDescent="0.3">
      <c r="A1620" s="6">
        <v>19</v>
      </c>
      <c r="B1620" t="s">
        <v>756</v>
      </c>
      <c r="C1620" s="9" t="s">
        <v>963</v>
      </c>
      <c r="D1620" s="9">
        <v>60</v>
      </c>
      <c r="E1620" s="9" t="s">
        <v>1804</v>
      </c>
      <c r="F1620" t="s">
        <v>120</v>
      </c>
      <c r="G1620" t="s">
        <v>51</v>
      </c>
      <c r="H1620" t="s">
        <v>1590</v>
      </c>
    </row>
    <row r="1621" spans="1:8" x14ac:dyDescent="0.3">
      <c r="A1621" s="6">
        <v>19</v>
      </c>
      <c r="B1621" t="s">
        <v>756</v>
      </c>
      <c r="C1621" s="9" t="s">
        <v>963</v>
      </c>
      <c r="D1621" s="9">
        <v>62</v>
      </c>
      <c r="E1621" s="9" t="s">
        <v>1804</v>
      </c>
      <c r="F1621" t="s">
        <v>769</v>
      </c>
      <c r="G1621" t="s">
        <v>470</v>
      </c>
      <c r="H1621" t="s">
        <v>1792</v>
      </c>
    </row>
    <row r="1622" spans="1:8" x14ac:dyDescent="0.3">
      <c r="A1622" s="6">
        <v>19</v>
      </c>
      <c r="B1622" t="s">
        <v>756</v>
      </c>
      <c r="C1622" s="9" t="s">
        <v>963</v>
      </c>
      <c r="D1622" s="9">
        <v>62</v>
      </c>
      <c r="E1622" s="9" t="s">
        <v>1804</v>
      </c>
      <c r="F1622" t="s">
        <v>405</v>
      </c>
      <c r="G1622" t="s">
        <v>260</v>
      </c>
      <c r="H1622" t="s">
        <v>1022</v>
      </c>
    </row>
    <row r="1623" spans="1:8" x14ac:dyDescent="0.3">
      <c r="A1623" s="6">
        <v>19</v>
      </c>
      <c r="B1623" t="s">
        <v>756</v>
      </c>
      <c r="C1623" s="9" t="s">
        <v>963</v>
      </c>
      <c r="D1623" s="9">
        <v>60</v>
      </c>
      <c r="E1623" s="9" t="s">
        <v>1804</v>
      </c>
      <c r="F1623" t="s">
        <v>361</v>
      </c>
      <c r="G1623" t="s">
        <v>283</v>
      </c>
      <c r="H1623" t="s">
        <v>1793</v>
      </c>
    </row>
    <row r="1624" spans="1:8" x14ac:dyDescent="0.3">
      <c r="A1624" s="6">
        <v>19</v>
      </c>
      <c r="B1624" t="s">
        <v>756</v>
      </c>
      <c r="C1624" s="9" t="s">
        <v>963</v>
      </c>
      <c r="D1624" s="9">
        <v>64</v>
      </c>
      <c r="E1624" s="9" t="s">
        <v>1804</v>
      </c>
      <c r="F1624" t="s">
        <v>362</v>
      </c>
      <c r="G1624" t="s">
        <v>298</v>
      </c>
      <c r="H1624" t="s">
        <v>1794</v>
      </c>
    </row>
    <row r="1625" spans="1:8" x14ac:dyDescent="0.3">
      <c r="A1625" s="6">
        <v>19</v>
      </c>
      <c r="B1625" t="s">
        <v>756</v>
      </c>
      <c r="C1625" s="9" t="s">
        <v>963</v>
      </c>
      <c r="D1625" s="9">
        <v>60</v>
      </c>
      <c r="E1625" s="9" t="s">
        <v>1804</v>
      </c>
      <c r="F1625" t="s">
        <v>365</v>
      </c>
      <c r="G1625" t="s">
        <v>301</v>
      </c>
      <c r="H1625" t="s">
        <v>1796</v>
      </c>
    </row>
    <row r="1626" spans="1:8" x14ac:dyDescent="0.3">
      <c r="A1626" s="6">
        <v>19</v>
      </c>
      <c r="B1626" t="s">
        <v>756</v>
      </c>
      <c r="C1626" s="9" t="s">
        <v>963</v>
      </c>
      <c r="D1626" s="9">
        <v>60</v>
      </c>
      <c r="E1626" s="9" t="s">
        <v>1804</v>
      </c>
      <c r="F1626" t="s">
        <v>367</v>
      </c>
      <c r="G1626" t="s">
        <v>368</v>
      </c>
      <c r="H1626" t="s">
        <v>1688</v>
      </c>
    </row>
    <row r="1627" spans="1:8" x14ac:dyDescent="0.3">
      <c r="A1627" s="6">
        <v>19</v>
      </c>
      <c r="B1627" t="s">
        <v>756</v>
      </c>
      <c r="C1627" s="9" t="s">
        <v>963</v>
      </c>
      <c r="D1627" s="9">
        <v>64</v>
      </c>
      <c r="E1627" s="9" t="s">
        <v>1804</v>
      </c>
      <c r="F1627" t="s">
        <v>125</v>
      </c>
      <c r="G1627" t="s">
        <v>126</v>
      </c>
      <c r="H1627" t="s">
        <v>1581</v>
      </c>
    </row>
    <row r="1628" spans="1:8" x14ac:dyDescent="0.3">
      <c r="A1628" s="6">
        <v>19</v>
      </c>
      <c r="B1628" t="s">
        <v>756</v>
      </c>
      <c r="C1628" s="9" t="s">
        <v>963</v>
      </c>
      <c r="D1628" s="9">
        <v>60</v>
      </c>
      <c r="E1628" s="9" t="s">
        <v>1804</v>
      </c>
      <c r="F1628" t="s">
        <v>128</v>
      </c>
      <c r="G1628" t="s">
        <v>129</v>
      </c>
      <c r="H1628" t="s">
        <v>1582</v>
      </c>
    </row>
    <row r="1629" spans="1:8" x14ac:dyDescent="0.3">
      <c r="A1629" s="6">
        <v>19</v>
      </c>
      <c r="B1629" t="s">
        <v>756</v>
      </c>
      <c r="C1629" s="9" t="s">
        <v>963</v>
      </c>
      <c r="D1629" s="9">
        <v>60</v>
      </c>
      <c r="E1629" s="9" t="s">
        <v>1804</v>
      </c>
      <c r="F1629" t="s">
        <v>375</v>
      </c>
      <c r="G1629" t="s">
        <v>376</v>
      </c>
      <c r="H1629" t="s">
        <v>1586</v>
      </c>
    </row>
    <row r="1630" spans="1:8" x14ac:dyDescent="0.3">
      <c r="A1630" s="6">
        <v>19</v>
      </c>
      <c r="B1630" t="s">
        <v>756</v>
      </c>
      <c r="C1630" s="9" t="s">
        <v>963</v>
      </c>
      <c r="D1630" s="9">
        <v>0</v>
      </c>
      <c r="E1630" s="9" t="s">
        <v>1808</v>
      </c>
      <c r="F1630" t="s">
        <v>379</v>
      </c>
      <c r="G1630" t="s">
        <v>1829</v>
      </c>
      <c r="H1630" t="s">
        <v>1830</v>
      </c>
    </row>
    <row r="1631" spans="1:8" x14ac:dyDescent="0.3">
      <c r="A1631" s="6">
        <v>19</v>
      </c>
      <c r="B1631" t="s">
        <v>756</v>
      </c>
      <c r="C1631" s="9" t="s">
        <v>963</v>
      </c>
      <c r="D1631" s="9">
        <v>0</v>
      </c>
      <c r="E1631" s="9" t="s">
        <v>1804</v>
      </c>
      <c r="F1631" t="s">
        <v>379</v>
      </c>
      <c r="G1631" t="s">
        <v>1829</v>
      </c>
      <c r="H1631" t="s">
        <v>1830</v>
      </c>
    </row>
    <row r="1632" spans="1:8" x14ac:dyDescent="0.3">
      <c r="A1632" s="6">
        <v>19</v>
      </c>
      <c r="B1632" t="s">
        <v>756</v>
      </c>
      <c r="C1632" s="9" t="s">
        <v>932</v>
      </c>
      <c r="D1632" s="9">
        <v>0</v>
      </c>
      <c r="E1632" s="9" t="s">
        <v>1804</v>
      </c>
      <c r="F1632" t="s">
        <v>379</v>
      </c>
      <c r="G1632" t="s">
        <v>1829</v>
      </c>
      <c r="H1632" t="s">
        <v>1830</v>
      </c>
    </row>
    <row r="1633" spans="1:8" x14ac:dyDescent="0.3">
      <c r="A1633" s="6">
        <v>19</v>
      </c>
      <c r="B1633" t="s">
        <v>756</v>
      </c>
      <c r="C1633" s="9" t="s">
        <v>1807</v>
      </c>
      <c r="D1633" s="9">
        <v>0</v>
      </c>
      <c r="E1633" s="9" t="s">
        <v>1808</v>
      </c>
      <c r="F1633" t="s">
        <v>379</v>
      </c>
      <c r="G1633" t="s">
        <v>1829</v>
      </c>
      <c r="H1633" t="s">
        <v>1830</v>
      </c>
    </row>
    <row r="1634" spans="1:8" x14ac:dyDescent="0.3">
      <c r="A1634" s="6">
        <v>20</v>
      </c>
      <c r="B1634" t="s">
        <v>703</v>
      </c>
      <c r="C1634" s="9" t="s">
        <v>932</v>
      </c>
      <c r="D1634" s="9">
        <v>30</v>
      </c>
      <c r="E1634" s="9" t="s">
        <v>1804</v>
      </c>
      <c r="F1634" t="s">
        <v>146</v>
      </c>
      <c r="G1634" t="s">
        <v>147</v>
      </c>
      <c r="H1634" t="s">
        <v>1377</v>
      </c>
    </row>
    <row r="1635" spans="1:8" x14ac:dyDescent="0.3">
      <c r="A1635" s="6">
        <v>20</v>
      </c>
      <c r="B1635" t="s">
        <v>703</v>
      </c>
      <c r="C1635" s="9" t="s">
        <v>932</v>
      </c>
      <c r="D1635" s="9">
        <v>15</v>
      </c>
      <c r="E1635" s="9" t="s">
        <v>1804</v>
      </c>
      <c r="F1635" t="s">
        <v>149</v>
      </c>
      <c r="G1635" t="s">
        <v>147</v>
      </c>
      <c r="H1635" t="s">
        <v>1378</v>
      </c>
    </row>
    <row r="1636" spans="1:8" x14ac:dyDescent="0.3">
      <c r="A1636" s="6">
        <v>20</v>
      </c>
      <c r="B1636" t="s">
        <v>703</v>
      </c>
      <c r="C1636" s="9" t="s">
        <v>932</v>
      </c>
      <c r="D1636" s="9">
        <v>30</v>
      </c>
      <c r="E1636" s="9" t="s">
        <v>1804</v>
      </c>
      <c r="F1636" t="s">
        <v>176</v>
      </c>
      <c r="G1636" t="s">
        <v>177</v>
      </c>
      <c r="H1636" t="s">
        <v>1381</v>
      </c>
    </row>
    <row r="1637" spans="1:8" x14ac:dyDescent="0.3">
      <c r="A1637" s="6">
        <v>20</v>
      </c>
      <c r="B1637" t="s">
        <v>703</v>
      </c>
      <c r="C1637" s="9" t="s">
        <v>932</v>
      </c>
      <c r="D1637" s="9">
        <v>24</v>
      </c>
      <c r="E1637" s="9" t="s">
        <v>1804</v>
      </c>
      <c r="F1637" t="s">
        <v>536</v>
      </c>
      <c r="G1637" t="s">
        <v>537</v>
      </c>
      <c r="H1637" t="s">
        <v>1384</v>
      </c>
    </row>
    <row r="1638" spans="1:8" x14ac:dyDescent="0.3">
      <c r="A1638" s="6">
        <v>20</v>
      </c>
      <c r="B1638" t="s">
        <v>703</v>
      </c>
      <c r="C1638" s="9" t="s">
        <v>932</v>
      </c>
      <c r="D1638" s="9">
        <v>37</v>
      </c>
      <c r="E1638" s="9" t="s">
        <v>1804</v>
      </c>
      <c r="F1638" t="s">
        <v>198</v>
      </c>
      <c r="G1638" t="s">
        <v>196</v>
      </c>
      <c r="H1638" t="s">
        <v>1267</v>
      </c>
    </row>
    <row r="1639" spans="1:8" x14ac:dyDescent="0.3">
      <c r="A1639" s="6">
        <v>20</v>
      </c>
      <c r="B1639" t="s">
        <v>703</v>
      </c>
      <c r="C1639" s="9" t="s">
        <v>1807</v>
      </c>
      <c r="D1639" s="9">
        <v>1300</v>
      </c>
      <c r="E1639" s="9" t="s">
        <v>1808</v>
      </c>
      <c r="F1639" t="s">
        <v>199</v>
      </c>
      <c r="G1639" t="s">
        <v>200</v>
      </c>
      <c r="H1639" t="s">
        <v>1271</v>
      </c>
    </row>
    <row r="1640" spans="1:8" x14ac:dyDescent="0.3">
      <c r="A1640" s="6">
        <v>20</v>
      </c>
      <c r="B1640" t="s">
        <v>703</v>
      </c>
      <c r="C1640" s="9" t="s">
        <v>1266</v>
      </c>
      <c r="D1640" s="9">
        <v>40</v>
      </c>
      <c r="E1640" s="9" t="s">
        <v>1804</v>
      </c>
      <c r="F1640" t="s">
        <v>11</v>
      </c>
      <c r="G1640" t="s">
        <v>12</v>
      </c>
      <c r="H1640" t="s">
        <v>1277</v>
      </c>
    </row>
    <row r="1641" spans="1:8" x14ac:dyDescent="0.3">
      <c r="A1641" s="6">
        <v>20</v>
      </c>
      <c r="B1641" t="s">
        <v>703</v>
      </c>
      <c r="C1641" s="9" t="s">
        <v>1807</v>
      </c>
      <c r="D1641" s="9">
        <v>465</v>
      </c>
      <c r="E1641" s="9" t="s">
        <v>1808</v>
      </c>
      <c r="F1641" t="s">
        <v>704</v>
      </c>
      <c r="G1641" t="s">
        <v>705</v>
      </c>
      <c r="H1641" t="s">
        <v>1289</v>
      </c>
    </row>
    <row r="1642" spans="1:8" x14ac:dyDescent="0.3">
      <c r="A1642" s="6">
        <v>20</v>
      </c>
      <c r="B1642" t="s">
        <v>703</v>
      </c>
      <c r="C1642" s="9" t="s">
        <v>932</v>
      </c>
      <c r="D1642" s="9">
        <v>42</v>
      </c>
      <c r="E1642" s="9" t="s">
        <v>1804</v>
      </c>
      <c r="F1642" t="s">
        <v>14</v>
      </c>
      <c r="G1642" t="s">
        <v>15</v>
      </c>
      <c r="H1642" t="s">
        <v>1290</v>
      </c>
    </row>
    <row r="1643" spans="1:8" x14ac:dyDescent="0.3">
      <c r="A1643" s="6">
        <v>20</v>
      </c>
      <c r="B1643" t="s">
        <v>703</v>
      </c>
      <c r="C1643" s="9" t="s">
        <v>1266</v>
      </c>
      <c r="D1643" s="9">
        <v>12</v>
      </c>
      <c r="E1643" s="9" t="s">
        <v>1804</v>
      </c>
      <c r="F1643" t="s">
        <v>17</v>
      </c>
      <c r="G1643" t="s">
        <v>15</v>
      </c>
      <c r="H1643" t="s">
        <v>1291</v>
      </c>
    </row>
    <row r="1644" spans="1:8" x14ac:dyDescent="0.3">
      <c r="A1644" s="6">
        <v>20</v>
      </c>
      <c r="B1644" t="s">
        <v>703</v>
      </c>
      <c r="C1644" s="9" t="s">
        <v>1807</v>
      </c>
      <c r="D1644" s="9">
        <v>1330</v>
      </c>
      <c r="E1644" s="9" t="s">
        <v>1808</v>
      </c>
      <c r="F1644" t="s">
        <v>207</v>
      </c>
      <c r="G1644" t="s">
        <v>19</v>
      </c>
      <c r="H1644" t="s">
        <v>1301</v>
      </c>
    </row>
    <row r="1645" spans="1:8" x14ac:dyDescent="0.3">
      <c r="A1645" s="6">
        <v>20</v>
      </c>
      <c r="B1645" t="s">
        <v>703</v>
      </c>
      <c r="C1645" s="9" t="s">
        <v>1807</v>
      </c>
      <c r="D1645" s="9">
        <v>165</v>
      </c>
      <c r="E1645" s="9" t="s">
        <v>1808</v>
      </c>
      <c r="F1645" t="s">
        <v>410</v>
      </c>
      <c r="G1645" t="s">
        <v>411</v>
      </c>
      <c r="H1645" t="s">
        <v>1313</v>
      </c>
    </row>
    <row r="1646" spans="1:8" x14ac:dyDescent="0.3">
      <c r="A1646" s="6">
        <v>20</v>
      </c>
      <c r="B1646" t="s">
        <v>703</v>
      </c>
      <c r="C1646" s="9" t="s">
        <v>1807</v>
      </c>
      <c r="D1646" s="9">
        <v>750</v>
      </c>
      <c r="E1646" s="9" t="s">
        <v>1808</v>
      </c>
      <c r="F1646" t="s">
        <v>211</v>
      </c>
      <c r="G1646" t="s">
        <v>212</v>
      </c>
      <c r="H1646" t="s">
        <v>1331</v>
      </c>
    </row>
    <row r="1647" spans="1:8" x14ac:dyDescent="0.3">
      <c r="A1647" s="6">
        <v>20</v>
      </c>
      <c r="B1647" t="s">
        <v>703</v>
      </c>
      <c r="C1647" s="9" t="s">
        <v>1806</v>
      </c>
      <c r="D1647" s="9">
        <v>9</v>
      </c>
      <c r="E1647" s="9" t="s">
        <v>1804</v>
      </c>
      <c r="F1647" t="s">
        <v>23</v>
      </c>
      <c r="G1647" t="s">
        <v>102</v>
      </c>
      <c r="H1647" t="s">
        <v>1365</v>
      </c>
    </row>
    <row r="1648" spans="1:8" x14ac:dyDescent="0.3">
      <c r="A1648" s="6">
        <v>20</v>
      </c>
      <c r="B1648" t="s">
        <v>703</v>
      </c>
      <c r="C1648" s="9" t="s">
        <v>1807</v>
      </c>
      <c r="D1648" s="9">
        <v>1350</v>
      </c>
      <c r="E1648" s="9" t="s">
        <v>1808</v>
      </c>
      <c r="F1648" t="s">
        <v>413</v>
      </c>
      <c r="G1648" t="s">
        <v>414</v>
      </c>
      <c r="H1648" t="s">
        <v>1332</v>
      </c>
    </row>
    <row r="1649" spans="1:8" x14ac:dyDescent="0.3">
      <c r="A1649" s="6">
        <v>20</v>
      </c>
      <c r="B1649" t="s">
        <v>703</v>
      </c>
      <c r="C1649" s="9" t="s">
        <v>1807</v>
      </c>
      <c r="D1649" s="9">
        <v>600</v>
      </c>
      <c r="E1649" s="9" t="s">
        <v>1808</v>
      </c>
      <c r="F1649" t="s">
        <v>707</v>
      </c>
      <c r="G1649" t="s">
        <v>26</v>
      </c>
      <c r="H1649" t="s">
        <v>1336</v>
      </c>
    </row>
    <row r="1650" spans="1:8" x14ac:dyDescent="0.3">
      <c r="A1650" s="6">
        <v>20</v>
      </c>
      <c r="B1650" t="s">
        <v>703</v>
      </c>
      <c r="C1650" s="9" t="s">
        <v>932</v>
      </c>
      <c r="D1650" s="9">
        <v>36</v>
      </c>
      <c r="E1650" s="9" t="s">
        <v>1804</v>
      </c>
      <c r="F1650" t="s">
        <v>28</v>
      </c>
      <c r="G1650" t="s">
        <v>29</v>
      </c>
      <c r="H1650" t="s">
        <v>1180</v>
      </c>
    </row>
    <row r="1651" spans="1:8" x14ac:dyDescent="0.3">
      <c r="A1651" s="6">
        <v>20</v>
      </c>
      <c r="B1651" t="s">
        <v>703</v>
      </c>
      <c r="C1651" s="9" t="s">
        <v>932</v>
      </c>
      <c r="D1651" s="9">
        <v>12</v>
      </c>
      <c r="E1651" s="9" t="s">
        <v>1804</v>
      </c>
      <c r="F1651" t="s">
        <v>588</v>
      </c>
      <c r="G1651" t="s">
        <v>29</v>
      </c>
      <c r="H1651" t="s">
        <v>1183</v>
      </c>
    </row>
    <row r="1652" spans="1:8" x14ac:dyDescent="0.3">
      <c r="A1652" s="6">
        <v>20</v>
      </c>
      <c r="B1652" t="s">
        <v>703</v>
      </c>
      <c r="C1652" s="9" t="s">
        <v>932</v>
      </c>
      <c r="D1652" s="9">
        <v>12</v>
      </c>
      <c r="E1652" s="9" t="s">
        <v>1804</v>
      </c>
      <c r="F1652" t="s">
        <v>589</v>
      </c>
      <c r="G1652" t="s">
        <v>29</v>
      </c>
      <c r="H1652" t="s">
        <v>1184</v>
      </c>
    </row>
    <row r="1653" spans="1:8" x14ac:dyDescent="0.3">
      <c r="A1653" s="6">
        <v>20</v>
      </c>
      <c r="B1653" t="s">
        <v>703</v>
      </c>
      <c r="C1653" s="9" t="s">
        <v>932</v>
      </c>
      <c r="D1653" s="9">
        <v>33</v>
      </c>
      <c r="E1653" s="9" t="s">
        <v>1804</v>
      </c>
      <c r="F1653" t="s">
        <v>390</v>
      </c>
      <c r="G1653" t="s">
        <v>391</v>
      </c>
      <c r="H1653" t="s">
        <v>1449</v>
      </c>
    </row>
    <row r="1654" spans="1:8" x14ac:dyDescent="0.3">
      <c r="A1654" s="6">
        <v>20</v>
      </c>
      <c r="B1654" t="s">
        <v>703</v>
      </c>
      <c r="C1654" s="9" t="s">
        <v>932</v>
      </c>
      <c r="D1654" s="9">
        <v>21</v>
      </c>
      <c r="E1654" s="9" t="s">
        <v>1804</v>
      </c>
      <c r="F1654" t="s">
        <v>507</v>
      </c>
      <c r="G1654" t="s">
        <v>108</v>
      </c>
      <c r="H1654" t="s">
        <v>1154</v>
      </c>
    </row>
    <row r="1655" spans="1:8" x14ac:dyDescent="0.3">
      <c r="A1655" s="6">
        <v>20</v>
      </c>
      <c r="B1655" t="s">
        <v>703</v>
      </c>
      <c r="C1655" s="9" t="s">
        <v>1806</v>
      </c>
      <c r="D1655" s="9">
        <v>9</v>
      </c>
      <c r="E1655" s="9" t="s">
        <v>1804</v>
      </c>
      <c r="F1655" t="s">
        <v>425</v>
      </c>
      <c r="G1655" t="s">
        <v>108</v>
      </c>
      <c r="H1655" t="s">
        <v>1140</v>
      </c>
    </row>
    <row r="1656" spans="1:8" x14ac:dyDescent="0.3">
      <c r="A1656" s="6">
        <v>20</v>
      </c>
      <c r="B1656" t="s">
        <v>703</v>
      </c>
      <c r="C1656" s="9" t="s">
        <v>932</v>
      </c>
      <c r="D1656" s="9">
        <v>27</v>
      </c>
      <c r="E1656" s="9" t="s">
        <v>1804</v>
      </c>
      <c r="F1656" t="s">
        <v>40</v>
      </c>
      <c r="G1656" t="s">
        <v>41</v>
      </c>
      <c r="H1656" t="s">
        <v>1169</v>
      </c>
    </row>
    <row r="1657" spans="1:8" x14ac:dyDescent="0.3">
      <c r="A1657" s="6">
        <v>20</v>
      </c>
      <c r="B1657" t="s">
        <v>703</v>
      </c>
      <c r="C1657" s="9" t="s">
        <v>932</v>
      </c>
      <c r="D1657" s="9">
        <v>24</v>
      </c>
      <c r="E1657" s="9" t="s">
        <v>1804</v>
      </c>
      <c r="F1657" t="s">
        <v>232</v>
      </c>
      <c r="G1657" t="s">
        <v>144</v>
      </c>
      <c r="H1657" t="s">
        <v>1171</v>
      </c>
    </row>
    <row r="1658" spans="1:8" x14ac:dyDescent="0.3">
      <c r="A1658" s="6">
        <v>20</v>
      </c>
      <c r="B1658" t="s">
        <v>703</v>
      </c>
      <c r="C1658" s="9" t="s">
        <v>932</v>
      </c>
      <c r="D1658" s="9">
        <v>12</v>
      </c>
      <c r="E1658" s="9" t="s">
        <v>1804</v>
      </c>
      <c r="F1658" t="s">
        <v>233</v>
      </c>
      <c r="G1658" t="s">
        <v>112</v>
      </c>
      <c r="H1658" t="s">
        <v>1146</v>
      </c>
    </row>
    <row r="1659" spans="1:8" x14ac:dyDescent="0.3">
      <c r="A1659" s="6">
        <v>20</v>
      </c>
      <c r="B1659" t="s">
        <v>703</v>
      </c>
      <c r="C1659" s="9" t="s">
        <v>1806</v>
      </c>
      <c r="D1659" s="9">
        <v>9</v>
      </c>
      <c r="E1659" s="9" t="s">
        <v>1804</v>
      </c>
      <c r="F1659" t="s">
        <v>708</v>
      </c>
      <c r="G1659" t="s">
        <v>509</v>
      </c>
      <c r="H1659" t="s">
        <v>1147</v>
      </c>
    </row>
    <row r="1660" spans="1:8" x14ac:dyDescent="0.3">
      <c r="A1660" s="6">
        <v>20</v>
      </c>
      <c r="B1660" t="s">
        <v>703</v>
      </c>
      <c r="C1660" s="9" t="s">
        <v>932</v>
      </c>
      <c r="D1660" s="9">
        <v>18</v>
      </c>
      <c r="E1660" s="9" t="s">
        <v>1804</v>
      </c>
      <c r="F1660" t="s">
        <v>709</v>
      </c>
      <c r="G1660" t="s">
        <v>710</v>
      </c>
      <c r="H1660" t="s">
        <v>1067</v>
      </c>
    </row>
    <row r="1661" spans="1:8" x14ac:dyDescent="0.3">
      <c r="A1661" s="6">
        <v>20</v>
      </c>
      <c r="B1661" t="s">
        <v>703</v>
      </c>
      <c r="C1661" s="9" t="s">
        <v>1807</v>
      </c>
      <c r="D1661" s="9">
        <v>1200</v>
      </c>
      <c r="E1661" s="9" t="s">
        <v>1808</v>
      </c>
      <c r="F1661" t="s">
        <v>240</v>
      </c>
      <c r="G1661" t="s">
        <v>241</v>
      </c>
      <c r="H1661" t="s">
        <v>1427</v>
      </c>
    </row>
    <row r="1662" spans="1:8" x14ac:dyDescent="0.3">
      <c r="A1662" s="6">
        <v>20</v>
      </c>
      <c r="B1662" t="s">
        <v>703</v>
      </c>
      <c r="C1662" s="9" t="s">
        <v>1807</v>
      </c>
      <c r="D1662" s="9">
        <v>1200</v>
      </c>
      <c r="E1662" s="9" t="s">
        <v>1808</v>
      </c>
      <c r="F1662" t="s">
        <v>430</v>
      </c>
      <c r="G1662" t="s">
        <v>431</v>
      </c>
      <c r="H1662" t="s">
        <v>1428</v>
      </c>
    </row>
    <row r="1663" spans="1:8" x14ac:dyDescent="0.3">
      <c r="A1663" s="6">
        <v>20</v>
      </c>
      <c r="B1663" t="s">
        <v>703</v>
      </c>
      <c r="C1663" s="9" t="s">
        <v>1807</v>
      </c>
      <c r="D1663" s="9">
        <v>260</v>
      </c>
      <c r="E1663" s="9" t="s">
        <v>1808</v>
      </c>
      <c r="F1663" t="s">
        <v>243</v>
      </c>
      <c r="G1663" t="s">
        <v>244</v>
      </c>
      <c r="H1663" t="s">
        <v>1429</v>
      </c>
    </row>
    <row r="1664" spans="1:8" x14ac:dyDescent="0.3">
      <c r="A1664" s="6">
        <v>20</v>
      </c>
      <c r="B1664" t="s">
        <v>703</v>
      </c>
      <c r="C1664" s="9" t="s">
        <v>1807</v>
      </c>
      <c r="D1664" s="9">
        <v>600</v>
      </c>
      <c r="E1664" s="9" t="s">
        <v>1808</v>
      </c>
      <c r="F1664" t="s">
        <v>712</v>
      </c>
      <c r="G1664" t="s">
        <v>713</v>
      </c>
      <c r="H1664" t="s">
        <v>1430</v>
      </c>
    </row>
    <row r="1665" spans="1:8" x14ac:dyDescent="0.3">
      <c r="A1665" s="6">
        <v>20</v>
      </c>
      <c r="B1665" t="s">
        <v>703</v>
      </c>
      <c r="C1665" s="9" t="s">
        <v>1807</v>
      </c>
      <c r="D1665" s="9">
        <v>240</v>
      </c>
      <c r="E1665" s="9" t="s">
        <v>1808</v>
      </c>
      <c r="F1665" t="s">
        <v>715</v>
      </c>
      <c r="G1665" t="s">
        <v>716</v>
      </c>
      <c r="H1665" t="s">
        <v>1431</v>
      </c>
    </row>
    <row r="1666" spans="1:8" x14ac:dyDescent="0.3">
      <c r="A1666" s="6">
        <v>20</v>
      </c>
      <c r="B1666" t="s">
        <v>703</v>
      </c>
      <c r="C1666" s="9" t="s">
        <v>1806</v>
      </c>
      <c r="D1666" s="9">
        <v>9</v>
      </c>
      <c r="E1666" s="9" t="s">
        <v>1804</v>
      </c>
      <c r="F1666" t="s">
        <v>718</v>
      </c>
      <c r="G1666" t="s">
        <v>434</v>
      </c>
      <c r="H1666" t="s">
        <v>1418</v>
      </c>
    </row>
    <row r="1667" spans="1:8" x14ac:dyDescent="0.3">
      <c r="A1667" s="6">
        <v>20</v>
      </c>
      <c r="B1667" t="s">
        <v>703</v>
      </c>
      <c r="C1667" s="9" t="s">
        <v>932</v>
      </c>
      <c r="D1667" s="9">
        <v>35</v>
      </c>
      <c r="E1667" s="9" t="s">
        <v>1804</v>
      </c>
      <c r="F1667" t="s">
        <v>46</v>
      </c>
      <c r="G1667" t="s">
        <v>47</v>
      </c>
      <c r="H1667" t="s">
        <v>1409</v>
      </c>
    </row>
    <row r="1668" spans="1:8" x14ac:dyDescent="0.3">
      <c r="A1668" s="6">
        <v>20</v>
      </c>
      <c r="B1668" t="s">
        <v>703</v>
      </c>
      <c r="C1668" s="9" t="s">
        <v>932</v>
      </c>
      <c r="D1668" s="9">
        <v>18</v>
      </c>
      <c r="E1668" s="9" t="s">
        <v>1804</v>
      </c>
      <c r="F1668" t="s">
        <v>246</v>
      </c>
      <c r="G1668" t="s">
        <v>51</v>
      </c>
      <c r="H1668" t="s">
        <v>1596</v>
      </c>
    </row>
    <row r="1669" spans="1:8" x14ac:dyDescent="0.3">
      <c r="A1669" s="6">
        <v>20</v>
      </c>
      <c r="B1669" t="s">
        <v>703</v>
      </c>
      <c r="C1669" s="9" t="s">
        <v>932</v>
      </c>
      <c r="D1669" s="9">
        <v>12</v>
      </c>
      <c r="E1669" s="9" t="s">
        <v>1804</v>
      </c>
      <c r="F1669" t="s">
        <v>719</v>
      </c>
      <c r="G1669" t="s">
        <v>51</v>
      </c>
      <c r="H1669" t="s">
        <v>1600</v>
      </c>
    </row>
    <row r="1670" spans="1:8" x14ac:dyDescent="0.3">
      <c r="A1670" s="6">
        <v>20</v>
      </c>
      <c r="B1670" t="s">
        <v>703</v>
      </c>
      <c r="C1670" s="9" t="s">
        <v>932</v>
      </c>
      <c r="D1670" s="9">
        <v>31</v>
      </c>
      <c r="E1670" s="9" t="s">
        <v>1804</v>
      </c>
      <c r="F1670" t="s">
        <v>556</v>
      </c>
      <c r="G1670" t="s">
        <v>54</v>
      </c>
      <c r="H1670" t="s">
        <v>1601</v>
      </c>
    </row>
    <row r="1671" spans="1:8" x14ac:dyDescent="0.3">
      <c r="A1671" s="6">
        <v>20</v>
      </c>
      <c r="B1671" t="s">
        <v>703</v>
      </c>
      <c r="C1671" s="9" t="s">
        <v>932</v>
      </c>
      <c r="D1671" s="9">
        <v>12</v>
      </c>
      <c r="E1671" s="9" t="s">
        <v>1804</v>
      </c>
      <c r="F1671" t="s">
        <v>53</v>
      </c>
      <c r="G1671" t="s">
        <v>54</v>
      </c>
      <c r="H1671" t="s">
        <v>1603</v>
      </c>
    </row>
    <row r="1672" spans="1:8" x14ac:dyDescent="0.3">
      <c r="A1672" s="6">
        <v>20</v>
      </c>
      <c r="B1672" t="s">
        <v>703</v>
      </c>
      <c r="C1672" s="9" t="s">
        <v>932</v>
      </c>
      <c r="D1672" s="9">
        <v>12</v>
      </c>
      <c r="E1672" s="9" t="s">
        <v>1804</v>
      </c>
      <c r="F1672" t="s">
        <v>561</v>
      </c>
      <c r="G1672" t="s">
        <v>562</v>
      </c>
      <c r="H1672" t="s">
        <v>1622</v>
      </c>
    </row>
    <row r="1673" spans="1:8" x14ac:dyDescent="0.3">
      <c r="A1673" s="6">
        <v>20</v>
      </c>
      <c r="B1673" t="s">
        <v>703</v>
      </c>
      <c r="C1673" s="9" t="s">
        <v>932</v>
      </c>
      <c r="D1673" s="9">
        <v>12</v>
      </c>
      <c r="E1673" s="9" t="s">
        <v>1804</v>
      </c>
      <c r="F1673" t="s">
        <v>56</v>
      </c>
      <c r="G1673" t="s">
        <v>57</v>
      </c>
      <c r="H1673" t="s">
        <v>1623</v>
      </c>
    </row>
    <row r="1674" spans="1:8" x14ac:dyDescent="0.3">
      <c r="A1674" s="6">
        <v>20</v>
      </c>
      <c r="B1674" t="s">
        <v>703</v>
      </c>
      <c r="C1674" s="9" t="s">
        <v>932</v>
      </c>
      <c r="D1674" s="9">
        <v>12</v>
      </c>
      <c r="E1674" s="9" t="s">
        <v>1804</v>
      </c>
      <c r="F1674" t="s">
        <v>252</v>
      </c>
      <c r="G1674" t="s">
        <v>253</v>
      </c>
      <c r="H1674" t="s">
        <v>1635</v>
      </c>
    </row>
    <row r="1675" spans="1:8" x14ac:dyDescent="0.3">
      <c r="A1675" s="6">
        <v>20</v>
      </c>
      <c r="B1675" t="s">
        <v>703</v>
      </c>
      <c r="C1675" s="9" t="s">
        <v>932</v>
      </c>
      <c r="D1675" s="9">
        <v>12</v>
      </c>
      <c r="E1675" s="9" t="s">
        <v>1804</v>
      </c>
      <c r="F1675" t="s">
        <v>720</v>
      </c>
      <c r="G1675" t="s">
        <v>520</v>
      </c>
      <c r="H1675" t="s">
        <v>1640</v>
      </c>
    </row>
    <row r="1676" spans="1:8" x14ac:dyDescent="0.3">
      <c r="A1676" s="6">
        <v>20</v>
      </c>
      <c r="B1676" t="s">
        <v>703</v>
      </c>
      <c r="C1676" s="9" t="s">
        <v>932</v>
      </c>
      <c r="D1676" s="9">
        <v>12</v>
      </c>
      <c r="E1676" s="9" t="s">
        <v>1804</v>
      </c>
      <c r="F1676" t="s">
        <v>519</v>
      </c>
      <c r="G1676" t="s">
        <v>520</v>
      </c>
      <c r="H1676" t="s">
        <v>1641</v>
      </c>
    </row>
    <row r="1677" spans="1:8" x14ac:dyDescent="0.3">
      <c r="A1677" s="6">
        <v>20</v>
      </c>
      <c r="B1677" t="s">
        <v>703</v>
      </c>
      <c r="C1677" s="9" t="s">
        <v>932</v>
      </c>
      <c r="D1677" s="9">
        <v>22</v>
      </c>
      <c r="E1677" s="9" t="s">
        <v>1804</v>
      </c>
      <c r="F1677" t="s">
        <v>259</v>
      </c>
      <c r="G1677" t="s">
        <v>260</v>
      </c>
      <c r="H1677" t="s">
        <v>986</v>
      </c>
    </row>
    <row r="1678" spans="1:8" x14ac:dyDescent="0.3">
      <c r="A1678" s="6">
        <v>20</v>
      </c>
      <c r="B1678" t="s">
        <v>703</v>
      </c>
      <c r="C1678" s="9" t="s">
        <v>1807</v>
      </c>
      <c r="D1678" s="9">
        <v>1200</v>
      </c>
      <c r="E1678" s="9" t="s">
        <v>1808</v>
      </c>
      <c r="F1678" t="s">
        <v>721</v>
      </c>
      <c r="G1678" t="s">
        <v>722</v>
      </c>
      <c r="H1678" t="s">
        <v>995</v>
      </c>
    </row>
    <row r="1679" spans="1:8" x14ac:dyDescent="0.3">
      <c r="A1679" s="6">
        <v>20</v>
      </c>
      <c r="B1679" t="s">
        <v>703</v>
      </c>
      <c r="C1679" s="9" t="s">
        <v>1807</v>
      </c>
      <c r="D1679" s="9">
        <v>1200</v>
      </c>
      <c r="E1679" s="9" t="s">
        <v>1808</v>
      </c>
      <c r="F1679" t="s">
        <v>272</v>
      </c>
      <c r="G1679" t="s">
        <v>273</v>
      </c>
      <c r="H1679" t="s">
        <v>997</v>
      </c>
    </row>
    <row r="1680" spans="1:8" x14ac:dyDescent="0.3">
      <c r="A1680" s="6">
        <v>20</v>
      </c>
      <c r="B1680" t="s">
        <v>703</v>
      </c>
      <c r="C1680" s="9" t="s">
        <v>1807</v>
      </c>
      <c r="D1680" s="9">
        <v>1080</v>
      </c>
      <c r="E1680" s="9" t="s">
        <v>1808</v>
      </c>
      <c r="F1680" t="s">
        <v>634</v>
      </c>
      <c r="G1680" t="s">
        <v>635</v>
      </c>
      <c r="H1680" t="s">
        <v>1009</v>
      </c>
    </row>
    <row r="1681" spans="1:8" x14ac:dyDescent="0.3">
      <c r="A1681" s="6">
        <v>20</v>
      </c>
      <c r="B1681" t="s">
        <v>703</v>
      </c>
      <c r="C1681" s="9" t="s">
        <v>1807</v>
      </c>
      <c r="D1681" s="9">
        <v>1350</v>
      </c>
      <c r="E1681" s="9" t="s">
        <v>1808</v>
      </c>
      <c r="F1681" t="s">
        <v>275</v>
      </c>
      <c r="G1681" t="s">
        <v>276</v>
      </c>
      <c r="H1681" t="s">
        <v>1012</v>
      </c>
    </row>
    <row r="1682" spans="1:8" x14ac:dyDescent="0.3">
      <c r="A1682" s="6">
        <v>20</v>
      </c>
      <c r="B1682" t="s">
        <v>703</v>
      </c>
      <c r="C1682" s="9" t="s">
        <v>1807</v>
      </c>
      <c r="D1682" s="9">
        <v>1050</v>
      </c>
      <c r="E1682" s="9" t="s">
        <v>1808</v>
      </c>
      <c r="F1682" t="s">
        <v>291</v>
      </c>
      <c r="G1682" t="s">
        <v>292</v>
      </c>
      <c r="H1682" t="s">
        <v>1678</v>
      </c>
    </row>
    <row r="1683" spans="1:8" x14ac:dyDescent="0.3">
      <c r="A1683" s="6">
        <v>20</v>
      </c>
      <c r="B1683" t="s">
        <v>703</v>
      </c>
      <c r="C1683" s="9" t="s">
        <v>1807</v>
      </c>
      <c r="D1683" s="9">
        <v>750</v>
      </c>
      <c r="E1683" s="9" t="s">
        <v>1808</v>
      </c>
      <c r="F1683" t="s">
        <v>456</v>
      </c>
      <c r="G1683" t="s">
        <v>292</v>
      </c>
      <c r="H1683" t="s">
        <v>1679</v>
      </c>
    </row>
    <row r="1684" spans="1:8" x14ac:dyDescent="0.3">
      <c r="A1684" s="6">
        <v>20</v>
      </c>
      <c r="B1684" t="s">
        <v>703</v>
      </c>
      <c r="C1684" s="9" t="s">
        <v>932</v>
      </c>
      <c r="D1684" s="9">
        <v>12</v>
      </c>
      <c r="E1684" s="9" t="s">
        <v>1804</v>
      </c>
      <c r="F1684" t="s">
        <v>294</v>
      </c>
      <c r="G1684" t="s">
        <v>295</v>
      </c>
      <c r="H1684" t="s">
        <v>1680</v>
      </c>
    </row>
    <row r="1685" spans="1:8" x14ac:dyDescent="0.3">
      <c r="A1685" s="6">
        <v>20</v>
      </c>
      <c r="B1685" t="s">
        <v>703</v>
      </c>
      <c r="C1685" s="9" t="s">
        <v>1807</v>
      </c>
      <c r="D1685" s="9">
        <v>320</v>
      </c>
      <c r="E1685" s="9" t="s">
        <v>1808</v>
      </c>
      <c r="F1685" t="s">
        <v>304</v>
      </c>
      <c r="G1685" t="s">
        <v>305</v>
      </c>
      <c r="H1685" t="s">
        <v>1785</v>
      </c>
    </row>
    <row r="1686" spans="1:8" x14ac:dyDescent="0.3">
      <c r="A1686" s="6">
        <v>20</v>
      </c>
      <c r="B1686" t="s">
        <v>703</v>
      </c>
      <c r="C1686" s="9" t="s">
        <v>1806</v>
      </c>
      <c r="D1686" s="9">
        <v>9</v>
      </c>
      <c r="E1686" s="9" t="s">
        <v>1804</v>
      </c>
      <c r="F1686" t="s">
        <v>724</v>
      </c>
      <c r="G1686" t="s">
        <v>129</v>
      </c>
      <c r="H1686" t="s">
        <v>1582</v>
      </c>
    </row>
    <row r="1687" spans="1:8" x14ac:dyDescent="0.3">
      <c r="A1687" s="6">
        <v>20</v>
      </c>
      <c r="B1687" t="s">
        <v>703</v>
      </c>
      <c r="C1687" s="9" t="s">
        <v>932</v>
      </c>
      <c r="D1687" s="9">
        <v>28</v>
      </c>
      <c r="E1687" s="9" t="s">
        <v>1804</v>
      </c>
      <c r="F1687" t="s">
        <v>395</v>
      </c>
      <c r="G1687" t="s">
        <v>396</v>
      </c>
      <c r="H1687" t="s">
        <v>1564</v>
      </c>
    </row>
    <row r="1688" spans="1:8" x14ac:dyDescent="0.3">
      <c r="A1688" s="6">
        <v>20</v>
      </c>
      <c r="B1688" t="s">
        <v>703</v>
      </c>
      <c r="C1688" s="9" t="s">
        <v>1809</v>
      </c>
      <c r="D1688" s="9">
        <v>60</v>
      </c>
      <c r="E1688" s="9" t="s">
        <v>1804</v>
      </c>
      <c r="F1688" t="s">
        <v>78</v>
      </c>
      <c r="G1688" t="s">
        <v>1810</v>
      </c>
      <c r="H1688" t="s">
        <v>1811</v>
      </c>
    </row>
    <row r="1689" spans="1:8" x14ac:dyDescent="0.3">
      <c r="A1689" s="6">
        <v>20</v>
      </c>
      <c r="B1689" t="s">
        <v>703</v>
      </c>
      <c r="C1689" s="9" t="s">
        <v>963</v>
      </c>
      <c r="D1689" s="9">
        <v>60</v>
      </c>
      <c r="E1689" s="9" t="s">
        <v>1804</v>
      </c>
      <c r="F1689" t="s">
        <v>79</v>
      </c>
      <c r="G1689" t="s">
        <v>80</v>
      </c>
      <c r="H1689" t="s">
        <v>1416</v>
      </c>
    </row>
    <row r="1690" spans="1:8" x14ac:dyDescent="0.3">
      <c r="A1690" s="6">
        <v>20</v>
      </c>
      <c r="B1690" t="s">
        <v>703</v>
      </c>
      <c r="C1690" s="9" t="s">
        <v>963</v>
      </c>
      <c r="D1690" s="9">
        <v>88</v>
      </c>
      <c r="E1690" s="9" t="s">
        <v>1804</v>
      </c>
      <c r="F1690" t="s">
        <v>84</v>
      </c>
      <c r="G1690" t="s">
        <v>85</v>
      </c>
      <c r="H1690" t="s">
        <v>1342</v>
      </c>
    </row>
    <row r="1691" spans="1:8" x14ac:dyDescent="0.3">
      <c r="A1691" s="6">
        <v>20</v>
      </c>
      <c r="B1691" t="s">
        <v>703</v>
      </c>
      <c r="C1691" s="9" t="s">
        <v>963</v>
      </c>
      <c r="D1691" s="9">
        <v>60</v>
      </c>
      <c r="E1691" s="9" t="s">
        <v>1804</v>
      </c>
      <c r="F1691" t="s">
        <v>612</v>
      </c>
      <c r="G1691" t="s">
        <v>613</v>
      </c>
      <c r="H1691" t="s">
        <v>1343</v>
      </c>
    </row>
    <row r="1692" spans="1:8" x14ac:dyDescent="0.3">
      <c r="A1692" s="6">
        <v>20</v>
      </c>
      <c r="B1692" t="s">
        <v>703</v>
      </c>
      <c r="C1692" s="9" t="s">
        <v>963</v>
      </c>
      <c r="D1692" s="9">
        <v>70</v>
      </c>
      <c r="E1692" s="9" t="s">
        <v>1804</v>
      </c>
      <c r="F1692" t="s">
        <v>325</v>
      </c>
      <c r="G1692" t="s">
        <v>196</v>
      </c>
      <c r="H1692" t="s">
        <v>1344</v>
      </c>
    </row>
    <row r="1693" spans="1:8" x14ac:dyDescent="0.3">
      <c r="A1693" s="6">
        <v>20</v>
      </c>
      <c r="B1693" t="s">
        <v>703</v>
      </c>
      <c r="C1693" s="9" t="s">
        <v>963</v>
      </c>
      <c r="D1693" s="9">
        <v>70</v>
      </c>
      <c r="E1693" s="9" t="s">
        <v>1804</v>
      </c>
      <c r="F1693" t="s">
        <v>597</v>
      </c>
      <c r="G1693" t="s">
        <v>12</v>
      </c>
      <c r="H1693" t="s">
        <v>1348</v>
      </c>
    </row>
    <row r="1694" spans="1:8" x14ac:dyDescent="0.3">
      <c r="A1694" s="6">
        <v>20</v>
      </c>
      <c r="B1694" t="s">
        <v>703</v>
      </c>
      <c r="C1694" s="9" t="s">
        <v>963</v>
      </c>
      <c r="D1694" s="9">
        <v>74</v>
      </c>
      <c r="E1694" s="9" t="s">
        <v>1804</v>
      </c>
      <c r="F1694" t="s">
        <v>87</v>
      </c>
      <c r="G1694" t="s">
        <v>88</v>
      </c>
      <c r="H1694" t="s">
        <v>1349</v>
      </c>
    </row>
    <row r="1695" spans="1:8" x14ac:dyDescent="0.3">
      <c r="A1695" s="6">
        <v>20</v>
      </c>
      <c r="B1695" t="s">
        <v>703</v>
      </c>
      <c r="C1695" s="9" t="s">
        <v>963</v>
      </c>
      <c r="D1695" s="9">
        <v>73</v>
      </c>
      <c r="E1695" s="9" t="s">
        <v>1804</v>
      </c>
      <c r="F1695" t="s">
        <v>679</v>
      </c>
      <c r="G1695" t="s">
        <v>680</v>
      </c>
      <c r="H1695" t="s">
        <v>972</v>
      </c>
    </row>
    <row r="1696" spans="1:8" x14ac:dyDescent="0.3">
      <c r="A1696" s="6">
        <v>20</v>
      </c>
      <c r="B1696" t="s">
        <v>703</v>
      </c>
      <c r="C1696" s="9" t="s">
        <v>963</v>
      </c>
      <c r="D1696" s="9">
        <v>73</v>
      </c>
      <c r="E1696" s="9" t="s">
        <v>1804</v>
      </c>
      <c r="F1696" t="s">
        <v>90</v>
      </c>
      <c r="G1696" t="s">
        <v>15</v>
      </c>
      <c r="H1696" t="s">
        <v>1351</v>
      </c>
    </row>
    <row r="1697" spans="1:8" x14ac:dyDescent="0.3">
      <c r="A1697" s="6">
        <v>20</v>
      </c>
      <c r="B1697" t="s">
        <v>703</v>
      </c>
      <c r="C1697" s="9" t="s">
        <v>963</v>
      </c>
      <c r="D1697" s="9">
        <v>77</v>
      </c>
      <c r="E1697" s="9" t="s">
        <v>1804</v>
      </c>
      <c r="F1697" t="s">
        <v>91</v>
      </c>
      <c r="G1697" t="s">
        <v>92</v>
      </c>
      <c r="H1697" t="s">
        <v>1353</v>
      </c>
    </row>
    <row r="1698" spans="1:8" x14ac:dyDescent="0.3">
      <c r="A1698" s="6">
        <v>20</v>
      </c>
      <c r="B1698" t="s">
        <v>703</v>
      </c>
      <c r="C1698" s="9" t="s">
        <v>963</v>
      </c>
      <c r="D1698" s="9">
        <v>77</v>
      </c>
      <c r="E1698" s="9" t="s">
        <v>1804</v>
      </c>
      <c r="F1698" t="s">
        <v>98</v>
      </c>
      <c r="G1698" t="s">
        <v>99</v>
      </c>
      <c r="H1698" t="s">
        <v>1357</v>
      </c>
    </row>
    <row r="1699" spans="1:8" x14ac:dyDescent="0.3">
      <c r="A1699" s="6">
        <v>20</v>
      </c>
      <c r="B1699" t="s">
        <v>703</v>
      </c>
      <c r="C1699" s="9" t="s">
        <v>963</v>
      </c>
      <c r="D1699" s="9">
        <v>72</v>
      </c>
      <c r="E1699" s="9" t="s">
        <v>1804</v>
      </c>
      <c r="F1699" t="s">
        <v>101</v>
      </c>
      <c r="G1699" t="s">
        <v>102</v>
      </c>
      <c r="H1699" t="s">
        <v>1365</v>
      </c>
    </row>
    <row r="1700" spans="1:8" x14ac:dyDescent="0.3">
      <c r="A1700" s="6">
        <v>20</v>
      </c>
      <c r="B1700" t="s">
        <v>703</v>
      </c>
      <c r="C1700" s="9" t="s">
        <v>963</v>
      </c>
      <c r="D1700" s="9">
        <v>60</v>
      </c>
      <c r="E1700" s="9" t="s">
        <v>1804</v>
      </c>
      <c r="F1700" t="s">
        <v>400</v>
      </c>
      <c r="G1700" t="s">
        <v>401</v>
      </c>
      <c r="H1700" t="s">
        <v>1185</v>
      </c>
    </row>
    <row r="1701" spans="1:8" x14ac:dyDescent="0.3">
      <c r="A1701" s="6">
        <v>20</v>
      </c>
      <c r="B1701" t="s">
        <v>703</v>
      </c>
      <c r="C1701" s="9" t="s">
        <v>963</v>
      </c>
      <c r="D1701" s="9">
        <v>60</v>
      </c>
      <c r="E1701" s="9" t="s">
        <v>1804</v>
      </c>
      <c r="F1701" t="s">
        <v>167</v>
      </c>
      <c r="G1701" t="s">
        <v>168</v>
      </c>
      <c r="H1701" t="s">
        <v>1533</v>
      </c>
    </row>
    <row r="1702" spans="1:8" x14ac:dyDescent="0.3">
      <c r="A1702" s="6">
        <v>20</v>
      </c>
      <c r="B1702" t="s">
        <v>703</v>
      </c>
      <c r="C1702" s="9" t="s">
        <v>963</v>
      </c>
      <c r="D1702" s="9">
        <v>60</v>
      </c>
      <c r="E1702" s="9" t="s">
        <v>1804</v>
      </c>
      <c r="F1702" t="s">
        <v>170</v>
      </c>
      <c r="G1702" t="s">
        <v>171</v>
      </c>
      <c r="H1702" t="s">
        <v>1535</v>
      </c>
    </row>
    <row r="1703" spans="1:8" x14ac:dyDescent="0.3">
      <c r="A1703" s="6">
        <v>20</v>
      </c>
      <c r="B1703" t="s">
        <v>703</v>
      </c>
      <c r="C1703" s="9" t="s">
        <v>963</v>
      </c>
      <c r="D1703" s="9">
        <v>60</v>
      </c>
      <c r="E1703" s="9" t="s">
        <v>1804</v>
      </c>
      <c r="F1703" t="s">
        <v>725</v>
      </c>
      <c r="G1703" t="s">
        <v>504</v>
      </c>
      <c r="H1703" t="s">
        <v>1539</v>
      </c>
    </row>
    <row r="1704" spans="1:8" x14ac:dyDescent="0.3">
      <c r="A1704" s="6">
        <v>20</v>
      </c>
      <c r="B1704" t="s">
        <v>703</v>
      </c>
      <c r="C1704" s="9" t="s">
        <v>963</v>
      </c>
      <c r="D1704" s="9">
        <v>60</v>
      </c>
      <c r="E1704" s="9" t="s">
        <v>1804</v>
      </c>
      <c r="F1704" t="s">
        <v>107</v>
      </c>
      <c r="G1704" t="s">
        <v>108</v>
      </c>
      <c r="H1704" t="s">
        <v>1140</v>
      </c>
    </row>
    <row r="1705" spans="1:8" x14ac:dyDescent="0.3">
      <c r="A1705" s="6">
        <v>20</v>
      </c>
      <c r="B1705" t="s">
        <v>703</v>
      </c>
      <c r="C1705" s="9" t="s">
        <v>963</v>
      </c>
      <c r="D1705" s="9">
        <v>60</v>
      </c>
      <c r="E1705" s="9" t="s">
        <v>1804</v>
      </c>
      <c r="F1705" t="s">
        <v>110</v>
      </c>
      <c r="G1705" t="s">
        <v>41</v>
      </c>
      <c r="H1705" t="s">
        <v>1144</v>
      </c>
    </row>
    <row r="1706" spans="1:8" x14ac:dyDescent="0.3">
      <c r="A1706" s="6">
        <v>20</v>
      </c>
      <c r="B1706" t="s">
        <v>703</v>
      </c>
      <c r="C1706" s="9" t="s">
        <v>963</v>
      </c>
      <c r="D1706" s="9">
        <v>60</v>
      </c>
      <c r="E1706" s="9" t="s">
        <v>1804</v>
      </c>
      <c r="F1706" t="s">
        <v>111</v>
      </c>
      <c r="G1706" t="s">
        <v>112</v>
      </c>
      <c r="H1706" t="s">
        <v>1146</v>
      </c>
    </row>
    <row r="1707" spans="1:8" x14ac:dyDescent="0.3">
      <c r="A1707" s="6">
        <v>20</v>
      </c>
      <c r="B1707" t="s">
        <v>703</v>
      </c>
      <c r="C1707" s="9" t="s">
        <v>963</v>
      </c>
      <c r="D1707" s="9">
        <v>66</v>
      </c>
      <c r="E1707" s="9" t="s">
        <v>1804</v>
      </c>
      <c r="F1707" t="s">
        <v>353</v>
      </c>
      <c r="G1707" t="s">
        <v>354</v>
      </c>
      <c r="H1707" t="s">
        <v>1020</v>
      </c>
    </row>
    <row r="1708" spans="1:8" x14ac:dyDescent="0.3">
      <c r="A1708" s="6">
        <v>20</v>
      </c>
      <c r="B1708" t="s">
        <v>703</v>
      </c>
      <c r="C1708" s="9" t="s">
        <v>963</v>
      </c>
      <c r="D1708" s="9">
        <v>64</v>
      </c>
      <c r="E1708" s="9" t="s">
        <v>1804</v>
      </c>
      <c r="F1708" t="s">
        <v>583</v>
      </c>
      <c r="G1708" t="s">
        <v>238</v>
      </c>
      <c r="H1708" t="s">
        <v>1122</v>
      </c>
    </row>
    <row r="1709" spans="1:8" x14ac:dyDescent="0.3">
      <c r="A1709" s="6">
        <v>20</v>
      </c>
      <c r="B1709" t="s">
        <v>703</v>
      </c>
      <c r="C1709" s="9" t="s">
        <v>963</v>
      </c>
      <c r="D1709" s="9">
        <v>60</v>
      </c>
      <c r="E1709" s="9" t="s">
        <v>1804</v>
      </c>
      <c r="F1709" t="s">
        <v>117</v>
      </c>
      <c r="G1709" t="s">
        <v>118</v>
      </c>
      <c r="H1709" t="s">
        <v>1419</v>
      </c>
    </row>
    <row r="1710" spans="1:8" x14ac:dyDescent="0.3">
      <c r="A1710" s="6">
        <v>20</v>
      </c>
      <c r="B1710" t="s">
        <v>703</v>
      </c>
      <c r="C1710" s="9" t="s">
        <v>963</v>
      </c>
      <c r="D1710" s="9">
        <v>60</v>
      </c>
      <c r="E1710" s="9" t="s">
        <v>1804</v>
      </c>
      <c r="F1710" t="s">
        <v>120</v>
      </c>
      <c r="G1710" t="s">
        <v>51</v>
      </c>
      <c r="H1710" t="s">
        <v>1590</v>
      </c>
    </row>
    <row r="1711" spans="1:8" x14ac:dyDescent="0.3">
      <c r="A1711" s="6">
        <v>20</v>
      </c>
      <c r="B1711" t="s">
        <v>703</v>
      </c>
      <c r="C1711" s="9" t="s">
        <v>963</v>
      </c>
      <c r="D1711" s="9">
        <v>68</v>
      </c>
      <c r="E1711" s="9" t="s">
        <v>1804</v>
      </c>
      <c r="F1711" t="s">
        <v>468</v>
      </c>
      <c r="G1711" t="s">
        <v>54</v>
      </c>
      <c r="H1711" t="s">
        <v>1682</v>
      </c>
    </row>
    <row r="1712" spans="1:8" x14ac:dyDescent="0.3">
      <c r="A1712" s="6">
        <v>20</v>
      </c>
      <c r="B1712" t="s">
        <v>703</v>
      </c>
      <c r="C1712" s="9" t="s">
        <v>963</v>
      </c>
      <c r="D1712" s="9">
        <v>64</v>
      </c>
      <c r="E1712" s="9" t="s">
        <v>1804</v>
      </c>
      <c r="F1712" t="s">
        <v>475</v>
      </c>
      <c r="G1712" t="s">
        <v>476</v>
      </c>
      <c r="H1712" t="s">
        <v>1127</v>
      </c>
    </row>
    <row r="1713" spans="1:8" x14ac:dyDescent="0.3">
      <c r="A1713" s="6">
        <v>20</v>
      </c>
      <c r="B1713" t="s">
        <v>703</v>
      </c>
      <c r="C1713" s="9" t="s">
        <v>963</v>
      </c>
      <c r="D1713" s="9">
        <v>60</v>
      </c>
      <c r="E1713" s="9" t="s">
        <v>1804</v>
      </c>
      <c r="F1713" t="s">
        <v>367</v>
      </c>
      <c r="G1713" t="s">
        <v>368</v>
      </c>
      <c r="H1713" t="s">
        <v>1688</v>
      </c>
    </row>
    <row r="1714" spans="1:8" x14ac:dyDescent="0.3">
      <c r="A1714" s="6">
        <v>20</v>
      </c>
      <c r="B1714" t="s">
        <v>703</v>
      </c>
      <c r="C1714" s="9" t="s">
        <v>963</v>
      </c>
      <c r="D1714" s="9">
        <v>64</v>
      </c>
      <c r="E1714" s="9" t="s">
        <v>1804</v>
      </c>
      <c r="F1714" t="s">
        <v>125</v>
      </c>
      <c r="G1714" t="s">
        <v>126</v>
      </c>
      <c r="H1714" t="s">
        <v>1581</v>
      </c>
    </row>
    <row r="1715" spans="1:8" x14ac:dyDescent="0.3">
      <c r="A1715" s="6">
        <v>20</v>
      </c>
      <c r="B1715" t="s">
        <v>703</v>
      </c>
      <c r="C1715" s="9" t="s">
        <v>963</v>
      </c>
      <c r="D1715" s="9">
        <v>60</v>
      </c>
      <c r="E1715" s="9" t="s">
        <v>1804</v>
      </c>
      <c r="F1715" t="s">
        <v>486</v>
      </c>
      <c r="G1715" t="s">
        <v>487</v>
      </c>
      <c r="H1715" t="s">
        <v>1196</v>
      </c>
    </row>
    <row r="1716" spans="1:8" x14ac:dyDescent="0.3">
      <c r="A1716" s="6">
        <v>20</v>
      </c>
      <c r="B1716" t="s">
        <v>703</v>
      </c>
      <c r="C1716" s="9" t="s">
        <v>963</v>
      </c>
      <c r="D1716" s="9">
        <v>60</v>
      </c>
      <c r="E1716" s="9" t="s">
        <v>1804</v>
      </c>
      <c r="F1716" t="s">
        <v>128</v>
      </c>
      <c r="G1716" t="s">
        <v>129</v>
      </c>
      <c r="H1716" t="s">
        <v>1582</v>
      </c>
    </row>
    <row r="1717" spans="1:8" x14ac:dyDescent="0.3">
      <c r="A1717" s="6">
        <v>20</v>
      </c>
      <c r="B1717" t="s">
        <v>703</v>
      </c>
      <c r="C1717" s="9" t="s">
        <v>963</v>
      </c>
      <c r="D1717" s="9">
        <v>60</v>
      </c>
      <c r="E1717" s="9" t="s">
        <v>1804</v>
      </c>
      <c r="F1717" t="s">
        <v>690</v>
      </c>
      <c r="G1717" t="s">
        <v>691</v>
      </c>
      <c r="H1717" t="s">
        <v>1585</v>
      </c>
    </row>
    <row r="1718" spans="1:8" x14ac:dyDescent="0.3">
      <c r="A1718" s="6">
        <v>20</v>
      </c>
      <c r="B1718" t="s">
        <v>703</v>
      </c>
      <c r="C1718" s="9" t="s">
        <v>976</v>
      </c>
      <c r="D1718" s="9">
        <v>0</v>
      </c>
      <c r="E1718" s="9" t="s">
        <v>1804</v>
      </c>
      <c r="F1718" t="s">
        <v>379</v>
      </c>
      <c r="G1718" t="s">
        <v>1829</v>
      </c>
      <c r="H1718" t="s">
        <v>1830</v>
      </c>
    </row>
    <row r="1719" spans="1:8" x14ac:dyDescent="0.3">
      <c r="A1719" s="6">
        <v>20</v>
      </c>
      <c r="B1719" t="s">
        <v>703</v>
      </c>
      <c r="C1719" s="9" t="s">
        <v>963</v>
      </c>
      <c r="D1719" s="9">
        <v>0</v>
      </c>
      <c r="E1719" s="9" t="s">
        <v>1804</v>
      </c>
      <c r="F1719" t="s">
        <v>379</v>
      </c>
      <c r="G1719" t="s">
        <v>1829</v>
      </c>
      <c r="H1719" t="s">
        <v>1830</v>
      </c>
    </row>
    <row r="1720" spans="1:8" x14ac:dyDescent="0.3">
      <c r="A1720" s="6">
        <v>20</v>
      </c>
      <c r="B1720" t="s">
        <v>703</v>
      </c>
      <c r="C1720" s="9" t="s">
        <v>932</v>
      </c>
      <c r="D1720" s="9">
        <v>0</v>
      </c>
      <c r="E1720" s="9" t="s">
        <v>1804</v>
      </c>
      <c r="F1720" t="s">
        <v>379</v>
      </c>
      <c r="G1720" t="s">
        <v>1829</v>
      </c>
      <c r="H1720" t="s">
        <v>1830</v>
      </c>
    </row>
    <row r="1721" spans="1:8" x14ac:dyDescent="0.3">
      <c r="A1721" s="6">
        <v>21</v>
      </c>
      <c r="B1721" t="s">
        <v>698</v>
      </c>
      <c r="C1721" s="9" t="s">
        <v>932</v>
      </c>
      <c r="D1721" s="9">
        <v>37</v>
      </c>
      <c r="E1721" s="9" t="s">
        <v>1804</v>
      </c>
      <c r="F1721" t="s">
        <v>198</v>
      </c>
      <c r="G1721" t="s">
        <v>196</v>
      </c>
      <c r="H1721" t="s">
        <v>1267</v>
      </c>
    </row>
    <row r="1722" spans="1:8" x14ac:dyDescent="0.3">
      <c r="A1722" s="6">
        <v>21</v>
      </c>
      <c r="B1722" t="s">
        <v>698</v>
      </c>
      <c r="C1722" s="9" t="s">
        <v>1806</v>
      </c>
      <c r="D1722" s="9">
        <v>9</v>
      </c>
      <c r="E1722" s="9" t="s">
        <v>1804</v>
      </c>
      <c r="F1722" t="s">
        <v>539</v>
      </c>
      <c r="G1722" t="s">
        <v>329</v>
      </c>
      <c r="H1722" t="s">
        <v>1350</v>
      </c>
    </row>
    <row r="1723" spans="1:8" x14ac:dyDescent="0.3">
      <c r="A1723" s="6">
        <v>21</v>
      </c>
      <c r="B1723" t="s">
        <v>698</v>
      </c>
      <c r="C1723" s="9" t="s">
        <v>932</v>
      </c>
      <c r="D1723" s="9">
        <v>42</v>
      </c>
      <c r="E1723" s="9" t="s">
        <v>1804</v>
      </c>
      <c r="F1723" t="s">
        <v>14</v>
      </c>
      <c r="G1723" t="s">
        <v>15</v>
      </c>
      <c r="H1723" t="s">
        <v>1290</v>
      </c>
    </row>
    <row r="1724" spans="1:8" x14ac:dyDescent="0.3">
      <c r="A1724" s="6">
        <v>21</v>
      </c>
      <c r="B1724" t="s">
        <v>698</v>
      </c>
      <c r="C1724" s="9" t="s">
        <v>1266</v>
      </c>
      <c r="D1724" s="9">
        <v>12</v>
      </c>
      <c r="E1724" s="9" t="s">
        <v>1804</v>
      </c>
      <c r="F1724" t="s">
        <v>17</v>
      </c>
      <c r="G1724" t="s">
        <v>15</v>
      </c>
      <c r="H1724" t="s">
        <v>1291</v>
      </c>
    </row>
    <row r="1725" spans="1:8" x14ac:dyDescent="0.3">
      <c r="A1725" s="6">
        <v>21</v>
      </c>
      <c r="B1725" t="s">
        <v>698</v>
      </c>
      <c r="C1725" s="9" t="s">
        <v>1806</v>
      </c>
      <c r="D1725" s="9">
        <v>9</v>
      </c>
      <c r="E1725" s="9" t="s">
        <v>1804</v>
      </c>
      <c r="F1725" t="s">
        <v>540</v>
      </c>
      <c r="G1725" t="s">
        <v>92</v>
      </c>
      <c r="H1725" t="s">
        <v>1353</v>
      </c>
    </row>
    <row r="1726" spans="1:8" x14ac:dyDescent="0.3">
      <c r="A1726" s="6">
        <v>21</v>
      </c>
      <c r="B1726" t="s">
        <v>698</v>
      </c>
      <c r="C1726" s="9" t="s">
        <v>932</v>
      </c>
      <c r="D1726" s="9">
        <v>12</v>
      </c>
      <c r="E1726" s="9" t="s">
        <v>1804</v>
      </c>
      <c r="F1726" t="s">
        <v>483</v>
      </c>
      <c r="G1726" t="s">
        <v>29</v>
      </c>
      <c r="H1726" t="s">
        <v>1182</v>
      </c>
    </row>
    <row r="1727" spans="1:8" x14ac:dyDescent="0.3">
      <c r="A1727" s="6">
        <v>21</v>
      </c>
      <c r="B1727" t="s">
        <v>698</v>
      </c>
      <c r="C1727" s="9" t="s">
        <v>932</v>
      </c>
      <c r="D1727" s="9">
        <v>12</v>
      </c>
      <c r="E1727" s="9" t="s">
        <v>1804</v>
      </c>
      <c r="F1727" t="s">
        <v>589</v>
      </c>
      <c r="G1727" t="s">
        <v>29</v>
      </c>
      <c r="H1727" t="s">
        <v>1184</v>
      </c>
    </row>
    <row r="1728" spans="1:8" x14ac:dyDescent="0.3">
      <c r="A1728" s="6">
        <v>21</v>
      </c>
      <c r="B1728" t="s">
        <v>698</v>
      </c>
      <c r="C1728" s="9" t="s">
        <v>1806</v>
      </c>
      <c r="D1728" s="9">
        <v>9</v>
      </c>
      <c r="E1728" s="9" t="s">
        <v>1804</v>
      </c>
      <c r="F1728" t="s">
        <v>699</v>
      </c>
      <c r="G1728" t="s">
        <v>168</v>
      </c>
      <c r="H1728" t="s">
        <v>1534</v>
      </c>
    </row>
    <row r="1729" spans="1:8" x14ac:dyDescent="0.3">
      <c r="A1729" s="6">
        <v>21</v>
      </c>
      <c r="B1729" t="s">
        <v>698</v>
      </c>
      <c r="C1729" s="9" t="s">
        <v>932</v>
      </c>
      <c r="D1729" s="9">
        <v>24</v>
      </c>
      <c r="E1729" s="9" t="s">
        <v>1804</v>
      </c>
      <c r="F1729" t="s">
        <v>31</v>
      </c>
      <c r="G1729" t="s">
        <v>32</v>
      </c>
      <c r="H1729" t="s">
        <v>1483</v>
      </c>
    </row>
    <row r="1730" spans="1:8" x14ac:dyDescent="0.3">
      <c r="A1730" s="6">
        <v>21</v>
      </c>
      <c r="B1730" t="s">
        <v>698</v>
      </c>
      <c r="C1730" s="9" t="s">
        <v>932</v>
      </c>
      <c r="D1730" s="9">
        <v>21</v>
      </c>
      <c r="E1730" s="9" t="s">
        <v>1804</v>
      </c>
      <c r="F1730" t="s">
        <v>34</v>
      </c>
      <c r="G1730" t="s">
        <v>32</v>
      </c>
      <c r="H1730" t="s">
        <v>1485</v>
      </c>
    </row>
    <row r="1731" spans="1:8" x14ac:dyDescent="0.3">
      <c r="A1731" s="6">
        <v>21</v>
      </c>
      <c r="B1731" t="s">
        <v>698</v>
      </c>
      <c r="C1731" s="9" t="s">
        <v>932</v>
      </c>
      <c r="D1731" s="9">
        <v>21</v>
      </c>
      <c r="E1731" s="9" t="s">
        <v>1804</v>
      </c>
      <c r="F1731" t="s">
        <v>36</v>
      </c>
      <c r="G1731" t="s">
        <v>32</v>
      </c>
      <c r="H1731" t="s">
        <v>1492</v>
      </c>
    </row>
    <row r="1732" spans="1:8" x14ac:dyDescent="0.3">
      <c r="A1732" s="6">
        <v>21</v>
      </c>
      <c r="B1732" t="s">
        <v>698</v>
      </c>
      <c r="C1732" s="9" t="s">
        <v>1806</v>
      </c>
      <c r="D1732" s="9">
        <v>9</v>
      </c>
      <c r="E1732" s="9" t="s">
        <v>1804</v>
      </c>
      <c r="F1732" t="s">
        <v>425</v>
      </c>
      <c r="G1732" t="s">
        <v>108</v>
      </c>
      <c r="H1732" t="s">
        <v>1140</v>
      </c>
    </row>
    <row r="1733" spans="1:8" x14ac:dyDescent="0.3">
      <c r="A1733" s="6">
        <v>21</v>
      </c>
      <c r="B1733" t="s">
        <v>698</v>
      </c>
      <c r="C1733" s="9" t="s">
        <v>932</v>
      </c>
      <c r="D1733" s="9">
        <v>18</v>
      </c>
      <c r="E1733" s="9" t="s">
        <v>1804</v>
      </c>
      <c r="F1733" t="s">
        <v>227</v>
      </c>
      <c r="G1733" t="s">
        <v>41</v>
      </c>
      <c r="H1733" t="s">
        <v>1167</v>
      </c>
    </row>
    <row r="1734" spans="1:8" x14ac:dyDescent="0.3">
      <c r="A1734" s="6">
        <v>21</v>
      </c>
      <c r="B1734" t="s">
        <v>698</v>
      </c>
      <c r="C1734" s="9" t="s">
        <v>932</v>
      </c>
      <c r="D1734" s="9">
        <v>12</v>
      </c>
      <c r="E1734" s="9" t="s">
        <v>1804</v>
      </c>
      <c r="F1734" t="s">
        <v>233</v>
      </c>
      <c r="G1734" t="s">
        <v>112</v>
      </c>
      <c r="H1734" t="s">
        <v>1146</v>
      </c>
    </row>
    <row r="1735" spans="1:8" x14ac:dyDescent="0.3">
      <c r="A1735" s="6">
        <v>21</v>
      </c>
      <c r="B1735" t="s">
        <v>698</v>
      </c>
      <c r="C1735" s="9" t="s">
        <v>932</v>
      </c>
      <c r="D1735" s="9">
        <v>12</v>
      </c>
      <c r="E1735" s="9" t="s">
        <v>1804</v>
      </c>
      <c r="F1735" t="s">
        <v>234</v>
      </c>
      <c r="G1735" t="s">
        <v>235</v>
      </c>
      <c r="H1735" t="s">
        <v>1047</v>
      </c>
    </row>
    <row r="1736" spans="1:8" x14ac:dyDescent="0.3">
      <c r="A1736" s="6">
        <v>21</v>
      </c>
      <c r="B1736" t="s">
        <v>698</v>
      </c>
      <c r="C1736" s="9" t="s">
        <v>932</v>
      </c>
      <c r="D1736" s="9">
        <v>15</v>
      </c>
      <c r="E1736" s="9" t="s">
        <v>1804</v>
      </c>
      <c r="F1736" t="s">
        <v>43</v>
      </c>
      <c r="G1736" t="s">
        <v>44</v>
      </c>
      <c r="H1736" t="s">
        <v>1050</v>
      </c>
    </row>
    <row r="1737" spans="1:8" x14ac:dyDescent="0.3">
      <c r="A1737" s="6">
        <v>21</v>
      </c>
      <c r="B1737" t="s">
        <v>698</v>
      </c>
      <c r="C1737" s="9" t="s">
        <v>932</v>
      </c>
      <c r="D1737" s="9">
        <v>18</v>
      </c>
      <c r="E1737" s="9" t="s">
        <v>1804</v>
      </c>
      <c r="F1737" t="s">
        <v>246</v>
      </c>
      <c r="G1737" t="s">
        <v>51</v>
      </c>
      <c r="H1737" t="s">
        <v>1596</v>
      </c>
    </row>
    <row r="1738" spans="1:8" x14ac:dyDescent="0.3">
      <c r="A1738" s="6">
        <v>21</v>
      </c>
      <c r="B1738" t="s">
        <v>698</v>
      </c>
      <c r="C1738" s="9" t="s">
        <v>976</v>
      </c>
      <c r="D1738" s="9">
        <v>60</v>
      </c>
      <c r="E1738" s="9" t="s">
        <v>1804</v>
      </c>
      <c r="F1738" t="s">
        <v>700</v>
      </c>
      <c r="G1738" t="s">
        <v>701</v>
      </c>
      <c r="H1738" t="s">
        <v>1202</v>
      </c>
    </row>
    <row r="1739" spans="1:8" x14ac:dyDescent="0.3">
      <c r="A1739" s="6">
        <v>21</v>
      </c>
      <c r="B1739" t="s">
        <v>698</v>
      </c>
      <c r="C1739" s="9" t="s">
        <v>932</v>
      </c>
      <c r="D1739" s="9">
        <v>15</v>
      </c>
      <c r="E1739" s="9" t="s">
        <v>1804</v>
      </c>
      <c r="F1739" t="s">
        <v>59</v>
      </c>
      <c r="G1739" t="s">
        <v>60</v>
      </c>
      <c r="H1739" t="s">
        <v>1078</v>
      </c>
    </row>
    <row r="1740" spans="1:8" x14ac:dyDescent="0.3">
      <c r="A1740" s="6">
        <v>21</v>
      </c>
      <c r="B1740" t="s">
        <v>698</v>
      </c>
      <c r="C1740" s="9" t="s">
        <v>932</v>
      </c>
      <c r="D1740" s="9">
        <v>18</v>
      </c>
      <c r="E1740" s="9" t="s">
        <v>1804</v>
      </c>
      <c r="F1740" t="s">
        <v>65</v>
      </c>
      <c r="G1740" t="s">
        <v>66</v>
      </c>
      <c r="H1740" t="s">
        <v>1791</v>
      </c>
    </row>
    <row r="1741" spans="1:8" x14ac:dyDescent="0.3">
      <c r="A1741" s="6">
        <v>21</v>
      </c>
      <c r="B1741" t="s">
        <v>698</v>
      </c>
      <c r="C1741" s="9" t="s">
        <v>1807</v>
      </c>
      <c r="D1741" s="9">
        <v>420</v>
      </c>
      <c r="E1741" s="9" t="s">
        <v>1808</v>
      </c>
      <c r="F1741" t="s">
        <v>68</v>
      </c>
      <c r="G1741" t="s">
        <v>69</v>
      </c>
      <c r="H1741" t="s">
        <v>1551</v>
      </c>
    </row>
    <row r="1742" spans="1:8" x14ac:dyDescent="0.3">
      <c r="A1742" s="6">
        <v>21</v>
      </c>
      <c r="B1742" t="s">
        <v>698</v>
      </c>
      <c r="C1742" s="9" t="s">
        <v>1807</v>
      </c>
      <c r="D1742" s="9">
        <v>198</v>
      </c>
      <c r="E1742" s="9" t="s">
        <v>1808</v>
      </c>
      <c r="F1742" t="s">
        <v>484</v>
      </c>
      <c r="G1742" t="s">
        <v>69</v>
      </c>
      <c r="H1742" t="s">
        <v>1556</v>
      </c>
    </row>
    <row r="1743" spans="1:8" x14ac:dyDescent="0.3">
      <c r="A1743" s="6">
        <v>21</v>
      </c>
      <c r="B1743" t="s">
        <v>698</v>
      </c>
      <c r="C1743" s="9" t="s">
        <v>1807</v>
      </c>
      <c r="D1743" s="9">
        <v>770</v>
      </c>
      <c r="E1743" s="9" t="s">
        <v>1808</v>
      </c>
      <c r="F1743" t="s">
        <v>71</v>
      </c>
      <c r="G1743" t="s">
        <v>72</v>
      </c>
      <c r="H1743" t="s">
        <v>1565</v>
      </c>
    </row>
    <row r="1744" spans="1:8" x14ac:dyDescent="0.3">
      <c r="A1744" s="6">
        <v>21</v>
      </c>
      <c r="B1744" t="s">
        <v>698</v>
      </c>
      <c r="C1744" s="9" t="s">
        <v>1807</v>
      </c>
      <c r="D1744" s="9">
        <v>518</v>
      </c>
      <c r="E1744" s="9" t="s">
        <v>1808</v>
      </c>
      <c r="F1744" t="s">
        <v>74</v>
      </c>
      <c r="G1744" t="s">
        <v>72</v>
      </c>
      <c r="H1744" t="s">
        <v>1566</v>
      </c>
    </row>
    <row r="1745" spans="1:8" x14ac:dyDescent="0.3">
      <c r="A1745" s="6">
        <v>21</v>
      </c>
      <c r="B1745" t="s">
        <v>698</v>
      </c>
      <c r="C1745" s="9" t="s">
        <v>1807</v>
      </c>
      <c r="D1745" s="9">
        <v>364</v>
      </c>
      <c r="E1745" s="9" t="s">
        <v>1808</v>
      </c>
      <c r="F1745" t="s">
        <v>702</v>
      </c>
      <c r="G1745" t="s">
        <v>72</v>
      </c>
      <c r="H1745" t="s">
        <v>1570</v>
      </c>
    </row>
    <row r="1746" spans="1:8" x14ac:dyDescent="0.3">
      <c r="A1746" s="6">
        <v>21</v>
      </c>
      <c r="B1746" t="s">
        <v>698</v>
      </c>
      <c r="C1746" s="9" t="s">
        <v>1809</v>
      </c>
      <c r="D1746" s="9">
        <v>60</v>
      </c>
      <c r="E1746" s="9" t="s">
        <v>1804</v>
      </c>
      <c r="F1746" t="s">
        <v>78</v>
      </c>
      <c r="G1746" t="s">
        <v>1810</v>
      </c>
      <c r="H1746" t="s">
        <v>1811</v>
      </c>
    </row>
    <row r="1747" spans="1:8" x14ac:dyDescent="0.3">
      <c r="A1747" s="6">
        <v>21</v>
      </c>
      <c r="B1747" t="s">
        <v>698</v>
      </c>
      <c r="C1747" s="9" t="s">
        <v>963</v>
      </c>
      <c r="D1747" s="9">
        <v>74</v>
      </c>
      <c r="E1747" s="9" t="s">
        <v>1804</v>
      </c>
      <c r="F1747" t="s">
        <v>458</v>
      </c>
      <c r="G1747" t="s">
        <v>459</v>
      </c>
      <c r="H1747" t="s">
        <v>1347</v>
      </c>
    </row>
    <row r="1748" spans="1:8" x14ac:dyDescent="0.3">
      <c r="A1748" s="6">
        <v>21</v>
      </c>
      <c r="B1748" t="s">
        <v>698</v>
      </c>
      <c r="C1748" s="9" t="s">
        <v>963</v>
      </c>
      <c r="D1748" s="9">
        <v>74</v>
      </c>
      <c r="E1748" s="9" t="s">
        <v>1804</v>
      </c>
      <c r="F1748" t="s">
        <v>87</v>
      </c>
      <c r="G1748" t="s">
        <v>88</v>
      </c>
      <c r="H1748" t="s">
        <v>1349</v>
      </c>
    </row>
    <row r="1749" spans="1:8" x14ac:dyDescent="0.3">
      <c r="A1749" s="6">
        <v>21</v>
      </c>
      <c r="B1749" t="s">
        <v>698</v>
      </c>
      <c r="C1749" s="9" t="s">
        <v>963</v>
      </c>
      <c r="D1749" s="9">
        <v>77</v>
      </c>
      <c r="E1749" s="9" t="s">
        <v>1804</v>
      </c>
      <c r="F1749" t="s">
        <v>328</v>
      </c>
      <c r="G1749" t="s">
        <v>329</v>
      </c>
      <c r="H1749" t="s">
        <v>1350</v>
      </c>
    </row>
    <row r="1750" spans="1:8" x14ac:dyDescent="0.3">
      <c r="A1750" s="6">
        <v>21</v>
      </c>
      <c r="B1750" t="s">
        <v>698</v>
      </c>
      <c r="C1750" s="9" t="s">
        <v>963</v>
      </c>
      <c r="D1750" s="9">
        <v>73</v>
      </c>
      <c r="E1750" s="9" t="s">
        <v>1804</v>
      </c>
      <c r="F1750" t="s">
        <v>90</v>
      </c>
      <c r="G1750" t="s">
        <v>15</v>
      </c>
      <c r="H1750" t="s">
        <v>1351</v>
      </c>
    </row>
    <row r="1751" spans="1:8" x14ac:dyDescent="0.3">
      <c r="A1751" s="6">
        <v>21</v>
      </c>
      <c r="B1751" t="s">
        <v>698</v>
      </c>
      <c r="C1751" s="9" t="s">
        <v>963</v>
      </c>
      <c r="D1751" s="9">
        <v>77</v>
      </c>
      <c r="E1751" s="9" t="s">
        <v>1804</v>
      </c>
      <c r="F1751" t="s">
        <v>91</v>
      </c>
      <c r="G1751" t="s">
        <v>92</v>
      </c>
      <c r="H1751" t="s">
        <v>1353</v>
      </c>
    </row>
    <row r="1752" spans="1:8" x14ac:dyDescent="0.3">
      <c r="A1752" s="6">
        <v>21</v>
      </c>
      <c r="B1752" t="s">
        <v>698</v>
      </c>
      <c r="C1752" s="9" t="s">
        <v>963</v>
      </c>
      <c r="D1752" s="9">
        <v>76</v>
      </c>
      <c r="E1752" s="9" t="s">
        <v>1804</v>
      </c>
      <c r="F1752" t="s">
        <v>94</v>
      </c>
      <c r="G1752" t="s">
        <v>95</v>
      </c>
      <c r="H1752" t="s">
        <v>1355</v>
      </c>
    </row>
    <row r="1753" spans="1:8" x14ac:dyDescent="0.3">
      <c r="A1753" s="6">
        <v>21</v>
      </c>
      <c r="B1753" t="s">
        <v>698</v>
      </c>
      <c r="C1753" s="9" t="s">
        <v>963</v>
      </c>
      <c r="D1753" s="9">
        <v>77</v>
      </c>
      <c r="E1753" s="9" t="s">
        <v>1804</v>
      </c>
      <c r="F1753" t="s">
        <v>98</v>
      </c>
      <c r="G1753" t="s">
        <v>99</v>
      </c>
      <c r="H1753" t="s">
        <v>1357</v>
      </c>
    </row>
    <row r="1754" spans="1:8" x14ac:dyDescent="0.3">
      <c r="A1754" s="6">
        <v>21</v>
      </c>
      <c r="B1754" t="s">
        <v>698</v>
      </c>
      <c r="C1754" s="9" t="s">
        <v>963</v>
      </c>
      <c r="D1754" s="9">
        <v>72</v>
      </c>
      <c r="E1754" s="9" t="s">
        <v>1804</v>
      </c>
      <c r="F1754" t="s">
        <v>101</v>
      </c>
      <c r="G1754" t="s">
        <v>102</v>
      </c>
      <c r="H1754" t="s">
        <v>1365</v>
      </c>
    </row>
    <row r="1755" spans="1:8" x14ac:dyDescent="0.3">
      <c r="A1755" s="6">
        <v>21</v>
      </c>
      <c r="B1755" t="s">
        <v>698</v>
      </c>
      <c r="C1755" s="9" t="s">
        <v>963</v>
      </c>
      <c r="D1755" s="9">
        <v>60</v>
      </c>
      <c r="E1755" s="9" t="s">
        <v>1804</v>
      </c>
      <c r="F1755" t="s">
        <v>342</v>
      </c>
      <c r="G1755" t="s">
        <v>343</v>
      </c>
      <c r="H1755" t="s">
        <v>1191</v>
      </c>
    </row>
    <row r="1756" spans="1:8" x14ac:dyDescent="0.3">
      <c r="A1756" s="6">
        <v>21</v>
      </c>
      <c r="B1756" t="s">
        <v>698</v>
      </c>
      <c r="C1756" s="9" t="s">
        <v>963</v>
      </c>
      <c r="D1756" s="9">
        <v>60</v>
      </c>
      <c r="E1756" s="9" t="s">
        <v>1804</v>
      </c>
      <c r="F1756" t="s">
        <v>170</v>
      </c>
      <c r="G1756" t="s">
        <v>171</v>
      </c>
      <c r="H1756" t="s">
        <v>1535</v>
      </c>
    </row>
    <row r="1757" spans="1:8" x14ac:dyDescent="0.3">
      <c r="A1757" s="6">
        <v>21</v>
      </c>
      <c r="B1757" t="s">
        <v>698</v>
      </c>
      <c r="C1757" s="9" t="s">
        <v>963</v>
      </c>
      <c r="D1757" s="9">
        <v>63</v>
      </c>
      <c r="E1757" s="9" t="s">
        <v>1804</v>
      </c>
      <c r="F1757" t="s">
        <v>404</v>
      </c>
      <c r="G1757" t="s">
        <v>115</v>
      </c>
      <c r="H1757" t="s">
        <v>1536</v>
      </c>
    </row>
    <row r="1758" spans="1:8" x14ac:dyDescent="0.3">
      <c r="A1758" s="6">
        <v>21</v>
      </c>
      <c r="B1758" t="s">
        <v>698</v>
      </c>
      <c r="C1758" s="9" t="s">
        <v>963</v>
      </c>
      <c r="D1758" s="9">
        <v>63</v>
      </c>
      <c r="E1758" s="9" t="s">
        <v>1804</v>
      </c>
      <c r="F1758" t="s">
        <v>349</v>
      </c>
      <c r="G1758" t="s">
        <v>32</v>
      </c>
      <c r="H1758" t="s">
        <v>1537</v>
      </c>
    </row>
    <row r="1759" spans="1:8" x14ac:dyDescent="0.3">
      <c r="A1759" s="6">
        <v>21</v>
      </c>
      <c r="B1759" t="s">
        <v>698</v>
      </c>
      <c r="C1759" s="9" t="s">
        <v>963</v>
      </c>
      <c r="D1759" s="9">
        <v>60</v>
      </c>
      <c r="E1759" s="9" t="s">
        <v>1804</v>
      </c>
      <c r="F1759" t="s">
        <v>106</v>
      </c>
      <c r="G1759" t="s">
        <v>32</v>
      </c>
      <c r="H1759" t="s">
        <v>1537</v>
      </c>
    </row>
    <row r="1760" spans="1:8" x14ac:dyDescent="0.3">
      <c r="A1760" s="6">
        <v>21</v>
      </c>
      <c r="B1760" t="s">
        <v>698</v>
      </c>
      <c r="C1760" s="9" t="s">
        <v>963</v>
      </c>
      <c r="D1760" s="9">
        <v>60</v>
      </c>
      <c r="E1760" s="9" t="s">
        <v>1804</v>
      </c>
      <c r="F1760" t="s">
        <v>107</v>
      </c>
      <c r="G1760" t="s">
        <v>108</v>
      </c>
      <c r="H1760" t="s">
        <v>1140</v>
      </c>
    </row>
    <row r="1761" spans="1:8" x14ac:dyDescent="0.3">
      <c r="A1761" s="6">
        <v>21</v>
      </c>
      <c r="B1761" t="s">
        <v>698</v>
      </c>
      <c r="C1761" s="9" t="s">
        <v>963</v>
      </c>
      <c r="D1761" s="9">
        <v>60</v>
      </c>
      <c r="E1761" s="9" t="s">
        <v>1804</v>
      </c>
      <c r="F1761" t="s">
        <v>110</v>
      </c>
      <c r="G1761" t="s">
        <v>41</v>
      </c>
      <c r="H1761" t="s">
        <v>1144</v>
      </c>
    </row>
    <row r="1762" spans="1:8" x14ac:dyDescent="0.3">
      <c r="A1762" s="6">
        <v>21</v>
      </c>
      <c r="B1762" t="s">
        <v>698</v>
      </c>
      <c r="C1762" s="9" t="s">
        <v>963</v>
      </c>
      <c r="D1762" s="9">
        <v>60</v>
      </c>
      <c r="E1762" s="9" t="s">
        <v>1804</v>
      </c>
      <c r="F1762" t="s">
        <v>114</v>
      </c>
      <c r="G1762" t="s">
        <v>115</v>
      </c>
      <c r="H1762" t="s">
        <v>1121</v>
      </c>
    </row>
    <row r="1763" spans="1:8" x14ac:dyDescent="0.3">
      <c r="A1763" s="6">
        <v>21</v>
      </c>
      <c r="B1763" t="s">
        <v>698</v>
      </c>
      <c r="C1763" s="9" t="s">
        <v>963</v>
      </c>
      <c r="D1763" s="9">
        <v>60</v>
      </c>
      <c r="E1763" s="9" t="s">
        <v>1804</v>
      </c>
      <c r="F1763" t="s">
        <v>120</v>
      </c>
      <c r="G1763" t="s">
        <v>51</v>
      </c>
      <c r="H1763" t="s">
        <v>1590</v>
      </c>
    </row>
    <row r="1764" spans="1:8" x14ac:dyDescent="0.3">
      <c r="A1764" s="6">
        <v>21</v>
      </c>
      <c r="B1764" t="s">
        <v>698</v>
      </c>
      <c r="C1764" s="9" t="s">
        <v>963</v>
      </c>
      <c r="D1764" s="9">
        <v>60</v>
      </c>
      <c r="E1764" s="9" t="s">
        <v>1804</v>
      </c>
      <c r="F1764" t="s">
        <v>361</v>
      </c>
      <c r="G1764" t="s">
        <v>283</v>
      </c>
      <c r="H1764" t="s">
        <v>1793</v>
      </c>
    </row>
    <row r="1765" spans="1:8" x14ac:dyDescent="0.3">
      <c r="A1765" s="6">
        <v>21</v>
      </c>
      <c r="B1765" t="s">
        <v>698</v>
      </c>
      <c r="C1765" s="9" t="s">
        <v>963</v>
      </c>
      <c r="D1765" s="9">
        <v>64</v>
      </c>
      <c r="E1765" s="9" t="s">
        <v>1804</v>
      </c>
      <c r="F1765" t="s">
        <v>362</v>
      </c>
      <c r="G1765" t="s">
        <v>298</v>
      </c>
      <c r="H1765" t="s">
        <v>1794</v>
      </c>
    </row>
    <row r="1766" spans="1:8" x14ac:dyDescent="0.3">
      <c r="A1766" s="6">
        <v>21</v>
      </c>
      <c r="B1766" t="s">
        <v>698</v>
      </c>
      <c r="C1766" s="9" t="s">
        <v>963</v>
      </c>
      <c r="D1766" s="9">
        <v>60</v>
      </c>
      <c r="E1766" s="9" t="s">
        <v>1804</v>
      </c>
      <c r="F1766" t="s">
        <v>365</v>
      </c>
      <c r="G1766" t="s">
        <v>301</v>
      </c>
      <c r="H1766" t="s">
        <v>1796</v>
      </c>
    </row>
    <row r="1767" spans="1:8" x14ac:dyDescent="0.3">
      <c r="A1767" s="6">
        <v>21</v>
      </c>
      <c r="B1767" t="s">
        <v>698</v>
      </c>
      <c r="C1767" s="9" t="s">
        <v>963</v>
      </c>
      <c r="D1767" s="9">
        <v>60</v>
      </c>
      <c r="E1767" s="9" t="s">
        <v>1804</v>
      </c>
      <c r="F1767" t="s">
        <v>367</v>
      </c>
      <c r="G1767" t="s">
        <v>368</v>
      </c>
      <c r="H1767" t="s">
        <v>1688</v>
      </c>
    </row>
    <row r="1768" spans="1:8" x14ac:dyDescent="0.3">
      <c r="A1768" s="6">
        <v>21</v>
      </c>
      <c r="B1768" t="s">
        <v>698</v>
      </c>
      <c r="C1768" s="9" t="s">
        <v>963</v>
      </c>
      <c r="D1768" s="9">
        <v>60</v>
      </c>
      <c r="E1768" s="9" t="s">
        <v>1804</v>
      </c>
      <c r="F1768" t="s">
        <v>371</v>
      </c>
      <c r="G1768" t="s">
        <v>66</v>
      </c>
      <c r="H1768" t="s">
        <v>1799</v>
      </c>
    </row>
    <row r="1769" spans="1:8" x14ac:dyDescent="0.3">
      <c r="A1769" s="6">
        <v>21</v>
      </c>
      <c r="B1769" t="s">
        <v>698</v>
      </c>
      <c r="C1769" s="9" t="s">
        <v>963</v>
      </c>
      <c r="D1769" s="9">
        <v>60</v>
      </c>
      <c r="E1769" s="9" t="s">
        <v>1804</v>
      </c>
      <c r="F1769" t="s">
        <v>128</v>
      </c>
      <c r="G1769" t="s">
        <v>129</v>
      </c>
      <c r="H1769" t="s">
        <v>1582</v>
      </c>
    </row>
    <row r="1770" spans="1:8" x14ac:dyDescent="0.3">
      <c r="A1770" s="6">
        <v>21</v>
      </c>
      <c r="B1770" t="s">
        <v>698</v>
      </c>
      <c r="C1770" s="9" t="s">
        <v>963</v>
      </c>
      <c r="D1770" s="9">
        <v>60</v>
      </c>
      <c r="E1770" s="9" t="s">
        <v>1804</v>
      </c>
      <c r="F1770" t="s">
        <v>131</v>
      </c>
      <c r="G1770" t="s">
        <v>376</v>
      </c>
      <c r="H1770" t="s">
        <v>1818</v>
      </c>
    </row>
    <row r="1771" spans="1:8" x14ac:dyDescent="0.3">
      <c r="A1771" s="6">
        <v>22</v>
      </c>
      <c r="B1771" t="s">
        <v>694</v>
      </c>
      <c r="C1771" s="9" t="s">
        <v>932</v>
      </c>
      <c r="D1771" s="9">
        <v>32</v>
      </c>
      <c r="E1771" s="9" t="s">
        <v>1804</v>
      </c>
      <c r="F1771" t="s">
        <v>619</v>
      </c>
      <c r="G1771" t="s">
        <v>620</v>
      </c>
      <c r="H1771" t="s">
        <v>1326</v>
      </c>
    </row>
    <row r="1772" spans="1:8" x14ac:dyDescent="0.3">
      <c r="A1772" s="6">
        <v>22</v>
      </c>
      <c r="B1772" t="s">
        <v>694</v>
      </c>
      <c r="C1772" s="9" t="s">
        <v>932</v>
      </c>
      <c r="D1772" s="9">
        <v>37</v>
      </c>
      <c r="E1772" s="9" t="s">
        <v>1804</v>
      </c>
      <c r="F1772" t="s">
        <v>198</v>
      </c>
      <c r="G1772" t="s">
        <v>196</v>
      </c>
      <c r="H1772" t="s">
        <v>1267</v>
      </c>
    </row>
    <row r="1773" spans="1:8" x14ac:dyDescent="0.3">
      <c r="A1773" s="6">
        <v>22</v>
      </c>
      <c r="B1773" t="s">
        <v>694</v>
      </c>
      <c r="C1773" s="9" t="s">
        <v>1807</v>
      </c>
      <c r="D1773" s="9">
        <v>1300</v>
      </c>
      <c r="E1773" s="9" t="s">
        <v>1808</v>
      </c>
      <c r="F1773" t="s">
        <v>199</v>
      </c>
      <c r="G1773" t="s">
        <v>200</v>
      </c>
      <c r="H1773" t="s">
        <v>1271</v>
      </c>
    </row>
    <row r="1774" spans="1:8" x14ac:dyDescent="0.3">
      <c r="A1774" s="6">
        <v>22</v>
      </c>
      <c r="B1774" t="s">
        <v>694</v>
      </c>
      <c r="C1774" s="9" t="s">
        <v>932</v>
      </c>
      <c r="D1774" s="9">
        <v>42</v>
      </c>
      <c r="E1774" s="9" t="s">
        <v>1804</v>
      </c>
      <c r="F1774" t="s">
        <v>14</v>
      </c>
      <c r="G1774" t="s">
        <v>15</v>
      </c>
      <c r="H1774" t="s">
        <v>1290</v>
      </c>
    </row>
    <row r="1775" spans="1:8" x14ac:dyDescent="0.3">
      <c r="A1775" s="6">
        <v>22</v>
      </c>
      <c r="B1775" t="s">
        <v>694</v>
      </c>
      <c r="C1775" s="9" t="s">
        <v>932</v>
      </c>
      <c r="D1775" s="9">
        <v>12</v>
      </c>
      <c r="E1775" s="9" t="s">
        <v>1804</v>
      </c>
      <c r="F1775" t="s">
        <v>204</v>
      </c>
      <c r="G1775" t="s">
        <v>15</v>
      </c>
      <c r="H1775" t="s">
        <v>1292</v>
      </c>
    </row>
    <row r="1776" spans="1:8" x14ac:dyDescent="0.3">
      <c r="A1776" s="6">
        <v>22</v>
      </c>
      <c r="B1776" t="s">
        <v>694</v>
      </c>
      <c r="C1776" s="9" t="s">
        <v>1807</v>
      </c>
      <c r="D1776" s="9">
        <v>1350</v>
      </c>
      <c r="E1776" s="9" t="s">
        <v>1808</v>
      </c>
      <c r="F1776" t="s">
        <v>413</v>
      </c>
      <c r="G1776" t="s">
        <v>414</v>
      </c>
      <c r="H1776" t="s">
        <v>1332</v>
      </c>
    </row>
    <row r="1777" spans="1:8" x14ac:dyDescent="0.3">
      <c r="A1777" s="6">
        <v>22</v>
      </c>
      <c r="B1777" t="s">
        <v>694</v>
      </c>
      <c r="C1777" s="9" t="s">
        <v>1807</v>
      </c>
      <c r="D1777" s="9">
        <v>120</v>
      </c>
      <c r="E1777" s="9" t="s">
        <v>1808</v>
      </c>
      <c r="F1777" t="s">
        <v>25</v>
      </c>
      <c r="G1777" t="s">
        <v>26</v>
      </c>
      <c r="H1777" t="s">
        <v>1333</v>
      </c>
    </row>
    <row r="1778" spans="1:8" x14ac:dyDescent="0.3">
      <c r="A1778" s="6">
        <v>22</v>
      </c>
      <c r="B1778" t="s">
        <v>694</v>
      </c>
      <c r="C1778" s="9" t="s">
        <v>932</v>
      </c>
      <c r="D1778" s="9">
        <v>18</v>
      </c>
      <c r="E1778" s="9" t="s">
        <v>1804</v>
      </c>
      <c r="F1778" t="s">
        <v>418</v>
      </c>
      <c r="G1778" t="s">
        <v>168</v>
      </c>
      <c r="H1778" t="s">
        <v>1440</v>
      </c>
    </row>
    <row r="1779" spans="1:8" x14ac:dyDescent="0.3">
      <c r="A1779" s="6">
        <v>22</v>
      </c>
      <c r="B1779" t="s">
        <v>694</v>
      </c>
      <c r="C1779" s="9" t="s">
        <v>932</v>
      </c>
      <c r="D1779" s="9">
        <v>24</v>
      </c>
      <c r="E1779" s="9" t="s">
        <v>1804</v>
      </c>
      <c r="F1779" t="s">
        <v>695</v>
      </c>
      <c r="G1779" t="s">
        <v>168</v>
      </c>
      <c r="H1779" t="s">
        <v>1441</v>
      </c>
    </row>
    <row r="1780" spans="1:8" x14ac:dyDescent="0.3">
      <c r="A1780" s="6">
        <v>22</v>
      </c>
      <c r="B1780" t="s">
        <v>694</v>
      </c>
      <c r="C1780" s="9" t="s">
        <v>932</v>
      </c>
      <c r="D1780" s="9">
        <v>18</v>
      </c>
      <c r="E1780" s="9" t="s">
        <v>1804</v>
      </c>
      <c r="F1780" t="s">
        <v>217</v>
      </c>
      <c r="G1780" t="s">
        <v>168</v>
      </c>
      <c r="H1780" t="s">
        <v>1442</v>
      </c>
    </row>
    <row r="1781" spans="1:8" x14ac:dyDescent="0.3">
      <c r="A1781" s="6">
        <v>22</v>
      </c>
      <c r="B1781" t="s">
        <v>694</v>
      </c>
      <c r="C1781" s="9" t="s">
        <v>932</v>
      </c>
      <c r="D1781" s="9">
        <v>27</v>
      </c>
      <c r="E1781" s="9" t="s">
        <v>1804</v>
      </c>
      <c r="F1781" t="s">
        <v>218</v>
      </c>
      <c r="G1781" t="s">
        <v>168</v>
      </c>
      <c r="H1781" t="s">
        <v>1443</v>
      </c>
    </row>
    <row r="1782" spans="1:8" x14ac:dyDescent="0.3">
      <c r="A1782" s="6">
        <v>22</v>
      </c>
      <c r="B1782" t="s">
        <v>694</v>
      </c>
      <c r="C1782" s="9" t="s">
        <v>932</v>
      </c>
      <c r="D1782" s="9">
        <v>16</v>
      </c>
      <c r="E1782" s="9" t="s">
        <v>1804</v>
      </c>
      <c r="F1782" t="s">
        <v>502</v>
      </c>
      <c r="G1782" t="s">
        <v>168</v>
      </c>
      <c r="H1782" t="s">
        <v>1444</v>
      </c>
    </row>
    <row r="1783" spans="1:8" x14ac:dyDescent="0.3">
      <c r="A1783" s="6">
        <v>22</v>
      </c>
      <c r="B1783" t="s">
        <v>694</v>
      </c>
      <c r="C1783" s="9" t="s">
        <v>932</v>
      </c>
      <c r="D1783" s="9">
        <v>18</v>
      </c>
      <c r="E1783" s="9" t="s">
        <v>1804</v>
      </c>
      <c r="F1783" t="s">
        <v>389</v>
      </c>
      <c r="G1783" t="s">
        <v>171</v>
      </c>
      <c r="H1783" t="s">
        <v>1447</v>
      </c>
    </row>
    <row r="1784" spans="1:8" x14ac:dyDescent="0.3">
      <c r="A1784" s="6">
        <v>22</v>
      </c>
      <c r="B1784" t="s">
        <v>694</v>
      </c>
      <c r="C1784" s="9" t="s">
        <v>932</v>
      </c>
      <c r="D1784" s="9">
        <v>33</v>
      </c>
      <c r="E1784" s="9" t="s">
        <v>1804</v>
      </c>
      <c r="F1784" t="s">
        <v>390</v>
      </c>
      <c r="G1784" t="s">
        <v>391</v>
      </c>
      <c r="H1784" t="s">
        <v>1449</v>
      </c>
    </row>
    <row r="1785" spans="1:8" x14ac:dyDescent="0.3">
      <c r="A1785" s="6">
        <v>22</v>
      </c>
      <c r="B1785" t="s">
        <v>694</v>
      </c>
      <c r="C1785" s="9" t="s">
        <v>932</v>
      </c>
      <c r="D1785" s="9">
        <v>35</v>
      </c>
      <c r="E1785" s="9" t="s">
        <v>1804</v>
      </c>
      <c r="F1785" t="s">
        <v>421</v>
      </c>
      <c r="G1785" t="s">
        <v>115</v>
      </c>
      <c r="H1785" t="s">
        <v>1464</v>
      </c>
    </row>
    <row r="1786" spans="1:8" x14ac:dyDescent="0.3">
      <c r="A1786" s="6">
        <v>22</v>
      </c>
      <c r="B1786" t="s">
        <v>694</v>
      </c>
      <c r="C1786" s="9" t="s">
        <v>932</v>
      </c>
      <c r="D1786" s="9">
        <v>32</v>
      </c>
      <c r="E1786" s="9" t="s">
        <v>1804</v>
      </c>
      <c r="F1786" t="s">
        <v>219</v>
      </c>
      <c r="G1786" t="s">
        <v>32</v>
      </c>
      <c r="H1786" t="s">
        <v>1484</v>
      </c>
    </row>
    <row r="1787" spans="1:8" x14ac:dyDescent="0.3">
      <c r="A1787" s="6">
        <v>22</v>
      </c>
      <c r="B1787" t="s">
        <v>694</v>
      </c>
      <c r="C1787" s="9" t="s">
        <v>932</v>
      </c>
      <c r="D1787" s="9">
        <v>36</v>
      </c>
      <c r="E1787" s="9" t="s">
        <v>1804</v>
      </c>
      <c r="F1787" t="s">
        <v>541</v>
      </c>
      <c r="G1787" t="s">
        <v>32</v>
      </c>
      <c r="H1787" t="s">
        <v>1486</v>
      </c>
    </row>
    <row r="1788" spans="1:8" x14ac:dyDescent="0.3">
      <c r="A1788" s="6">
        <v>22</v>
      </c>
      <c r="B1788" t="s">
        <v>694</v>
      </c>
      <c r="C1788" s="9" t="s">
        <v>932</v>
      </c>
      <c r="D1788" s="9">
        <v>30</v>
      </c>
      <c r="E1788" s="9" t="s">
        <v>1804</v>
      </c>
      <c r="F1788" t="s">
        <v>35</v>
      </c>
      <c r="G1788" t="s">
        <v>32</v>
      </c>
      <c r="H1788" t="s">
        <v>1489</v>
      </c>
    </row>
    <row r="1789" spans="1:8" x14ac:dyDescent="0.3">
      <c r="A1789" s="6">
        <v>22</v>
      </c>
      <c r="B1789" t="s">
        <v>694</v>
      </c>
      <c r="C1789" s="9" t="s">
        <v>932</v>
      </c>
      <c r="D1789" s="9">
        <v>32</v>
      </c>
      <c r="E1789" s="9" t="s">
        <v>1804</v>
      </c>
      <c r="F1789" t="s">
        <v>221</v>
      </c>
      <c r="G1789" t="s">
        <v>32</v>
      </c>
      <c r="H1789" t="s">
        <v>1490</v>
      </c>
    </row>
    <row r="1790" spans="1:8" x14ac:dyDescent="0.3">
      <c r="A1790" s="6">
        <v>22</v>
      </c>
      <c r="B1790" t="s">
        <v>694</v>
      </c>
      <c r="C1790" s="9" t="s">
        <v>932</v>
      </c>
      <c r="D1790" s="9">
        <v>34</v>
      </c>
      <c r="E1790" s="9" t="s">
        <v>1804</v>
      </c>
      <c r="F1790" t="s">
        <v>422</v>
      </c>
      <c r="G1790" t="s">
        <v>423</v>
      </c>
      <c r="H1790" t="s">
        <v>1149</v>
      </c>
    </row>
    <row r="1791" spans="1:8" x14ac:dyDescent="0.3">
      <c r="A1791" s="6">
        <v>22</v>
      </c>
      <c r="B1791" t="s">
        <v>694</v>
      </c>
      <c r="C1791" s="9" t="s">
        <v>932</v>
      </c>
      <c r="D1791" s="9">
        <v>12</v>
      </c>
      <c r="E1791" s="9" t="s">
        <v>1804</v>
      </c>
      <c r="F1791" t="s">
        <v>153</v>
      </c>
      <c r="G1791" t="s">
        <v>108</v>
      </c>
      <c r="H1791" t="s">
        <v>1150</v>
      </c>
    </row>
    <row r="1792" spans="1:8" x14ac:dyDescent="0.3">
      <c r="A1792" s="6">
        <v>22</v>
      </c>
      <c r="B1792" t="s">
        <v>694</v>
      </c>
      <c r="C1792" s="9" t="s">
        <v>932</v>
      </c>
      <c r="D1792" s="9">
        <v>18</v>
      </c>
      <c r="E1792" s="9" t="s">
        <v>1804</v>
      </c>
      <c r="F1792" t="s">
        <v>154</v>
      </c>
      <c r="G1792" t="s">
        <v>108</v>
      </c>
      <c r="H1792" t="s">
        <v>1151</v>
      </c>
    </row>
    <row r="1793" spans="1:8" x14ac:dyDescent="0.3">
      <c r="A1793" s="6">
        <v>22</v>
      </c>
      <c r="B1793" t="s">
        <v>694</v>
      </c>
      <c r="C1793" s="9" t="s">
        <v>932</v>
      </c>
      <c r="D1793" s="9">
        <v>21</v>
      </c>
      <c r="E1793" s="9" t="s">
        <v>1804</v>
      </c>
      <c r="F1793" t="s">
        <v>507</v>
      </c>
      <c r="G1793" t="s">
        <v>108</v>
      </c>
      <c r="H1793" t="s">
        <v>1154</v>
      </c>
    </row>
    <row r="1794" spans="1:8" x14ac:dyDescent="0.3">
      <c r="A1794" s="6">
        <v>22</v>
      </c>
      <c r="B1794" t="s">
        <v>694</v>
      </c>
      <c r="C1794" s="9" t="s">
        <v>976</v>
      </c>
      <c r="D1794" s="9">
        <v>60</v>
      </c>
      <c r="E1794" s="9" t="s">
        <v>1804</v>
      </c>
      <c r="F1794" t="s">
        <v>696</v>
      </c>
      <c r="G1794" t="s">
        <v>108</v>
      </c>
      <c r="H1794" t="s">
        <v>1145</v>
      </c>
    </row>
    <row r="1795" spans="1:8" x14ac:dyDescent="0.3">
      <c r="A1795" s="6">
        <v>22</v>
      </c>
      <c r="B1795" t="s">
        <v>694</v>
      </c>
      <c r="C1795" s="9" t="s">
        <v>932</v>
      </c>
      <c r="D1795" s="9">
        <v>18</v>
      </c>
      <c r="E1795" s="9" t="s">
        <v>1804</v>
      </c>
      <c r="F1795" t="s">
        <v>697</v>
      </c>
      <c r="G1795" t="s">
        <v>108</v>
      </c>
      <c r="H1795" t="s">
        <v>1155</v>
      </c>
    </row>
    <row r="1796" spans="1:8" x14ac:dyDescent="0.3">
      <c r="A1796" s="6">
        <v>22</v>
      </c>
      <c r="B1796" t="s">
        <v>694</v>
      </c>
      <c r="C1796" s="9" t="s">
        <v>932</v>
      </c>
      <c r="D1796" s="9">
        <v>24</v>
      </c>
      <c r="E1796" s="9" t="s">
        <v>1804</v>
      </c>
      <c r="F1796" t="s">
        <v>393</v>
      </c>
      <c r="G1796" t="s">
        <v>108</v>
      </c>
      <c r="H1796" t="s">
        <v>1156</v>
      </c>
    </row>
    <row r="1797" spans="1:8" x14ac:dyDescent="0.3">
      <c r="A1797" s="6">
        <v>22</v>
      </c>
      <c r="B1797" t="s">
        <v>694</v>
      </c>
      <c r="C1797" s="9" t="s">
        <v>932</v>
      </c>
      <c r="D1797" s="9">
        <v>27</v>
      </c>
      <c r="E1797" s="9" t="s">
        <v>1804</v>
      </c>
      <c r="F1797" t="s">
        <v>37</v>
      </c>
      <c r="G1797" t="s">
        <v>38</v>
      </c>
      <c r="H1797" t="s">
        <v>1164</v>
      </c>
    </row>
    <row r="1798" spans="1:8" x14ac:dyDescent="0.3">
      <c r="A1798" s="6">
        <v>22</v>
      </c>
      <c r="B1798" t="s">
        <v>694</v>
      </c>
      <c r="C1798" s="9" t="s">
        <v>932</v>
      </c>
      <c r="D1798" s="9">
        <v>12</v>
      </c>
      <c r="E1798" s="9" t="s">
        <v>1804</v>
      </c>
      <c r="F1798" t="s">
        <v>226</v>
      </c>
      <c r="G1798" t="s">
        <v>38</v>
      </c>
      <c r="H1798" t="s">
        <v>1165</v>
      </c>
    </row>
    <row r="1799" spans="1:8" x14ac:dyDescent="0.3">
      <c r="A1799" s="6">
        <v>22</v>
      </c>
      <c r="B1799" t="s">
        <v>694</v>
      </c>
      <c r="C1799" s="9" t="s">
        <v>932</v>
      </c>
      <c r="D1799" s="9">
        <v>18</v>
      </c>
      <c r="E1799" s="9" t="s">
        <v>1804</v>
      </c>
      <c r="F1799" t="s">
        <v>227</v>
      </c>
      <c r="G1799" t="s">
        <v>41</v>
      </c>
      <c r="H1799" t="s">
        <v>1167</v>
      </c>
    </row>
    <row r="1800" spans="1:8" x14ac:dyDescent="0.3">
      <c r="A1800" s="6">
        <v>22</v>
      </c>
      <c r="B1800" t="s">
        <v>694</v>
      </c>
      <c r="C1800" s="9" t="s">
        <v>932</v>
      </c>
      <c r="D1800" s="9">
        <v>12</v>
      </c>
      <c r="E1800" s="9" t="s">
        <v>1804</v>
      </c>
      <c r="F1800" t="s">
        <v>228</v>
      </c>
      <c r="G1800" t="s">
        <v>41</v>
      </c>
      <c r="H1800" t="s">
        <v>1168</v>
      </c>
    </row>
    <row r="1801" spans="1:8" x14ac:dyDescent="0.3">
      <c r="A1801" s="6">
        <v>22</v>
      </c>
      <c r="B1801" t="s">
        <v>694</v>
      </c>
      <c r="C1801" s="9" t="s">
        <v>932</v>
      </c>
      <c r="D1801" s="9">
        <v>27</v>
      </c>
      <c r="E1801" s="9" t="s">
        <v>1804</v>
      </c>
      <c r="F1801" t="s">
        <v>40</v>
      </c>
      <c r="G1801" t="s">
        <v>41</v>
      </c>
      <c r="H1801" t="s">
        <v>1169</v>
      </c>
    </row>
    <row r="1802" spans="1:8" x14ac:dyDescent="0.3">
      <c r="A1802" s="6">
        <v>22</v>
      </c>
      <c r="B1802" t="s">
        <v>694</v>
      </c>
      <c r="C1802" s="9" t="s">
        <v>932</v>
      </c>
      <c r="D1802" s="9">
        <v>18</v>
      </c>
      <c r="E1802" s="9" t="s">
        <v>1804</v>
      </c>
      <c r="F1802" t="s">
        <v>229</v>
      </c>
      <c r="G1802" t="s">
        <v>230</v>
      </c>
      <c r="H1802" t="s">
        <v>1170</v>
      </c>
    </row>
    <row r="1803" spans="1:8" x14ac:dyDescent="0.3">
      <c r="A1803" s="6">
        <v>22</v>
      </c>
      <c r="B1803" t="s">
        <v>694</v>
      </c>
      <c r="C1803" s="9" t="s">
        <v>932</v>
      </c>
      <c r="D1803" s="9">
        <v>24</v>
      </c>
      <c r="E1803" s="9" t="s">
        <v>1804</v>
      </c>
      <c r="F1803" t="s">
        <v>232</v>
      </c>
      <c r="G1803" t="s">
        <v>144</v>
      </c>
      <c r="H1803" t="s">
        <v>1171</v>
      </c>
    </row>
    <row r="1804" spans="1:8" x14ac:dyDescent="0.3">
      <c r="A1804" s="6">
        <v>22</v>
      </c>
      <c r="B1804" t="s">
        <v>694</v>
      </c>
      <c r="C1804" s="9" t="s">
        <v>932</v>
      </c>
      <c r="D1804" s="9">
        <v>18</v>
      </c>
      <c r="E1804" s="9" t="s">
        <v>1804</v>
      </c>
      <c r="F1804" t="s">
        <v>246</v>
      </c>
      <c r="G1804" t="s">
        <v>51</v>
      </c>
      <c r="H1804" t="s">
        <v>1596</v>
      </c>
    </row>
    <row r="1805" spans="1:8" x14ac:dyDescent="0.3">
      <c r="A1805" s="6">
        <v>22</v>
      </c>
      <c r="B1805" t="s">
        <v>694</v>
      </c>
      <c r="C1805" s="9" t="s">
        <v>932</v>
      </c>
      <c r="D1805" s="9">
        <v>12</v>
      </c>
      <c r="E1805" s="9" t="s">
        <v>1804</v>
      </c>
      <c r="F1805" t="s">
        <v>561</v>
      </c>
      <c r="G1805" t="s">
        <v>562</v>
      </c>
      <c r="H1805" t="s">
        <v>1622</v>
      </c>
    </row>
    <row r="1806" spans="1:8" x14ac:dyDescent="0.3">
      <c r="A1806" s="6">
        <v>22</v>
      </c>
      <c r="B1806" t="s">
        <v>694</v>
      </c>
      <c r="C1806" s="9" t="s">
        <v>932</v>
      </c>
      <c r="D1806" s="9">
        <v>17</v>
      </c>
      <c r="E1806" s="9" t="s">
        <v>1804</v>
      </c>
      <c r="F1806" t="s">
        <v>307</v>
      </c>
      <c r="G1806" t="s">
        <v>122</v>
      </c>
      <c r="H1806" t="s">
        <v>1098</v>
      </c>
    </row>
    <row r="1807" spans="1:8" x14ac:dyDescent="0.3">
      <c r="A1807" s="6">
        <v>22</v>
      </c>
      <c r="B1807" t="s">
        <v>694</v>
      </c>
      <c r="C1807" s="9" t="s">
        <v>932</v>
      </c>
      <c r="D1807" s="9">
        <v>18</v>
      </c>
      <c r="E1807" s="9" t="s">
        <v>1804</v>
      </c>
      <c r="F1807" t="s">
        <v>65</v>
      </c>
      <c r="G1807" t="s">
        <v>66</v>
      </c>
      <c r="H1807" t="s">
        <v>1791</v>
      </c>
    </row>
    <row r="1808" spans="1:8" x14ac:dyDescent="0.3">
      <c r="A1808" s="6">
        <v>22</v>
      </c>
      <c r="B1808" t="s">
        <v>694</v>
      </c>
      <c r="C1808" s="9" t="s">
        <v>1807</v>
      </c>
      <c r="D1808" s="9">
        <v>420</v>
      </c>
      <c r="E1808" s="9" t="s">
        <v>1808</v>
      </c>
      <c r="F1808" t="s">
        <v>68</v>
      </c>
      <c r="G1808" t="s">
        <v>69</v>
      </c>
      <c r="H1808" t="s">
        <v>1551</v>
      </c>
    </row>
    <row r="1809" spans="1:8" x14ac:dyDescent="0.3">
      <c r="A1809" s="6">
        <v>22</v>
      </c>
      <c r="B1809" t="s">
        <v>694</v>
      </c>
      <c r="C1809" s="9" t="s">
        <v>1807</v>
      </c>
      <c r="D1809" s="9">
        <v>198</v>
      </c>
      <c r="E1809" s="9" t="s">
        <v>1808</v>
      </c>
      <c r="F1809" t="s">
        <v>484</v>
      </c>
      <c r="G1809" t="s">
        <v>69</v>
      </c>
      <c r="H1809" t="s">
        <v>1556</v>
      </c>
    </row>
    <row r="1810" spans="1:8" x14ac:dyDescent="0.3">
      <c r="A1810" s="6">
        <v>22</v>
      </c>
      <c r="B1810" t="s">
        <v>694</v>
      </c>
      <c r="C1810" s="9" t="s">
        <v>932</v>
      </c>
      <c r="D1810" s="9">
        <v>24</v>
      </c>
      <c r="E1810" s="9" t="s">
        <v>1804</v>
      </c>
      <c r="F1810" t="s">
        <v>316</v>
      </c>
      <c r="G1810" t="s">
        <v>129</v>
      </c>
      <c r="H1810" t="s">
        <v>1562</v>
      </c>
    </row>
    <row r="1811" spans="1:8" x14ac:dyDescent="0.3">
      <c r="A1811" s="6">
        <v>22</v>
      </c>
      <c r="B1811" t="s">
        <v>694</v>
      </c>
      <c r="C1811" s="9" t="s">
        <v>1807</v>
      </c>
      <c r="D1811" s="9">
        <v>770</v>
      </c>
      <c r="E1811" s="9" t="s">
        <v>1808</v>
      </c>
      <c r="F1811" t="s">
        <v>71</v>
      </c>
      <c r="G1811" t="s">
        <v>72</v>
      </c>
      <c r="H1811" t="s">
        <v>1565</v>
      </c>
    </row>
    <row r="1812" spans="1:8" x14ac:dyDescent="0.3">
      <c r="A1812" s="6">
        <v>22</v>
      </c>
      <c r="B1812" t="s">
        <v>694</v>
      </c>
      <c r="C1812" s="9" t="s">
        <v>1807</v>
      </c>
      <c r="D1812" s="9">
        <v>518</v>
      </c>
      <c r="E1812" s="9" t="s">
        <v>1808</v>
      </c>
      <c r="F1812" t="s">
        <v>74</v>
      </c>
      <c r="G1812" t="s">
        <v>72</v>
      </c>
      <c r="H1812" t="s">
        <v>1566</v>
      </c>
    </row>
    <row r="1813" spans="1:8" x14ac:dyDescent="0.3">
      <c r="A1813" s="6">
        <v>22</v>
      </c>
      <c r="B1813" t="s">
        <v>694</v>
      </c>
      <c r="C1813" s="9" t="s">
        <v>1807</v>
      </c>
      <c r="D1813" s="9">
        <v>532</v>
      </c>
      <c r="E1813" s="9" t="s">
        <v>1808</v>
      </c>
      <c r="F1813" t="s">
        <v>596</v>
      </c>
      <c r="G1813" t="s">
        <v>72</v>
      </c>
      <c r="H1813" t="s">
        <v>1567</v>
      </c>
    </row>
    <row r="1814" spans="1:8" x14ac:dyDescent="0.3">
      <c r="A1814" s="6">
        <v>22</v>
      </c>
      <c r="B1814" t="s">
        <v>694</v>
      </c>
      <c r="C1814" s="9" t="s">
        <v>1809</v>
      </c>
      <c r="D1814" s="9">
        <v>60</v>
      </c>
      <c r="E1814" s="9" t="s">
        <v>1804</v>
      </c>
      <c r="F1814" t="s">
        <v>78</v>
      </c>
      <c r="G1814" t="s">
        <v>1810</v>
      </c>
      <c r="H1814" t="s">
        <v>1811</v>
      </c>
    </row>
    <row r="1815" spans="1:8" x14ac:dyDescent="0.3">
      <c r="A1815" s="6">
        <v>22</v>
      </c>
      <c r="B1815" t="s">
        <v>694</v>
      </c>
      <c r="C1815" s="9" t="s">
        <v>963</v>
      </c>
      <c r="D1815" s="9">
        <v>60</v>
      </c>
      <c r="E1815" s="9" t="s">
        <v>1804</v>
      </c>
      <c r="F1815" t="s">
        <v>612</v>
      </c>
      <c r="G1815" t="s">
        <v>613</v>
      </c>
      <c r="H1815" t="s">
        <v>1343</v>
      </c>
    </row>
    <row r="1816" spans="1:8" x14ac:dyDescent="0.3">
      <c r="A1816" s="6">
        <v>22</v>
      </c>
      <c r="B1816" t="s">
        <v>694</v>
      </c>
      <c r="C1816" s="9" t="s">
        <v>963</v>
      </c>
      <c r="D1816" s="9">
        <v>70</v>
      </c>
      <c r="E1816" s="9" t="s">
        <v>1804</v>
      </c>
      <c r="F1816" t="s">
        <v>325</v>
      </c>
      <c r="G1816" t="s">
        <v>196</v>
      </c>
      <c r="H1816" t="s">
        <v>1344</v>
      </c>
    </row>
    <row r="1817" spans="1:8" x14ac:dyDescent="0.3">
      <c r="A1817" s="6">
        <v>22</v>
      </c>
      <c r="B1817" t="s">
        <v>694</v>
      </c>
      <c r="C1817" s="9" t="s">
        <v>963</v>
      </c>
      <c r="D1817" s="9">
        <v>73</v>
      </c>
      <c r="E1817" s="9" t="s">
        <v>1804</v>
      </c>
      <c r="F1817" t="s">
        <v>90</v>
      </c>
      <c r="G1817" t="s">
        <v>15</v>
      </c>
      <c r="H1817" t="s">
        <v>1351</v>
      </c>
    </row>
    <row r="1818" spans="1:8" x14ac:dyDescent="0.3">
      <c r="A1818" s="6">
        <v>22</v>
      </c>
      <c r="B1818" t="s">
        <v>694</v>
      </c>
      <c r="C1818" s="9" t="s">
        <v>963</v>
      </c>
      <c r="D1818" s="9">
        <v>77</v>
      </c>
      <c r="E1818" s="9" t="s">
        <v>1804</v>
      </c>
      <c r="F1818" t="s">
        <v>91</v>
      </c>
      <c r="G1818" t="s">
        <v>92</v>
      </c>
      <c r="H1818" t="s">
        <v>1353</v>
      </c>
    </row>
    <row r="1819" spans="1:8" x14ac:dyDescent="0.3">
      <c r="A1819" s="6">
        <v>22</v>
      </c>
      <c r="B1819" t="s">
        <v>694</v>
      </c>
      <c r="C1819" s="9" t="s">
        <v>963</v>
      </c>
      <c r="D1819" s="9">
        <v>76</v>
      </c>
      <c r="E1819" s="9" t="s">
        <v>1804</v>
      </c>
      <c r="F1819" t="s">
        <v>94</v>
      </c>
      <c r="G1819" t="s">
        <v>95</v>
      </c>
      <c r="H1819" t="s">
        <v>1355</v>
      </c>
    </row>
    <row r="1820" spans="1:8" x14ac:dyDescent="0.3">
      <c r="A1820" s="6">
        <v>22</v>
      </c>
      <c r="B1820" t="s">
        <v>694</v>
      </c>
      <c r="C1820" s="9" t="s">
        <v>963</v>
      </c>
      <c r="D1820" s="9">
        <v>72</v>
      </c>
      <c r="E1820" s="9" t="s">
        <v>1804</v>
      </c>
      <c r="F1820" t="s">
        <v>101</v>
      </c>
      <c r="G1820" t="s">
        <v>102</v>
      </c>
      <c r="H1820" t="s">
        <v>1365</v>
      </c>
    </row>
    <row r="1821" spans="1:8" x14ac:dyDescent="0.3">
      <c r="A1821" s="6">
        <v>22</v>
      </c>
      <c r="B1821" t="s">
        <v>694</v>
      </c>
      <c r="C1821" s="9" t="s">
        <v>963</v>
      </c>
      <c r="D1821" s="9">
        <v>60</v>
      </c>
      <c r="E1821" s="9" t="s">
        <v>1804</v>
      </c>
      <c r="F1821" t="s">
        <v>167</v>
      </c>
      <c r="G1821" t="s">
        <v>168</v>
      </c>
      <c r="H1821" t="s">
        <v>1533</v>
      </c>
    </row>
    <row r="1822" spans="1:8" x14ac:dyDescent="0.3">
      <c r="A1822" s="6">
        <v>22</v>
      </c>
      <c r="B1822" t="s">
        <v>694</v>
      </c>
      <c r="C1822" s="9" t="s">
        <v>963</v>
      </c>
      <c r="D1822" s="9">
        <v>60</v>
      </c>
      <c r="E1822" s="9" t="s">
        <v>1804</v>
      </c>
      <c r="F1822" t="s">
        <v>170</v>
      </c>
      <c r="G1822" t="s">
        <v>171</v>
      </c>
      <c r="H1822" t="s">
        <v>1535</v>
      </c>
    </row>
    <row r="1823" spans="1:8" x14ac:dyDescent="0.3">
      <c r="A1823" s="6">
        <v>22</v>
      </c>
      <c r="B1823" t="s">
        <v>694</v>
      </c>
      <c r="C1823" s="9" t="s">
        <v>963</v>
      </c>
      <c r="D1823" s="9">
        <v>63</v>
      </c>
      <c r="E1823" s="9" t="s">
        <v>1804</v>
      </c>
      <c r="F1823" t="s">
        <v>404</v>
      </c>
      <c r="G1823" t="s">
        <v>115</v>
      </c>
      <c r="H1823" t="s">
        <v>1536</v>
      </c>
    </row>
    <row r="1824" spans="1:8" x14ac:dyDescent="0.3">
      <c r="A1824" s="6">
        <v>22</v>
      </c>
      <c r="B1824" t="s">
        <v>694</v>
      </c>
      <c r="C1824" s="9" t="s">
        <v>963</v>
      </c>
      <c r="D1824" s="9">
        <v>60</v>
      </c>
      <c r="E1824" s="9" t="s">
        <v>1804</v>
      </c>
      <c r="F1824" t="s">
        <v>686</v>
      </c>
      <c r="G1824" t="s">
        <v>115</v>
      </c>
      <c r="H1824" t="s">
        <v>1536</v>
      </c>
    </row>
    <row r="1825" spans="1:8" x14ac:dyDescent="0.3">
      <c r="A1825" s="6">
        <v>22</v>
      </c>
      <c r="B1825" t="s">
        <v>694</v>
      </c>
      <c r="C1825" s="9" t="s">
        <v>963</v>
      </c>
      <c r="D1825" s="9">
        <v>60</v>
      </c>
      <c r="E1825" s="9" t="s">
        <v>1804</v>
      </c>
      <c r="F1825" t="s">
        <v>106</v>
      </c>
      <c r="G1825" t="s">
        <v>32</v>
      </c>
      <c r="H1825" t="s">
        <v>1537</v>
      </c>
    </row>
    <row r="1826" spans="1:8" x14ac:dyDescent="0.3">
      <c r="A1826" s="6">
        <v>22</v>
      </c>
      <c r="B1826" t="s">
        <v>694</v>
      </c>
      <c r="C1826" s="9" t="s">
        <v>963</v>
      </c>
      <c r="D1826" s="9">
        <v>60</v>
      </c>
      <c r="E1826" s="9" t="s">
        <v>1804</v>
      </c>
      <c r="F1826" t="s">
        <v>107</v>
      </c>
      <c r="G1826" t="s">
        <v>108</v>
      </c>
      <c r="H1826" t="s">
        <v>1140</v>
      </c>
    </row>
    <row r="1827" spans="1:8" x14ac:dyDescent="0.3">
      <c r="A1827" s="6">
        <v>22</v>
      </c>
      <c r="B1827" t="s">
        <v>694</v>
      </c>
      <c r="C1827" s="9" t="s">
        <v>963</v>
      </c>
      <c r="D1827" s="9">
        <v>63</v>
      </c>
      <c r="E1827" s="9" t="s">
        <v>1804</v>
      </c>
      <c r="F1827" t="s">
        <v>598</v>
      </c>
      <c r="G1827" t="s">
        <v>38</v>
      </c>
      <c r="H1827" t="s">
        <v>1142</v>
      </c>
    </row>
    <row r="1828" spans="1:8" x14ac:dyDescent="0.3">
      <c r="A1828" s="6">
        <v>22</v>
      </c>
      <c r="B1828" t="s">
        <v>694</v>
      </c>
      <c r="C1828" s="9" t="s">
        <v>963</v>
      </c>
      <c r="D1828" s="9">
        <v>60</v>
      </c>
      <c r="E1828" s="9" t="s">
        <v>1804</v>
      </c>
      <c r="F1828" t="s">
        <v>351</v>
      </c>
      <c r="G1828" t="s">
        <v>38</v>
      </c>
      <c r="H1828" t="s">
        <v>1142</v>
      </c>
    </row>
    <row r="1829" spans="1:8" x14ac:dyDescent="0.3">
      <c r="A1829" s="6">
        <v>22</v>
      </c>
      <c r="B1829" t="s">
        <v>694</v>
      </c>
      <c r="C1829" s="9" t="s">
        <v>963</v>
      </c>
      <c r="D1829" s="9">
        <v>60</v>
      </c>
      <c r="E1829" s="9" t="s">
        <v>1804</v>
      </c>
      <c r="F1829" t="s">
        <v>528</v>
      </c>
      <c r="G1829" t="s">
        <v>38</v>
      </c>
      <c r="H1829" t="s">
        <v>1143</v>
      </c>
    </row>
    <row r="1830" spans="1:8" x14ac:dyDescent="0.3">
      <c r="A1830" s="6">
        <v>22</v>
      </c>
      <c r="B1830" t="s">
        <v>694</v>
      </c>
      <c r="C1830" s="9" t="s">
        <v>963</v>
      </c>
      <c r="D1830" s="9">
        <v>60</v>
      </c>
      <c r="E1830" s="9" t="s">
        <v>1804</v>
      </c>
      <c r="F1830" t="s">
        <v>110</v>
      </c>
      <c r="G1830" t="s">
        <v>41</v>
      </c>
      <c r="H1830" t="s">
        <v>1144</v>
      </c>
    </row>
    <row r="1831" spans="1:8" x14ac:dyDescent="0.3">
      <c r="A1831" s="6">
        <v>22</v>
      </c>
      <c r="B1831" t="s">
        <v>694</v>
      </c>
      <c r="C1831" s="9" t="s">
        <v>963</v>
      </c>
      <c r="D1831" s="9">
        <v>64</v>
      </c>
      <c r="E1831" s="9" t="s">
        <v>1804</v>
      </c>
      <c r="F1831" t="s">
        <v>583</v>
      </c>
      <c r="G1831" t="s">
        <v>238</v>
      </c>
      <c r="H1831" t="s">
        <v>1122</v>
      </c>
    </row>
    <row r="1832" spans="1:8" x14ac:dyDescent="0.3">
      <c r="A1832" s="6">
        <v>22</v>
      </c>
      <c r="B1832" t="s">
        <v>694</v>
      </c>
      <c r="C1832" s="9" t="s">
        <v>963</v>
      </c>
      <c r="D1832" s="9">
        <v>60</v>
      </c>
      <c r="E1832" s="9" t="s">
        <v>1804</v>
      </c>
      <c r="F1832" t="s">
        <v>120</v>
      </c>
      <c r="G1832" t="s">
        <v>51</v>
      </c>
      <c r="H1832" t="s">
        <v>1590</v>
      </c>
    </row>
    <row r="1833" spans="1:8" x14ac:dyDescent="0.3">
      <c r="A1833" s="6">
        <v>22</v>
      </c>
      <c r="B1833" t="s">
        <v>694</v>
      </c>
      <c r="C1833" s="9" t="s">
        <v>963</v>
      </c>
      <c r="D1833" s="9">
        <v>64</v>
      </c>
      <c r="E1833" s="9" t="s">
        <v>1804</v>
      </c>
      <c r="F1833" t="s">
        <v>121</v>
      </c>
      <c r="G1833" t="s">
        <v>122</v>
      </c>
      <c r="H1833" t="s">
        <v>1125</v>
      </c>
    </row>
    <row r="1834" spans="1:8" x14ac:dyDescent="0.3">
      <c r="A1834" s="6">
        <v>22</v>
      </c>
      <c r="B1834" t="s">
        <v>694</v>
      </c>
      <c r="C1834" s="9" t="s">
        <v>963</v>
      </c>
      <c r="D1834" s="9">
        <v>64</v>
      </c>
      <c r="E1834" s="9" t="s">
        <v>1804</v>
      </c>
      <c r="F1834" t="s">
        <v>374</v>
      </c>
      <c r="G1834" t="s">
        <v>129</v>
      </c>
      <c r="H1834" t="s">
        <v>1582</v>
      </c>
    </row>
    <row r="1835" spans="1:8" x14ac:dyDescent="0.3">
      <c r="A1835" s="6">
        <v>22</v>
      </c>
      <c r="B1835" t="s">
        <v>694</v>
      </c>
      <c r="C1835" s="9" t="s">
        <v>963</v>
      </c>
      <c r="D1835" s="9">
        <v>60</v>
      </c>
      <c r="E1835" s="9" t="s">
        <v>1804</v>
      </c>
      <c r="F1835" t="s">
        <v>128</v>
      </c>
      <c r="G1835" t="s">
        <v>129</v>
      </c>
      <c r="H1835" t="s">
        <v>1582</v>
      </c>
    </row>
    <row r="1836" spans="1:8" x14ac:dyDescent="0.3">
      <c r="A1836" s="6">
        <v>22</v>
      </c>
      <c r="B1836" t="s">
        <v>694</v>
      </c>
      <c r="C1836" s="9" t="s">
        <v>963</v>
      </c>
      <c r="D1836" s="9">
        <v>63</v>
      </c>
      <c r="E1836" s="9" t="s">
        <v>1804</v>
      </c>
      <c r="F1836" t="s">
        <v>689</v>
      </c>
      <c r="G1836" t="s">
        <v>691</v>
      </c>
      <c r="H1836" t="s">
        <v>1857</v>
      </c>
    </row>
    <row r="1837" spans="1:8" x14ac:dyDescent="0.3">
      <c r="A1837" s="6">
        <v>23</v>
      </c>
      <c r="B1837" t="s">
        <v>662</v>
      </c>
      <c r="C1837" s="9" t="s">
        <v>932</v>
      </c>
      <c r="D1837" s="9">
        <v>30</v>
      </c>
      <c r="E1837" s="9" t="s">
        <v>1804</v>
      </c>
      <c r="F1837" t="s">
        <v>146</v>
      </c>
      <c r="G1837" t="s">
        <v>147</v>
      </c>
      <c r="H1837" t="s">
        <v>1377</v>
      </c>
    </row>
    <row r="1838" spans="1:8" x14ac:dyDescent="0.3">
      <c r="A1838" s="6">
        <v>23</v>
      </c>
      <c r="B1838" t="s">
        <v>662</v>
      </c>
      <c r="C1838" s="9" t="s">
        <v>932</v>
      </c>
      <c r="D1838" s="9">
        <v>13</v>
      </c>
      <c r="E1838" s="9" t="s">
        <v>1804</v>
      </c>
      <c r="F1838" t="s">
        <v>150</v>
      </c>
      <c r="G1838" t="s">
        <v>147</v>
      </c>
      <c r="H1838" t="s">
        <v>1379</v>
      </c>
    </row>
    <row r="1839" spans="1:8" x14ac:dyDescent="0.3">
      <c r="A1839" s="6">
        <v>23</v>
      </c>
      <c r="B1839" t="s">
        <v>662</v>
      </c>
      <c r="C1839" s="9" t="s">
        <v>932</v>
      </c>
      <c r="D1839" s="9">
        <v>19</v>
      </c>
      <c r="E1839" s="9" t="s">
        <v>1804</v>
      </c>
      <c r="F1839" t="s">
        <v>151</v>
      </c>
      <c r="G1839" t="s">
        <v>147</v>
      </c>
      <c r="H1839" t="s">
        <v>1380</v>
      </c>
    </row>
    <row r="1840" spans="1:8" x14ac:dyDescent="0.3">
      <c r="A1840" s="6">
        <v>23</v>
      </c>
      <c r="B1840" t="s">
        <v>662</v>
      </c>
      <c r="C1840" s="9" t="s">
        <v>932</v>
      </c>
      <c r="D1840" s="9">
        <v>30</v>
      </c>
      <c r="E1840" s="9" t="s">
        <v>1804</v>
      </c>
      <c r="F1840" t="s">
        <v>176</v>
      </c>
      <c r="G1840" t="s">
        <v>177</v>
      </c>
      <c r="H1840" t="s">
        <v>1381</v>
      </c>
    </row>
    <row r="1841" spans="1:8" x14ac:dyDescent="0.3">
      <c r="A1841" s="6">
        <v>23</v>
      </c>
      <c r="B1841" t="s">
        <v>662</v>
      </c>
      <c r="C1841" s="9" t="s">
        <v>932</v>
      </c>
      <c r="D1841" s="9">
        <v>12</v>
      </c>
      <c r="E1841" s="9" t="s">
        <v>1804</v>
      </c>
      <c r="F1841" t="s">
        <v>663</v>
      </c>
      <c r="G1841" t="s">
        <v>177</v>
      </c>
      <c r="H1841" t="s">
        <v>1382</v>
      </c>
    </row>
    <row r="1842" spans="1:8" x14ac:dyDescent="0.3">
      <c r="A1842" s="6">
        <v>23</v>
      </c>
      <c r="B1842" t="s">
        <v>662</v>
      </c>
      <c r="C1842" s="9" t="s">
        <v>1806</v>
      </c>
      <c r="D1842" s="9">
        <v>9</v>
      </c>
      <c r="E1842" s="9" t="s">
        <v>1804</v>
      </c>
      <c r="F1842" t="s">
        <v>664</v>
      </c>
      <c r="G1842" t="s">
        <v>190</v>
      </c>
      <c r="H1842" t="s">
        <v>1338</v>
      </c>
    </row>
    <row r="1843" spans="1:8" x14ac:dyDescent="0.3">
      <c r="A1843" s="6">
        <v>23</v>
      </c>
      <c r="B1843" t="s">
        <v>662</v>
      </c>
      <c r="C1843" s="9" t="s">
        <v>932</v>
      </c>
      <c r="D1843" s="9">
        <v>32</v>
      </c>
      <c r="E1843" s="9" t="s">
        <v>1804</v>
      </c>
      <c r="F1843" t="s">
        <v>619</v>
      </c>
      <c r="G1843" t="s">
        <v>620</v>
      </c>
      <c r="H1843" t="s">
        <v>1326</v>
      </c>
    </row>
    <row r="1844" spans="1:8" x14ac:dyDescent="0.3">
      <c r="A1844" s="6">
        <v>23</v>
      </c>
      <c r="B1844" t="s">
        <v>662</v>
      </c>
      <c r="C1844" s="9" t="s">
        <v>932</v>
      </c>
      <c r="D1844" s="9">
        <v>34</v>
      </c>
      <c r="E1844" s="9" t="s">
        <v>1804</v>
      </c>
      <c r="F1844" t="s">
        <v>665</v>
      </c>
      <c r="G1844" t="s">
        <v>196</v>
      </c>
      <c r="H1844" t="s">
        <v>1267</v>
      </c>
    </row>
    <row r="1845" spans="1:8" x14ac:dyDescent="0.3">
      <c r="A1845" s="6">
        <v>23</v>
      </c>
      <c r="B1845" t="s">
        <v>662</v>
      </c>
      <c r="C1845" s="9" t="s">
        <v>932</v>
      </c>
      <c r="D1845" s="9">
        <v>24</v>
      </c>
      <c r="E1845" s="9" t="s">
        <v>1804</v>
      </c>
      <c r="F1845" t="s">
        <v>195</v>
      </c>
      <c r="G1845" t="s">
        <v>196</v>
      </c>
      <c r="H1845" t="s">
        <v>1263</v>
      </c>
    </row>
    <row r="1846" spans="1:8" x14ac:dyDescent="0.3">
      <c r="A1846" s="6">
        <v>23</v>
      </c>
      <c r="B1846" t="s">
        <v>662</v>
      </c>
      <c r="C1846" s="9" t="s">
        <v>932</v>
      </c>
      <c r="D1846" s="9">
        <v>37</v>
      </c>
      <c r="E1846" s="9" t="s">
        <v>1804</v>
      </c>
      <c r="F1846" t="s">
        <v>198</v>
      </c>
      <c r="G1846" t="s">
        <v>196</v>
      </c>
      <c r="H1846" t="s">
        <v>1267</v>
      </c>
    </row>
    <row r="1847" spans="1:8" x14ac:dyDescent="0.3">
      <c r="A1847" s="6">
        <v>23</v>
      </c>
      <c r="B1847" t="s">
        <v>662</v>
      </c>
      <c r="C1847" s="9" t="s">
        <v>1266</v>
      </c>
      <c r="D1847" s="9">
        <v>11</v>
      </c>
      <c r="E1847" s="9" t="s">
        <v>1804</v>
      </c>
      <c r="F1847" t="s">
        <v>666</v>
      </c>
      <c r="G1847" t="s">
        <v>15</v>
      </c>
      <c r="H1847" t="s">
        <v>1855</v>
      </c>
    </row>
    <row r="1848" spans="1:8" x14ac:dyDescent="0.3">
      <c r="A1848" s="6">
        <v>23</v>
      </c>
      <c r="B1848" t="s">
        <v>662</v>
      </c>
      <c r="C1848" s="9" t="s">
        <v>932</v>
      </c>
      <c r="D1848" s="9">
        <v>42</v>
      </c>
      <c r="E1848" s="9" t="s">
        <v>1804</v>
      </c>
      <c r="F1848" t="s">
        <v>14</v>
      </c>
      <c r="G1848" t="s">
        <v>15</v>
      </c>
      <c r="H1848" t="s">
        <v>1290</v>
      </c>
    </row>
    <row r="1849" spans="1:8" x14ac:dyDescent="0.3">
      <c r="A1849" s="6">
        <v>23</v>
      </c>
      <c r="B1849" t="s">
        <v>662</v>
      </c>
      <c r="C1849" s="9" t="s">
        <v>1807</v>
      </c>
      <c r="D1849" s="9">
        <v>1100</v>
      </c>
      <c r="E1849" s="9" t="s">
        <v>1808</v>
      </c>
      <c r="F1849" t="s">
        <v>205</v>
      </c>
      <c r="G1849" t="s">
        <v>15</v>
      </c>
      <c r="H1849" t="s">
        <v>1290</v>
      </c>
    </row>
    <row r="1850" spans="1:8" x14ac:dyDescent="0.3">
      <c r="A1850" s="6">
        <v>23</v>
      </c>
      <c r="B1850" t="s">
        <v>662</v>
      </c>
      <c r="C1850" s="9" t="s">
        <v>932</v>
      </c>
      <c r="D1850" s="9">
        <v>39</v>
      </c>
      <c r="E1850" s="9" t="s">
        <v>1804</v>
      </c>
      <c r="F1850" t="s">
        <v>667</v>
      </c>
      <c r="G1850" t="s">
        <v>1858</v>
      </c>
      <c r="H1850" t="s">
        <v>1859</v>
      </c>
    </row>
    <row r="1851" spans="1:8" x14ac:dyDescent="0.3">
      <c r="A1851" s="6">
        <v>23</v>
      </c>
      <c r="B1851" t="s">
        <v>662</v>
      </c>
      <c r="C1851" s="9" t="s">
        <v>1266</v>
      </c>
      <c r="D1851" s="9">
        <v>21</v>
      </c>
      <c r="E1851" s="9" t="s">
        <v>1804</v>
      </c>
      <c r="F1851" t="s">
        <v>668</v>
      </c>
      <c r="G1851" t="s">
        <v>1860</v>
      </c>
      <c r="H1851" t="s">
        <v>1861</v>
      </c>
    </row>
    <row r="1852" spans="1:8" x14ac:dyDescent="0.3">
      <c r="A1852" s="6">
        <v>23</v>
      </c>
      <c r="B1852" t="s">
        <v>662</v>
      </c>
      <c r="C1852" s="9" t="s">
        <v>932</v>
      </c>
      <c r="D1852" s="9">
        <v>36</v>
      </c>
      <c r="E1852" s="9" t="s">
        <v>1804</v>
      </c>
      <c r="F1852" t="s">
        <v>28</v>
      </c>
      <c r="G1852" t="s">
        <v>29</v>
      </c>
      <c r="H1852" t="s">
        <v>1180</v>
      </c>
    </row>
    <row r="1853" spans="1:8" x14ac:dyDescent="0.3">
      <c r="A1853" s="6">
        <v>23</v>
      </c>
      <c r="B1853" t="s">
        <v>662</v>
      </c>
      <c r="C1853" s="9" t="s">
        <v>932</v>
      </c>
      <c r="D1853" s="9">
        <v>12</v>
      </c>
      <c r="E1853" s="9" t="s">
        <v>1804</v>
      </c>
      <c r="F1853" t="s">
        <v>588</v>
      </c>
      <c r="G1853" t="s">
        <v>29</v>
      </c>
      <c r="H1853" t="s">
        <v>1183</v>
      </c>
    </row>
    <row r="1854" spans="1:8" x14ac:dyDescent="0.3">
      <c r="A1854" s="6">
        <v>23</v>
      </c>
      <c r="B1854" t="s">
        <v>662</v>
      </c>
      <c r="C1854" s="9" t="s">
        <v>932</v>
      </c>
      <c r="D1854" s="9">
        <v>12</v>
      </c>
      <c r="E1854" s="9" t="s">
        <v>1804</v>
      </c>
      <c r="F1854" t="s">
        <v>589</v>
      </c>
      <c r="G1854" t="s">
        <v>29</v>
      </c>
      <c r="H1854" t="s">
        <v>1184</v>
      </c>
    </row>
    <row r="1855" spans="1:8" x14ac:dyDescent="0.3">
      <c r="A1855" s="6">
        <v>23</v>
      </c>
      <c r="B1855" t="s">
        <v>662</v>
      </c>
      <c r="C1855" s="9" t="s">
        <v>932</v>
      </c>
      <c r="D1855" s="9">
        <v>24</v>
      </c>
      <c r="E1855" s="9" t="s">
        <v>1804</v>
      </c>
      <c r="F1855" t="s">
        <v>385</v>
      </c>
      <c r="G1855" t="s">
        <v>386</v>
      </c>
      <c r="H1855" t="s">
        <v>1421</v>
      </c>
    </row>
    <row r="1856" spans="1:8" x14ac:dyDescent="0.3">
      <c r="A1856" s="6">
        <v>23</v>
      </c>
      <c r="B1856" t="s">
        <v>662</v>
      </c>
      <c r="C1856" s="9" t="s">
        <v>932</v>
      </c>
      <c r="D1856" s="9">
        <v>18</v>
      </c>
      <c r="E1856" s="9" t="s">
        <v>1804</v>
      </c>
      <c r="F1856" t="s">
        <v>669</v>
      </c>
      <c r="G1856" t="s">
        <v>386</v>
      </c>
      <c r="H1856" t="s">
        <v>1423</v>
      </c>
    </row>
    <row r="1857" spans="1:8" x14ac:dyDescent="0.3">
      <c r="A1857" s="6">
        <v>23</v>
      </c>
      <c r="B1857" t="s">
        <v>662</v>
      </c>
      <c r="C1857" s="9" t="s">
        <v>932</v>
      </c>
      <c r="D1857" s="9">
        <v>18</v>
      </c>
      <c r="E1857" s="9" t="s">
        <v>1804</v>
      </c>
      <c r="F1857" t="s">
        <v>670</v>
      </c>
      <c r="G1857" t="s">
        <v>386</v>
      </c>
      <c r="H1857" t="s">
        <v>1426</v>
      </c>
    </row>
    <row r="1858" spans="1:8" x14ac:dyDescent="0.3">
      <c r="A1858" s="6">
        <v>23</v>
      </c>
      <c r="B1858" t="s">
        <v>662</v>
      </c>
      <c r="C1858" s="9" t="s">
        <v>932</v>
      </c>
      <c r="D1858" s="9">
        <v>18</v>
      </c>
      <c r="E1858" s="9" t="s">
        <v>1804</v>
      </c>
      <c r="F1858" t="s">
        <v>418</v>
      </c>
      <c r="G1858" t="s">
        <v>168</v>
      </c>
      <c r="H1858" t="s">
        <v>1440</v>
      </c>
    </row>
    <row r="1859" spans="1:8" x14ac:dyDescent="0.3">
      <c r="A1859" s="6">
        <v>23</v>
      </c>
      <c r="B1859" t="s">
        <v>662</v>
      </c>
      <c r="C1859" s="9" t="s">
        <v>932</v>
      </c>
      <c r="D1859" s="9">
        <v>16</v>
      </c>
      <c r="E1859" s="9" t="s">
        <v>1804</v>
      </c>
      <c r="F1859" t="s">
        <v>502</v>
      </c>
      <c r="G1859" t="s">
        <v>168</v>
      </c>
      <c r="H1859" t="s">
        <v>1444</v>
      </c>
    </row>
    <row r="1860" spans="1:8" x14ac:dyDescent="0.3">
      <c r="A1860" s="6">
        <v>23</v>
      </c>
      <c r="B1860" t="s">
        <v>662</v>
      </c>
      <c r="C1860" s="9" t="s">
        <v>932</v>
      </c>
      <c r="D1860" s="9">
        <v>18</v>
      </c>
      <c r="E1860" s="9" t="s">
        <v>1804</v>
      </c>
      <c r="F1860" t="s">
        <v>389</v>
      </c>
      <c r="G1860" t="s">
        <v>171</v>
      </c>
      <c r="H1860" t="s">
        <v>1447</v>
      </c>
    </row>
    <row r="1861" spans="1:8" x14ac:dyDescent="0.3">
      <c r="A1861" s="6">
        <v>23</v>
      </c>
      <c r="B1861" t="s">
        <v>662</v>
      </c>
      <c r="C1861" s="9" t="s">
        <v>932</v>
      </c>
      <c r="D1861" s="9">
        <v>33</v>
      </c>
      <c r="E1861" s="9" t="s">
        <v>1804</v>
      </c>
      <c r="F1861" t="s">
        <v>390</v>
      </c>
      <c r="G1861" t="s">
        <v>391</v>
      </c>
      <c r="H1861" t="s">
        <v>1449</v>
      </c>
    </row>
    <row r="1862" spans="1:8" x14ac:dyDescent="0.3">
      <c r="A1862" s="6">
        <v>23</v>
      </c>
      <c r="B1862" t="s">
        <v>662</v>
      </c>
      <c r="C1862" s="9" t="s">
        <v>932</v>
      </c>
      <c r="D1862" s="9">
        <v>24</v>
      </c>
      <c r="E1862" s="9" t="s">
        <v>1804</v>
      </c>
      <c r="F1862" t="s">
        <v>31</v>
      </c>
      <c r="G1862" t="s">
        <v>32</v>
      </c>
      <c r="H1862" t="s">
        <v>1483</v>
      </c>
    </row>
    <row r="1863" spans="1:8" x14ac:dyDescent="0.3">
      <c r="A1863" s="6">
        <v>23</v>
      </c>
      <c r="B1863" t="s">
        <v>662</v>
      </c>
      <c r="C1863" s="9" t="s">
        <v>932</v>
      </c>
      <c r="D1863" s="9">
        <v>21</v>
      </c>
      <c r="E1863" s="9" t="s">
        <v>1804</v>
      </c>
      <c r="F1863" t="s">
        <v>34</v>
      </c>
      <c r="G1863" t="s">
        <v>32</v>
      </c>
      <c r="H1863" t="s">
        <v>1485</v>
      </c>
    </row>
    <row r="1864" spans="1:8" x14ac:dyDescent="0.3">
      <c r="A1864" s="6">
        <v>23</v>
      </c>
      <c r="B1864" t="s">
        <v>662</v>
      </c>
      <c r="C1864" s="9" t="s">
        <v>932</v>
      </c>
      <c r="D1864" s="9">
        <v>21</v>
      </c>
      <c r="E1864" s="9" t="s">
        <v>1804</v>
      </c>
      <c r="F1864" t="s">
        <v>36</v>
      </c>
      <c r="G1864" t="s">
        <v>32</v>
      </c>
      <c r="H1864" t="s">
        <v>1492</v>
      </c>
    </row>
    <row r="1865" spans="1:8" x14ac:dyDescent="0.3">
      <c r="A1865" s="6">
        <v>23</v>
      </c>
      <c r="B1865" t="s">
        <v>662</v>
      </c>
      <c r="C1865" s="9" t="s">
        <v>932</v>
      </c>
      <c r="D1865" s="9">
        <v>24</v>
      </c>
      <c r="E1865" s="9" t="s">
        <v>1804</v>
      </c>
      <c r="F1865" t="s">
        <v>543</v>
      </c>
      <c r="G1865" t="s">
        <v>32</v>
      </c>
      <c r="H1865" t="s">
        <v>1493</v>
      </c>
    </row>
    <row r="1866" spans="1:8" x14ac:dyDescent="0.3">
      <c r="A1866" s="6">
        <v>23</v>
      </c>
      <c r="B1866" t="s">
        <v>662</v>
      </c>
      <c r="C1866" s="9" t="s">
        <v>932</v>
      </c>
      <c r="D1866" s="9">
        <v>18</v>
      </c>
      <c r="E1866" s="9" t="s">
        <v>1804</v>
      </c>
      <c r="F1866" t="s">
        <v>503</v>
      </c>
      <c r="G1866" t="s">
        <v>504</v>
      </c>
      <c r="H1866" t="s">
        <v>1501</v>
      </c>
    </row>
    <row r="1867" spans="1:8" x14ac:dyDescent="0.3">
      <c r="A1867" s="6">
        <v>23</v>
      </c>
      <c r="B1867" t="s">
        <v>662</v>
      </c>
      <c r="C1867" s="9" t="s">
        <v>932</v>
      </c>
      <c r="D1867" s="9">
        <v>12</v>
      </c>
      <c r="E1867" s="9" t="s">
        <v>1804</v>
      </c>
      <c r="F1867" t="s">
        <v>153</v>
      </c>
      <c r="G1867" t="s">
        <v>108</v>
      </c>
      <c r="H1867" t="s">
        <v>1150</v>
      </c>
    </row>
    <row r="1868" spans="1:8" x14ac:dyDescent="0.3">
      <c r="A1868" s="6">
        <v>23</v>
      </c>
      <c r="B1868" t="s">
        <v>662</v>
      </c>
      <c r="C1868" s="9" t="s">
        <v>932</v>
      </c>
      <c r="D1868" s="9">
        <v>18</v>
      </c>
      <c r="E1868" s="9" t="s">
        <v>1804</v>
      </c>
      <c r="F1868" t="s">
        <v>154</v>
      </c>
      <c r="G1868" t="s">
        <v>108</v>
      </c>
      <c r="H1868" t="s">
        <v>1151</v>
      </c>
    </row>
    <row r="1869" spans="1:8" x14ac:dyDescent="0.3">
      <c r="A1869" s="6">
        <v>23</v>
      </c>
      <c r="B1869" t="s">
        <v>662</v>
      </c>
      <c r="C1869" s="9" t="s">
        <v>932</v>
      </c>
      <c r="D1869" s="9">
        <v>18</v>
      </c>
      <c r="E1869" s="9" t="s">
        <v>1804</v>
      </c>
      <c r="F1869" t="s">
        <v>227</v>
      </c>
      <c r="G1869" t="s">
        <v>41</v>
      </c>
      <c r="H1869" t="s">
        <v>1167</v>
      </c>
    </row>
    <row r="1870" spans="1:8" x14ac:dyDescent="0.3">
      <c r="A1870" s="6">
        <v>23</v>
      </c>
      <c r="B1870" t="s">
        <v>662</v>
      </c>
      <c r="C1870" s="9" t="s">
        <v>932</v>
      </c>
      <c r="D1870" s="9">
        <v>24</v>
      </c>
      <c r="E1870" s="9" t="s">
        <v>1804</v>
      </c>
      <c r="F1870" t="s">
        <v>232</v>
      </c>
      <c r="G1870" t="s">
        <v>144</v>
      </c>
      <c r="H1870" t="s">
        <v>1171</v>
      </c>
    </row>
    <row r="1871" spans="1:8" x14ac:dyDescent="0.3">
      <c r="A1871" s="6">
        <v>23</v>
      </c>
      <c r="B1871" t="s">
        <v>662</v>
      </c>
      <c r="C1871" s="9" t="s">
        <v>932</v>
      </c>
      <c r="D1871" s="9">
        <v>12</v>
      </c>
      <c r="E1871" s="9" t="s">
        <v>1804</v>
      </c>
      <c r="F1871" t="s">
        <v>233</v>
      </c>
      <c r="G1871" t="s">
        <v>112</v>
      </c>
      <c r="H1871" t="s">
        <v>1146</v>
      </c>
    </row>
    <row r="1872" spans="1:8" x14ac:dyDescent="0.3">
      <c r="A1872" s="6">
        <v>23</v>
      </c>
      <c r="B1872" t="s">
        <v>662</v>
      </c>
      <c r="C1872" s="9" t="s">
        <v>932</v>
      </c>
      <c r="D1872" s="9">
        <v>12</v>
      </c>
      <c r="E1872" s="9" t="s">
        <v>1804</v>
      </c>
      <c r="F1872" t="s">
        <v>234</v>
      </c>
      <c r="G1872" t="s">
        <v>235</v>
      </c>
      <c r="H1872" t="s">
        <v>1047</v>
      </c>
    </row>
    <row r="1873" spans="1:8" x14ac:dyDescent="0.3">
      <c r="A1873" s="6">
        <v>23</v>
      </c>
      <c r="B1873" t="s">
        <v>662</v>
      </c>
      <c r="C1873" s="9" t="s">
        <v>932</v>
      </c>
      <c r="D1873" s="9">
        <v>17</v>
      </c>
      <c r="E1873" s="9" t="s">
        <v>1804</v>
      </c>
      <c r="F1873" t="s">
        <v>591</v>
      </c>
      <c r="G1873" t="s">
        <v>235</v>
      </c>
      <c r="H1873" t="s">
        <v>1049</v>
      </c>
    </row>
    <row r="1874" spans="1:8" x14ac:dyDescent="0.3">
      <c r="A1874" s="6">
        <v>23</v>
      </c>
      <c r="B1874" t="s">
        <v>662</v>
      </c>
      <c r="C1874" s="9" t="s">
        <v>932</v>
      </c>
      <c r="D1874" s="9">
        <v>15</v>
      </c>
      <c r="E1874" s="9" t="s">
        <v>1804</v>
      </c>
      <c r="F1874" t="s">
        <v>43</v>
      </c>
      <c r="G1874" t="s">
        <v>44</v>
      </c>
      <c r="H1874" t="s">
        <v>1050</v>
      </c>
    </row>
    <row r="1875" spans="1:8" x14ac:dyDescent="0.3">
      <c r="A1875" s="6">
        <v>23</v>
      </c>
      <c r="B1875" t="s">
        <v>662</v>
      </c>
      <c r="C1875" s="9" t="s">
        <v>932</v>
      </c>
      <c r="D1875" s="9">
        <v>18</v>
      </c>
      <c r="E1875" s="9" t="s">
        <v>1804</v>
      </c>
      <c r="F1875" t="s">
        <v>246</v>
      </c>
      <c r="G1875" t="s">
        <v>51</v>
      </c>
      <c r="H1875" t="s">
        <v>1596</v>
      </c>
    </row>
    <row r="1876" spans="1:8" x14ac:dyDescent="0.3">
      <c r="A1876" s="6">
        <v>23</v>
      </c>
      <c r="B1876" t="s">
        <v>662</v>
      </c>
      <c r="C1876" s="9" t="s">
        <v>932</v>
      </c>
      <c r="D1876" s="9">
        <v>12</v>
      </c>
      <c r="E1876" s="9" t="s">
        <v>1804</v>
      </c>
      <c r="F1876" t="s">
        <v>50</v>
      </c>
      <c r="G1876" t="s">
        <v>51</v>
      </c>
      <c r="H1876" t="s">
        <v>1598</v>
      </c>
    </row>
    <row r="1877" spans="1:8" x14ac:dyDescent="0.3">
      <c r="A1877" s="6">
        <v>23</v>
      </c>
      <c r="B1877" t="s">
        <v>662</v>
      </c>
      <c r="C1877" s="9" t="s">
        <v>932</v>
      </c>
      <c r="D1877" s="9">
        <v>30</v>
      </c>
      <c r="E1877" s="9" t="s">
        <v>1804</v>
      </c>
      <c r="F1877" t="s">
        <v>247</v>
      </c>
      <c r="G1877" t="s">
        <v>51</v>
      </c>
      <c r="H1877" t="s">
        <v>1599</v>
      </c>
    </row>
    <row r="1878" spans="1:8" x14ac:dyDescent="0.3">
      <c r="A1878" s="6">
        <v>23</v>
      </c>
      <c r="B1878" t="s">
        <v>662</v>
      </c>
      <c r="C1878" s="9" t="s">
        <v>932</v>
      </c>
      <c r="D1878" s="9">
        <v>12</v>
      </c>
      <c r="E1878" s="9" t="s">
        <v>1804</v>
      </c>
      <c r="F1878" t="s">
        <v>53</v>
      </c>
      <c r="G1878" t="s">
        <v>54</v>
      </c>
      <c r="H1878" t="s">
        <v>1603</v>
      </c>
    </row>
    <row r="1879" spans="1:8" x14ac:dyDescent="0.3">
      <c r="A1879" s="6">
        <v>23</v>
      </c>
      <c r="B1879" t="s">
        <v>662</v>
      </c>
      <c r="C1879" s="9" t="s">
        <v>932</v>
      </c>
      <c r="D1879" s="9">
        <v>23</v>
      </c>
      <c r="E1879" s="9" t="s">
        <v>1804</v>
      </c>
      <c r="F1879" t="s">
        <v>671</v>
      </c>
      <c r="G1879" t="s">
        <v>616</v>
      </c>
      <c r="H1879" t="s">
        <v>1613</v>
      </c>
    </row>
    <row r="1880" spans="1:8" x14ac:dyDescent="0.3">
      <c r="A1880" s="6">
        <v>23</v>
      </c>
      <c r="B1880" t="s">
        <v>662</v>
      </c>
      <c r="C1880" s="9" t="s">
        <v>932</v>
      </c>
      <c r="D1880" s="9">
        <v>12</v>
      </c>
      <c r="E1880" s="9" t="s">
        <v>1804</v>
      </c>
      <c r="F1880" t="s">
        <v>672</v>
      </c>
      <c r="G1880" t="s">
        <v>517</v>
      </c>
      <c r="H1880" t="s">
        <v>1636</v>
      </c>
    </row>
    <row r="1881" spans="1:8" x14ac:dyDescent="0.3">
      <c r="A1881" s="6">
        <v>23</v>
      </c>
      <c r="B1881" t="s">
        <v>662</v>
      </c>
      <c r="C1881" s="9" t="s">
        <v>932</v>
      </c>
      <c r="D1881" s="9">
        <v>12</v>
      </c>
      <c r="E1881" s="9" t="s">
        <v>1804</v>
      </c>
      <c r="F1881" t="s">
        <v>516</v>
      </c>
      <c r="G1881" t="s">
        <v>517</v>
      </c>
      <c r="H1881" t="s">
        <v>1637</v>
      </c>
    </row>
    <row r="1882" spans="1:8" x14ac:dyDescent="0.3">
      <c r="A1882" s="6">
        <v>23</v>
      </c>
      <c r="B1882" t="s">
        <v>662</v>
      </c>
      <c r="C1882" s="9" t="s">
        <v>932</v>
      </c>
      <c r="D1882" s="9">
        <v>22</v>
      </c>
      <c r="E1882" s="9" t="s">
        <v>1804</v>
      </c>
      <c r="F1882" t="s">
        <v>259</v>
      </c>
      <c r="G1882" t="s">
        <v>260</v>
      </c>
      <c r="H1882" t="s">
        <v>986</v>
      </c>
    </row>
    <row r="1883" spans="1:8" x14ac:dyDescent="0.3">
      <c r="A1883" s="6">
        <v>23</v>
      </c>
      <c r="B1883" t="s">
        <v>662</v>
      </c>
      <c r="C1883" s="9" t="s">
        <v>932</v>
      </c>
      <c r="D1883" s="9">
        <v>24</v>
      </c>
      <c r="E1883" s="9" t="s">
        <v>1804</v>
      </c>
      <c r="F1883" t="s">
        <v>437</v>
      </c>
      <c r="G1883" t="s">
        <v>438</v>
      </c>
      <c r="H1883" t="s">
        <v>1642</v>
      </c>
    </row>
    <row r="1884" spans="1:8" x14ac:dyDescent="0.3">
      <c r="A1884" s="6">
        <v>23</v>
      </c>
      <c r="B1884" t="s">
        <v>662</v>
      </c>
      <c r="C1884" s="9" t="s">
        <v>932</v>
      </c>
      <c r="D1884" s="9">
        <v>19</v>
      </c>
      <c r="E1884" s="9" t="s">
        <v>1804</v>
      </c>
      <c r="F1884" t="s">
        <v>673</v>
      </c>
      <c r="G1884" t="s">
        <v>674</v>
      </c>
      <c r="H1884" t="s">
        <v>990</v>
      </c>
    </row>
    <row r="1885" spans="1:8" x14ac:dyDescent="0.3">
      <c r="A1885" s="6">
        <v>23</v>
      </c>
      <c r="B1885" t="s">
        <v>662</v>
      </c>
      <c r="C1885" s="9" t="s">
        <v>932</v>
      </c>
      <c r="D1885" s="9">
        <v>15</v>
      </c>
      <c r="E1885" s="9" t="s">
        <v>1804</v>
      </c>
      <c r="F1885" t="s">
        <v>59</v>
      </c>
      <c r="G1885" t="s">
        <v>60</v>
      </c>
      <c r="H1885" t="s">
        <v>1078</v>
      </c>
    </row>
    <row r="1886" spans="1:8" x14ac:dyDescent="0.3">
      <c r="A1886" s="6">
        <v>23</v>
      </c>
      <c r="B1886" t="s">
        <v>662</v>
      </c>
      <c r="C1886" s="9" t="s">
        <v>932</v>
      </c>
      <c r="D1886" s="9">
        <v>15</v>
      </c>
      <c r="E1886" s="9" t="s">
        <v>1804</v>
      </c>
      <c r="F1886" t="s">
        <v>62</v>
      </c>
      <c r="G1886" t="s">
        <v>63</v>
      </c>
      <c r="H1886" t="s">
        <v>1103</v>
      </c>
    </row>
    <row r="1887" spans="1:8" x14ac:dyDescent="0.3">
      <c r="A1887" s="6">
        <v>23</v>
      </c>
      <c r="B1887" t="s">
        <v>662</v>
      </c>
      <c r="C1887" s="9" t="s">
        <v>932</v>
      </c>
      <c r="D1887" s="9">
        <v>22</v>
      </c>
      <c r="E1887" s="9" t="s">
        <v>1804</v>
      </c>
      <c r="F1887" t="s">
        <v>676</v>
      </c>
      <c r="G1887" t="s">
        <v>476</v>
      </c>
      <c r="H1887" t="s">
        <v>1108</v>
      </c>
    </row>
    <row r="1888" spans="1:8" x14ac:dyDescent="0.3">
      <c r="A1888" s="6">
        <v>23</v>
      </c>
      <c r="B1888" t="s">
        <v>662</v>
      </c>
      <c r="C1888" s="9" t="s">
        <v>932</v>
      </c>
      <c r="D1888" s="9">
        <v>18</v>
      </c>
      <c r="E1888" s="9" t="s">
        <v>1804</v>
      </c>
      <c r="F1888" t="s">
        <v>65</v>
      </c>
      <c r="G1888" t="s">
        <v>66</v>
      </c>
      <c r="H1888" t="s">
        <v>1791</v>
      </c>
    </row>
    <row r="1889" spans="1:8" x14ac:dyDescent="0.3">
      <c r="A1889" s="6">
        <v>23</v>
      </c>
      <c r="B1889" t="s">
        <v>662</v>
      </c>
      <c r="C1889" s="9" t="s">
        <v>932</v>
      </c>
      <c r="D1889" s="9">
        <v>12</v>
      </c>
      <c r="E1889" s="9" t="s">
        <v>1804</v>
      </c>
      <c r="F1889" t="s">
        <v>677</v>
      </c>
      <c r="G1889" t="s">
        <v>312</v>
      </c>
      <c r="H1889" t="s">
        <v>952</v>
      </c>
    </row>
    <row r="1890" spans="1:8" x14ac:dyDescent="0.3">
      <c r="A1890" s="6">
        <v>23</v>
      </c>
      <c r="B1890" t="s">
        <v>662</v>
      </c>
      <c r="C1890" s="9" t="s">
        <v>1807</v>
      </c>
      <c r="D1890" s="9">
        <v>420</v>
      </c>
      <c r="E1890" s="9" t="s">
        <v>1808</v>
      </c>
      <c r="F1890" t="s">
        <v>68</v>
      </c>
      <c r="G1890" t="s">
        <v>69</v>
      </c>
      <c r="H1890" t="s">
        <v>1551</v>
      </c>
    </row>
    <row r="1891" spans="1:8" x14ac:dyDescent="0.3">
      <c r="A1891" s="6">
        <v>23</v>
      </c>
      <c r="B1891" t="s">
        <v>662</v>
      </c>
      <c r="C1891" s="9" t="s">
        <v>932</v>
      </c>
      <c r="D1891" s="9">
        <v>24</v>
      </c>
      <c r="E1891" s="9" t="s">
        <v>1804</v>
      </c>
      <c r="F1891" t="s">
        <v>316</v>
      </c>
      <c r="G1891" t="s">
        <v>129</v>
      </c>
      <c r="H1891" t="s">
        <v>1562</v>
      </c>
    </row>
    <row r="1892" spans="1:8" x14ac:dyDescent="0.3">
      <c r="A1892" s="6">
        <v>23</v>
      </c>
      <c r="B1892" t="s">
        <v>662</v>
      </c>
      <c r="C1892" s="9" t="s">
        <v>932</v>
      </c>
      <c r="D1892" s="9">
        <v>28</v>
      </c>
      <c r="E1892" s="9" t="s">
        <v>1804</v>
      </c>
      <c r="F1892" t="s">
        <v>395</v>
      </c>
      <c r="G1892" t="s">
        <v>396</v>
      </c>
      <c r="H1892" t="s">
        <v>1564</v>
      </c>
    </row>
    <row r="1893" spans="1:8" x14ac:dyDescent="0.3">
      <c r="A1893" s="6">
        <v>23</v>
      </c>
      <c r="B1893" t="s">
        <v>662</v>
      </c>
      <c r="C1893" s="9" t="s">
        <v>1807</v>
      </c>
      <c r="D1893" s="9">
        <v>770</v>
      </c>
      <c r="E1893" s="9" t="s">
        <v>1808</v>
      </c>
      <c r="F1893" t="s">
        <v>71</v>
      </c>
      <c r="G1893" t="s">
        <v>72</v>
      </c>
      <c r="H1893" t="s">
        <v>1565</v>
      </c>
    </row>
    <row r="1894" spans="1:8" x14ac:dyDescent="0.3">
      <c r="A1894" s="6">
        <v>23</v>
      </c>
      <c r="B1894" t="s">
        <v>662</v>
      </c>
      <c r="C1894" s="9" t="s">
        <v>932</v>
      </c>
      <c r="D1894" s="9">
        <v>15</v>
      </c>
      <c r="E1894" s="9" t="s">
        <v>1804</v>
      </c>
      <c r="F1894" t="s">
        <v>575</v>
      </c>
      <c r="G1894" t="s">
        <v>576</v>
      </c>
      <c r="H1894" t="s">
        <v>1574</v>
      </c>
    </row>
    <row r="1895" spans="1:8" x14ac:dyDescent="0.3">
      <c r="A1895" s="6">
        <v>23</v>
      </c>
      <c r="B1895" t="s">
        <v>662</v>
      </c>
      <c r="C1895" s="9" t="s">
        <v>932</v>
      </c>
      <c r="D1895" s="9">
        <v>12</v>
      </c>
      <c r="E1895" s="9" t="s">
        <v>1804</v>
      </c>
      <c r="F1895" t="s">
        <v>578</v>
      </c>
      <c r="G1895" t="s">
        <v>376</v>
      </c>
      <c r="H1895" t="s">
        <v>1577</v>
      </c>
    </row>
    <row r="1896" spans="1:8" x14ac:dyDescent="0.3">
      <c r="A1896" s="6">
        <v>23</v>
      </c>
      <c r="B1896" t="s">
        <v>662</v>
      </c>
      <c r="C1896" s="9" t="s">
        <v>932</v>
      </c>
      <c r="D1896" s="9">
        <v>15</v>
      </c>
      <c r="E1896" s="9" t="s">
        <v>1804</v>
      </c>
      <c r="F1896" t="s">
        <v>317</v>
      </c>
      <c r="G1896" t="s">
        <v>1825</v>
      </c>
      <c r="H1896" t="s">
        <v>1826</v>
      </c>
    </row>
    <row r="1897" spans="1:8" x14ac:dyDescent="0.3">
      <c r="A1897" s="6">
        <v>23</v>
      </c>
      <c r="B1897" t="s">
        <v>662</v>
      </c>
      <c r="C1897" s="9" t="s">
        <v>1807</v>
      </c>
      <c r="D1897" s="9">
        <v>538</v>
      </c>
      <c r="E1897" s="9" t="s">
        <v>1808</v>
      </c>
      <c r="F1897" t="s">
        <v>75</v>
      </c>
      <c r="G1897" t="s">
        <v>76</v>
      </c>
      <c r="H1897" t="s">
        <v>1549</v>
      </c>
    </row>
    <row r="1898" spans="1:8" x14ac:dyDescent="0.3">
      <c r="A1898" s="6">
        <v>23</v>
      </c>
      <c r="B1898" t="s">
        <v>662</v>
      </c>
      <c r="C1898" s="9" t="s">
        <v>1807</v>
      </c>
      <c r="D1898" s="9">
        <v>398</v>
      </c>
      <c r="E1898" s="9" t="s">
        <v>1808</v>
      </c>
      <c r="F1898" t="s">
        <v>318</v>
      </c>
      <c r="G1898" t="s">
        <v>76</v>
      </c>
      <c r="H1898" t="s">
        <v>1578</v>
      </c>
    </row>
    <row r="1899" spans="1:8" x14ac:dyDescent="0.3">
      <c r="A1899" s="6">
        <v>23</v>
      </c>
      <c r="B1899" t="s">
        <v>662</v>
      </c>
      <c r="C1899" s="9" t="s">
        <v>1807</v>
      </c>
      <c r="D1899" s="9">
        <v>648</v>
      </c>
      <c r="E1899" s="9" t="s">
        <v>1808</v>
      </c>
      <c r="F1899" t="s">
        <v>678</v>
      </c>
      <c r="G1899" t="s">
        <v>76</v>
      </c>
      <c r="H1899" t="s">
        <v>1579</v>
      </c>
    </row>
    <row r="1900" spans="1:8" x14ac:dyDescent="0.3">
      <c r="A1900" s="6">
        <v>23</v>
      </c>
      <c r="B1900" t="s">
        <v>662</v>
      </c>
      <c r="C1900" s="9" t="s">
        <v>932</v>
      </c>
      <c r="D1900" s="9">
        <v>24</v>
      </c>
      <c r="E1900" s="9" t="s">
        <v>1804</v>
      </c>
      <c r="F1900" t="s">
        <v>319</v>
      </c>
      <c r="G1900" t="s">
        <v>320</v>
      </c>
      <c r="H1900" t="s">
        <v>1245</v>
      </c>
    </row>
    <row r="1901" spans="1:8" x14ac:dyDescent="0.3">
      <c r="A1901" s="6">
        <v>23</v>
      </c>
      <c r="B1901" t="s">
        <v>662</v>
      </c>
      <c r="C1901" s="9" t="s">
        <v>1807</v>
      </c>
      <c r="D1901" s="9">
        <v>232</v>
      </c>
      <c r="E1901" s="9" t="s">
        <v>1808</v>
      </c>
      <c r="F1901" t="s">
        <v>606</v>
      </c>
      <c r="G1901" t="s">
        <v>607</v>
      </c>
      <c r="H1901" t="s">
        <v>1580</v>
      </c>
    </row>
    <row r="1902" spans="1:8" x14ac:dyDescent="0.3">
      <c r="A1902" s="6">
        <v>23</v>
      </c>
      <c r="B1902" t="s">
        <v>662</v>
      </c>
      <c r="C1902" s="9" t="s">
        <v>1809</v>
      </c>
      <c r="D1902" s="9">
        <v>60</v>
      </c>
      <c r="E1902" s="9" t="s">
        <v>1804</v>
      </c>
      <c r="F1902" t="s">
        <v>78</v>
      </c>
      <c r="G1902" t="s">
        <v>1810</v>
      </c>
      <c r="H1902" t="s">
        <v>1811</v>
      </c>
    </row>
    <row r="1903" spans="1:8" x14ac:dyDescent="0.3">
      <c r="A1903" s="6">
        <v>23</v>
      </c>
      <c r="B1903" t="s">
        <v>662</v>
      </c>
      <c r="C1903" s="9" t="s">
        <v>963</v>
      </c>
      <c r="D1903" s="9">
        <v>64</v>
      </c>
      <c r="E1903" s="9" t="s">
        <v>1804</v>
      </c>
      <c r="F1903" t="s">
        <v>166</v>
      </c>
      <c r="G1903" t="s">
        <v>80</v>
      </c>
      <c r="H1903" t="s">
        <v>1416</v>
      </c>
    </row>
    <row r="1904" spans="1:8" x14ac:dyDescent="0.3">
      <c r="A1904" s="6">
        <v>23</v>
      </c>
      <c r="B1904" t="s">
        <v>662</v>
      </c>
      <c r="C1904" s="9" t="s">
        <v>963</v>
      </c>
      <c r="D1904" s="9">
        <v>60</v>
      </c>
      <c r="E1904" s="9" t="s">
        <v>1804</v>
      </c>
      <c r="F1904" t="s">
        <v>79</v>
      </c>
      <c r="G1904" t="s">
        <v>80</v>
      </c>
      <c r="H1904" t="s">
        <v>1416</v>
      </c>
    </row>
    <row r="1905" spans="1:8" x14ac:dyDescent="0.3">
      <c r="A1905" s="6">
        <v>23</v>
      </c>
      <c r="B1905" t="s">
        <v>662</v>
      </c>
      <c r="C1905" s="9" t="s">
        <v>963</v>
      </c>
      <c r="D1905" s="9">
        <v>72</v>
      </c>
      <c r="E1905" s="9" t="s">
        <v>1804</v>
      </c>
      <c r="F1905" t="s">
        <v>323</v>
      </c>
      <c r="G1905" t="s">
        <v>190</v>
      </c>
      <c r="H1905" t="s">
        <v>1338</v>
      </c>
    </row>
    <row r="1906" spans="1:8" x14ac:dyDescent="0.3">
      <c r="A1906" s="6">
        <v>23</v>
      </c>
      <c r="B1906" t="s">
        <v>662</v>
      </c>
      <c r="C1906" s="9" t="s">
        <v>963</v>
      </c>
      <c r="D1906" s="9">
        <v>61</v>
      </c>
      <c r="E1906" s="9" t="s">
        <v>1804</v>
      </c>
      <c r="F1906" t="s">
        <v>324</v>
      </c>
      <c r="G1906" t="s">
        <v>193</v>
      </c>
      <c r="H1906" t="s">
        <v>1339</v>
      </c>
    </row>
    <row r="1907" spans="1:8" x14ac:dyDescent="0.3">
      <c r="A1907" s="6">
        <v>23</v>
      </c>
      <c r="B1907" t="s">
        <v>662</v>
      </c>
      <c r="C1907" s="9" t="s">
        <v>963</v>
      </c>
      <c r="D1907" s="9">
        <v>88</v>
      </c>
      <c r="E1907" s="9" t="s">
        <v>1804</v>
      </c>
      <c r="F1907" t="s">
        <v>84</v>
      </c>
      <c r="G1907" t="s">
        <v>85</v>
      </c>
      <c r="H1907" t="s">
        <v>1342</v>
      </c>
    </row>
    <row r="1908" spans="1:8" x14ac:dyDescent="0.3">
      <c r="A1908" s="6">
        <v>23</v>
      </c>
      <c r="B1908" t="s">
        <v>662</v>
      </c>
      <c r="C1908" s="9" t="s">
        <v>963</v>
      </c>
      <c r="D1908" s="9">
        <v>60</v>
      </c>
      <c r="E1908" s="9" t="s">
        <v>1804</v>
      </c>
      <c r="F1908" t="s">
        <v>612</v>
      </c>
      <c r="G1908" t="s">
        <v>613</v>
      </c>
      <c r="H1908" t="s">
        <v>1343</v>
      </c>
    </row>
    <row r="1909" spans="1:8" x14ac:dyDescent="0.3">
      <c r="A1909" s="6">
        <v>23</v>
      </c>
      <c r="B1909" t="s">
        <v>662</v>
      </c>
      <c r="C1909" s="9" t="s">
        <v>963</v>
      </c>
      <c r="D1909" s="9">
        <v>70</v>
      </c>
      <c r="E1909" s="9" t="s">
        <v>1804</v>
      </c>
      <c r="F1909" t="s">
        <v>325</v>
      </c>
      <c r="G1909" t="s">
        <v>196</v>
      </c>
      <c r="H1909" t="s">
        <v>1344</v>
      </c>
    </row>
    <row r="1910" spans="1:8" x14ac:dyDescent="0.3">
      <c r="A1910" s="6">
        <v>23</v>
      </c>
      <c r="B1910" t="s">
        <v>662</v>
      </c>
      <c r="C1910" s="9" t="s">
        <v>963</v>
      </c>
      <c r="D1910" s="9">
        <v>74</v>
      </c>
      <c r="E1910" s="9" t="s">
        <v>1804</v>
      </c>
      <c r="F1910" t="s">
        <v>87</v>
      </c>
      <c r="G1910" t="s">
        <v>88</v>
      </c>
      <c r="H1910" t="s">
        <v>1349</v>
      </c>
    </row>
    <row r="1911" spans="1:8" x14ac:dyDescent="0.3">
      <c r="A1911" s="6">
        <v>23</v>
      </c>
      <c r="B1911" t="s">
        <v>662</v>
      </c>
      <c r="C1911" s="9" t="s">
        <v>963</v>
      </c>
      <c r="D1911" s="9">
        <v>73</v>
      </c>
      <c r="E1911" s="9" t="s">
        <v>1804</v>
      </c>
      <c r="F1911" t="s">
        <v>679</v>
      </c>
      <c r="G1911" t="s">
        <v>680</v>
      </c>
      <c r="H1911" t="s">
        <v>972</v>
      </c>
    </row>
    <row r="1912" spans="1:8" x14ac:dyDescent="0.3">
      <c r="A1912" s="6">
        <v>23</v>
      </c>
      <c r="B1912" t="s">
        <v>662</v>
      </c>
      <c r="C1912" s="9" t="s">
        <v>963</v>
      </c>
      <c r="D1912" s="9">
        <v>73</v>
      </c>
      <c r="E1912" s="9" t="s">
        <v>1804</v>
      </c>
      <c r="F1912" t="s">
        <v>90</v>
      </c>
      <c r="G1912" t="s">
        <v>15</v>
      </c>
      <c r="H1912" t="s">
        <v>1351</v>
      </c>
    </row>
    <row r="1913" spans="1:8" x14ac:dyDescent="0.3">
      <c r="A1913" s="6">
        <v>23</v>
      </c>
      <c r="B1913" t="s">
        <v>662</v>
      </c>
      <c r="C1913" s="9" t="s">
        <v>963</v>
      </c>
      <c r="D1913" s="9">
        <v>77</v>
      </c>
      <c r="E1913" s="9" t="s">
        <v>1804</v>
      </c>
      <c r="F1913" t="s">
        <v>91</v>
      </c>
      <c r="G1913" t="s">
        <v>92</v>
      </c>
      <c r="H1913" t="s">
        <v>1353</v>
      </c>
    </row>
    <row r="1914" spans="1:8" x14ac:dyDescent="0.3">
      <c r="A1914" s="6">
        <v>23</v>
      </c>
      <c r="B1914" t="s">
        <v>662</v>
      </c>
      <c r="C1914" s="9" t="s">
        <v>963</v>
      </c>
      <c r="D1914" s="9">
        <v>76</v>
      </c>
      <c r="E1914" s="9" t="s">
        <v>1804</v>
      </c>
      <c r="F1914" t="s">
        <v>94</v>
      </c>
      <c r="G1914" t="s">
        <v>95</v>
      </c>
      <c r="H1914" t="s">
        <v>1355</v>
      </c>
    </row>
    <row r="1915" spans="1:8" x14ac:dyDescent="0.3">
      <c r="A1915" s="6">
        <v>23</v>
      </c>
      <c r="B1915" t="s">
        <v>662</v>
      </c>
      <c r="C1915" s="9" t="s">
        <v>963</v>
      </c>
      <c r="D1915" s="9">
        <v>65</v>
      </c>
      <c r="E1915" s="9" t="s">
        <v>1804</v>
      </c>
      <c r="F1915" t="s">
        <v>399</v>
      </c>
      <c r="G1915" t="s">
        <v>1819</v>
      </c>
      <c r="H1915" t="s">
        <v>1420</v>
      </c>
    </row>
    <row r="1916" spans="1:8" x14ac:dyDescent="0.3">
      <c r="A1916" s="6">
        <v>23</v>
      </c>
      <c r="B1916" t="s">
        <v>662</v>
      </c>
      <c r="C1916" s="9" t="s">
        <v>963</v>
      </c>
      <c r="D1916" s="9">
        <v>60</v>
      </c>
      <c r="E1916" s="9" t="s">
        <v>1804</v>
      </c>
      <c r="F1916" t="s">
        <v>683</v>
      </c>
      <c r="G1916" t="s">
        <v>684</v>
      </c>
      <c r="H1916" t="s">
        <v>1364</v>
      </c>
    </row>
    <row r="1917" spans="1:8" x14ac:dyDescent="0.3">
      <c r="A1917" s="6">
        <v>23</v>
      </c>
      <c r="B1917" t="s">
        <v>662</v>
      </c>
      <c r="C1917" s="9" t="s">
        <v>963</v>
      </c>
      <c r="D1917" s="9">
        <v>72</v>
      </c>
      <c r="E1917" s="9" t="s">
        <v>1804</v>
      </c>
      <c r="F1917" t="s">
        <v>101</v>
      </c>
      <c r="G1917" t="s">
        <v>102</v>
      </c>
      <c r="H1917" t="s">
        <v>1365</v>
      </c>
    </row>
    <row r="1918" spans="1:8" x14ac:dyDescent="0.3">
      <c r="A1918" s="6">
        <v>23</v>
      </c>
      <c r="B1918" t="s">
        <v>662</v>
      </c>
      <c r="C1918" s="9" t="s">
        <v>963</v>
      </c>
      <c r="D1918" s="9">
        <v>63</v>
      </c>
      <c r="E1918" s="9" t="s">
        <v>1804</v>
      </c>
      <c r="F1918" t="s">
        <v>104</v>
      </c>
      <c r="G1918" t="s">
        <v>401</v>
      </c>
      <c r="H1918" t="s">
        <v>1185</v>
      </c>
    </row>
    <row r="1919" spans="1:8" x14ac:dyDescent="0.3">
      <c r="A1919" s="6">
        <v>23</v>
      </c>
      <c r="B1919" t="s">
        <v>662</v>
      </c>
      <c r="C1919" s="9" t="s">
        <v>963</v>
      </c>
      <c r="D1919" s="9">
        <v>60</v>
      </c>
      <c r="E1919" s="9" t="s">
        <v>1804</v>
      </c>
      <c r="F1919" t="s">
        <v>400</v>
      </c>
      <c r="G1919" t="s">
        <v>401</v>
      </c>
      <c r="H1919" t="s">
        <v>1185</v>
      </c>
    </row>
    <row r="1920" spans="1:8" x14ac:dyDescent="0.3">
      <c r="A1920" s="6">
        <v>23</v>
      </c>
      <c r="B1920" t="s">
        <v>662</v>
      </c>
      <c r="C1920" s="9" t="s">
        <v>963</v>
      </c>
      <c r="D1920" s="9">
        <v>60</v>
      </c>
      <c r="E1920" s="9" t="s">
        <v>1804</v>
      </c>
      <c r="F1920" t="s">
        <v>403</v>
      </c>
      <c r="G1920" t="s">
        <v>386</v>
      </c>
      <c r="H1920" t="s">
        <v>1432</v>
      </c>
    </row>
    <row r="1921" spans="1:8" x14ac:dyDescent="0.3">
      <c r="A1921" s="6">
        <v>23</v>
      </c>
      <c r="B1921" t="s">
        <v>662</v>
      </c>
      <c r="C1921" s="9" t="s">
        <v>963</v>
      </c>
      <c r="D1921" s="9">
        <v>60</v>
      </c>
      <c r="E1921" s="9" t="s">
        <v>1804</v>
      </c>
      <c r="F1921" t="s">
        <v>167</v>
      </c>
      <c r="G1921" t="s">
        <v>168</v>
      </c>
      <c r="H1921" t="s">
        <v>1533</v>
      </c>
    </row>
    <row r="1922" spans="1:8" x14ac:dyDescent="0.3">
      <c r="A1922" s="6">
        <v>23</v>
      </c>
      <c r="B1922" t="s">
        <v>662</v>
      </c>
      <c r="C1922" s="9" t="s">
        <v>963</v>
      </c>
      <c r="D1922" s="9">
        <v>63</v>
      </c>
      <c r="E1922" s="9" t="s">
        <v>1804</v>
      </c>
      <c r="F1922" t="s">
        <v>105</v>
      </c>
      <c r="G1922" t="s">
        <v>171</v>
      </c>
      <c r="H1922" t="s">
        <v>1535</v>
      </c>
    </row>
    <row r="1923" spans="1:8" x14ac:dyDescent="0.3">
      <c r="A1923" s="6">
        <v>23</v>
      </c>
      <c r="B1923" t="s">
        <v>662</v>
      </c>
      <c r="C1923" s="9" t="s">
        <v>963</v>
      </c>
      <c r="D1923" s="9">
        <v>60</v>
      </c>
      <c r="E1923" s="9" t="s">
        <v>1804</v>
      </c>
      <c r="F1923" t="s">
        <v>170</v>
      </c>
      <c r="G1923" t="s">
        <v>171</v>
      </c>
      <c r="H1923" t="s">
        <v>1535</v>
      </c>
    </row>
    <row r="1924" spans="1:8" x14ac:dyDescent="0.3">
      <c r="A1924" s="6">
        <v>23</v>
      </c>
      <c r="B1924" t="s">
        <v>662</v>
      </c>
      <c r="C1924" s="9" t="s">
        <v>963</v>
      </c>
      <c r="D1924" s="9">
        <v>63</v>
      </c>
      <c r="E1924" s="9" t="s">
        <v>1804</v>
      </c>
      <c r="F1924" t="s">
        <v>404</v>
      </c>
      <c r="G1924" t="s">
        <v>115</v>
      </c>
      <c r="H1924" t="s">
        <v>1536</v>
      </c>
    </row>
    <row r="1925" spans="1:8" x14ac:dyDescent="0.3">
      <c r="A1925" s="6">
        <v>23</v>
      </c>
      <c r="B1925" t="s">
        <v>662</v>
      </c>
      <c r="C1925" s="9" t="s">
        <v>963</v>
      </c>
      <c r="D1925" s="9">
        <v>60</v>
      </c>
      <c r="E1925" s="9" t="s">
        <v>1804</v>
      </c>
      <c r="F1925" t="s">
        <v>686</v>
      </c>
      <c r="G1925" t="s">
        <v>115</v>
      </c>
      <c r="H1925" t="s">
        <v>1536</v>
      </c>
    </row>
    <row r="1926" spans="1:8" x14ac:dyDescent="0.3">
      <c r="A1926" s="6">
        <v>23</v>
      </c>
      <c r="B1926" t="s">
        <v>662</v>
      </c>
      <c r="C1926" s="9" t="s">
        <v>963</v>
      </c>
      <c r="D1926" s="9">
        <v>63</v>
      </c>
      <c r="E1926" s="9" t="s">
        <v>1804</v>
      </c>
      <c r="F1926" t="s">
        <v>349</v>
      </c>
      <c r="G1926" t="s">
        <v>32</v>
      </c>
      <c r="H1926" t="s">
        <v>1537</v>
      </c>
    </row>
    <row r="1927" spans="1:8" x14ac:dyDescent="0.3">
      <c r="A1927" s="6">
        <v>23</v>
      </c>
      <c r="B1927" t="s">
        <v>662</v>
      </c>
      <c r="C1927" s="9" t="s">
        <v>963</v>
      </c>
      <c r="D1927" s="9">
        <v>60</v>
      </c>
      <c r="E1927" s="9" t="s">
        <v>1804</v>
      </c>
      <c r="F1927" t="s">
        <v>106</v>
      </c>
      <c r="G1927" t="s">
        <v>32</v>
      </c>
      <c r="H1927" t="s">
        <v>1537</v>
      </c>
    </row>
    <row r="1928" spans="1:8" x14ac:dyDescent="0.3">
      <c r="A1928" s="6">
        <v>23</v>
      </c>
      <c r="B1928" t="s">
        <v>662</v>
      </c>
      <c r="C1928" s="9" t="s">
        <v>963</v>
      </c>
      <c r="D1928" s="9">
        <v>63</v>
      </c>
      <c r="E1928" s="9" t="s">
        <v>1804</v>
      </c>
      <c r="F1928" t="s">
        <v>350</v>
      </c>
      <c r="G1928" t="s">
        <v>504</v>
      </c>
      <c r="H1928" t="s">
        <v>1538</v>
      </c>
    </row>
    <row r="1929" spans="1:8" x14ac:dyDescent="0.3">
      <c r="A1929" s="6">
        <v>23</v>
      </c>
      <c r="B1929" t="s">
        <v>662</v>
      </c>
      <c r="C1929" s="9" t="s">
        <v>963</v>
      </c>
      <c r="D1929" s="9">
        <v>60</v>
      </c>
      <c r="E1929" s="9" t="s">
        <v>1804</v>
      </c>
      <c r="F1929" t="s">
        <v>656</v>
      </c>
      <c r="G1929" t="s">
        <v>504</v>
      </c>
      <c r="H1929" t="s">
        <v>1538</v>
      </c>
    </row>
    <row r="1930" spans="1:8" x14ac:dyDescent="0.3">
      <c r="A1930" s="6">
        <v>23</v>
      </c>
      <c r="B1930" t="s">
        <v>662</v>
      </c>
      <c r="C1930" s="9" t="s">
        <v>963</v>
      </c>
      <c r="D1930" s="9">
        <v>63</v>
      </c>
      <c r="E1930" s="9" t="s">
        <v>1804</v>
      </c>
      <c r="F1930" t="s">
        <v>687</v>
      </c>
      <c r="G1930" t="s">
        <v>752</v>
      </c>
      <c r="H1930" t="s">
        <v>1540</v>
      </c>
    </row>
    <row r="1931" spans="1:8" x14ac:dyDescent="0.3">
      <c r="A1931" s="6">
        <v>23</v>
      </c>
      <c r="B1931" t="s">
        <v>662</v>
      </c>
      <c r="C1931" s="9" t="s">
        <v>963</v>
      </c>
      <c r="D1931" s="9">
        <v>60</v>
      </c>
      <c r="E1931" s="9" t="s">
        <v>1804</v>
      </c>
      <c r="F1931" t="s">
        <v>107</v>
      </c>
      <c r="G1931" t="s">
        <v>108</v>
      </c>
      <c r="H1931" t="s">
        <v>1140</v>
      </c>
    </row>
    <row r="1932" spans="1:8" x14ac:dyDescent="0.3">
      <c r="A1932" s="6">
        <v>23</v>
      </c>
      <c r="B1932" t="s">
        <v>662</v>
      </c>
      <c r="C1932" s="9" t="s">
        <v>963</v>
      </c>
      <c r="D1932" s="9">
        <v>66</v>
      </c>
      <c r="E1932" s="9" t="s">
        <v>1804</v>
      </c>
      <c r="F1932" t="s">
        <v>353</v>
      </c>
      <c r="G1932" t="s">
        <v>354</v>
      </c>
      <c r="H1932" t="s">
        <v>1020</v>
      </c>
    </row>
    <row r="1933" spans="1:8" x14ac:dyDescent="0.3">
      <c r="A1933" s="6">
        <v>23</v>
      </c>
      <c r="B1933" t="s">
        <v>662</v>
      </c>
      <c r="C1933" s="9" t="s">
        <v>963</v>
      </c>
      <c r="D1933" s="9">
        <v>64</v>
      </c>
      <c r="E1933" s="9" t="s">
        <v>1804</v>
      </c>
      <c r="F1933" t="s">
        <v>356</v>
      </c>
      <c r="G1933" t="s">
        <v>115</v>
      </c>
      <c r="H1933" t="s">
        <v>1121</v>
      </c>
    </row>
    <row r="1934" spans="1:8" x14ac:dyDescent="0.3">
      <c r="A1934" s="6">
        <v>23</v>
      </c>
      <c r="B1934" t="s">
        <v>662</v>
      </c>
      <c r="C1934" s="9" t="s">
        <v>963</v>
      </c>
      <c r="D1934" s="9">
        <v>60</v>
      </c>
      <c r="E1934" s="9" t="s">
        <v>1804</v>
      </c>
      <c r="F1934" t="s">
        <v>114</v>
      </c>
      <c r="G1934" t="s">
        <v>115</v>
      </c>
      <c r="H1934" t="s">
        <v>1121</v>
      </c>
    </row>
    <row r="1935" spans="1:8" x14ac:dyDescent="0.3">
      <c r="A1935" s="6">
        <v>23</v>
      </c>
      <c r="B1935" t="s">
        <v>662</v>
      </c>
      <c r="C1935" s="9" t="s">
        <v>963</v>
      </c>
      <c r="D1935" s="9">
        <v>60</v>
      </c>
      <c r="E1935" s="9" t="s">
        <v>1804</v>
      </c>
      <c r="F1935" t="s">
        <v>120</v>
      </c>
      <c r="G1935" t="s">
        <v>51</v>
      </c>
      <c r="H1935" t="s">
        <v>1590</v>
      </c>
    </row>
    <row r="1936" spans="1:8" x14ac:dyDescent="0.3">
      <c r="A1936" s="6">
        <v>23</v>
      </c>
      <c r="B1936" t="s">
        <v>662</v>
      </c>
      <c r="C1936" s="9" t="s">
        <v>963</v>
      </c>
      <c r="D1936" s="9">
        <v>61</v>
      </c>
      <c r="E1936" s="9" t="s">
        <v>1804</v>
      </c>
      <c r="F1936" t="s">
        <v>357</v>
      </c>
      <c r="G1936" t="s">
        <v>616</v>
      </c>
      <c r="H1936" t="s">
        <v>1827</v>
      </c>
    </row>
    <row r="1937" spans="1:8" x14ac:dyDescent="0.3">
      <c r="A1937" s="6">
        <v>23</v>
      </c>
      <c r="B1937" t="s">
        <v>662</v>
      </c>
      <c r="C1937" s="9" t="s">
        <v>963</v>
      </c>
      <c r="D1937" s="9">
        <v>60</v>
      </c>
      <c r="E1937" s="9" t="s">
        <v>1804</v>
      </c>
      <c r="F1937" t="s">
        <v>615</v>
      </c>
      <c r="G1937" t="s">
        <v>616</v>
      </c>
      <c r="H1937" t="s">
        <v>1683</v>
      </c>
    </row>
    <row r="1938" spans="1:8" x14ac:dyDescent="0.3">
      <c r="A1938" s="6">
        <v>23</v>
      </c>
      <c r="B1938" t="s">
        <v>662</v>
      </c>
      <c r="C1938" s="9" t="s">
        <v>963</v>
      </c>
      <c r="D1938" s="9">
        <v>62</v>
      </c>
      <c r="E1938" s="9" t="s">
        <v>1804</v>
      </c>
      <c r="F1938" t="s">
        <v>405</v>
      </c>
      <c r="G1938" t="s">
        <v>260</v>
      </c>
      <c r="H1938" t="s">
        <v>1022</v>
      </c>
    </row>
    <row r="1939" spans="1:8" x14ac:dyDescent="0.3">
      <c r="A1939" s="6">
        <v>23</v>
      </c>
      <c r="B1939" t="s">
        <v>662</v>
      </c>
      <c r="C1939" s="9" t="s">
        <v>963</v>
      </c>
      <c r="D1939" s="9">
        <v>83</v>
      </c>
      <c r="E1939" s="9" t="s">
        <v>1804</v>
      </c>
      <c r="F1939" t="s">
        <v>364</v>
      </c>
      <c r="G1939" t="s">
        <v>301</v>
      </c>
      <c r="H1939" t="s">
        <v>1795</v>
      </c>
    </row>
    <row r="1940" spans="1:8" x14ac:dyDescent="0.3">
      <c r="A1940" s="6">
        <v>23</v>
      </c>
      <c r="B1940" t="s">
        <v>662</v>
      </c>
      <c r="C1940" s="9" t="s">
        <v>963</v>
      </c>
      <c r="D1940" s="9">
        <v>64</v>
      </c>
      <c r="E1940" s="9" t="s">
        <v>1804</v>
      </c>
      <c r="F1940" t="s">
        <v>475</v>
      </c>
      <c r="G1940" t="s">
        <v>476</v>
      </c>
      <c r="H1940" t="s">
        <v>1127</v>
      </c>
    </row>
    <row r="1941" spans="1:8" x14ac:dyDescent="0.3">
      <c r="A1941" s="6">
        <v>23</v>
      </c>
      <c r="B1941" t="s">
        <v>662</v>
      </c>
      <c r="C1941" s="9" t="s">
        <v>963</v>
      </c>
      <c r="D1941" s="9">
        <v>64</v>
      </c>
      <c r="E1941" s="9" t="s">
        <v>1804</v>
      </c>
      <c r="F1941" t="s">
        <v>478</v>
      </c>
      <c r="G1941" t="s">
        <v>479</v>
      </c>
      <c r="H1941" t="s">
        <v>1128</v>
      </c>
    </row>
    <row r="1942" spans="1:8" x14ac:dyDescent="0.3">
      <c r="A1942" s="6">
        <v>23</v>
      </c>
      <c r="B1942" t="s">
        <v>662</v>
      </c>
      <c r="C1942" s="9" t="s">
        <v>963</v>
      </c>
      <c r="D1942" s="9">
        <v>60</v>
      </c>
      <c r="E1942" s="9" t="s">
        <v>1804</v>
      </c>
      <c r="F1942" t="s">
        <v>367</v>
      </c>
      <c r="G1942" t="s">
        <v>368</v>
      </c>
      <c r="H1942" t="s">
        <v>1688</v>
      </c>
    </row>
    <row r="1943" spans="1:8" x14ac:dyDescent="0.3">
      <c r="A1943" s="6">
        <v>23</v>
      </c>
      <c r="B1943" t="s">
        <v>662</v>
      </c>
      <c r="C1943" s="9" t="s">
        <v>963</v>
      </c>
      <c r="D1943" s="9">
        <v>64</v>
      </c>
      <c r="E1943" s="9" t="s">
        <v>1804</v>
      </c>
      <c r="F1943" t="s">
        <v>372</v>
      </c>
      <c r="G1943" t="s">
        <v>312</v>
      </c>
      <c r="H1943" t="s">
        <v>973</v>
      </c>
    </row>
    <row r="1944" spans="1:8" x14ac:dyDescent="0.3">
      <c r="A1944" s="6">
        <v>23</v>
      </c>
      <c r="B1944" t="s">
        <v>662</v>
      </c>
      <c r="C1944" s="9" t="s">
        <v>963</v>
      </c>
      <c r="D1944" s="9">
        <v>72</v>
      </c>
      <c r="E1944" s="9" t="s">
        <v>1804</v>
      </c>
      <c r="F1944" t="s">
        <v>373</v>
      </c>
      <c r="G1944" t="s">
        <v>832</v>
      </c>
      <c r="H1944" t="s">
        <v>1828</v>
      </c>
    </row>
    <row r="1945" spans="1:8" x14ac:dyDescent="0.3">
      <c r="A1945" s="6">
        <v>23</v>
      </c>
      <c r="B1945" t="s">
        <v>662</v>
      </c>
      <c r="C1945" s="9" t="s">
        <v>963</v>
      </c>
      <c r="D1945" s="9">
        <v>64</v>
      </c>
      <c r="E1945" s="9" t="s">
        <v>1804</v>
      </c>
      <c r="F1945" t="s">
        <v>125</v>
      </c>
      <c r="G1945" t="s">
        <v>126</v>
      </c>
      <c r="H1945" t="s">
        <v>1581</v>
      </c>
    </row>
    <row r="1946" spans="1:8" x14ac:dyDescent="0.3">
      <c r="A1946" s="6">
        <v>23</v>
      </c>
      <c r="B1946" t="s">
        <v>662</v>
      </c>
      <c r="C1946" s="9" t="s">
        <v>963</v>
      </c>
      <c r="D1946" s="9">
        <v>64</v>
      </c>
      <c r="E1946" s="9" t="s">
        <v>1804</v>
      </c>
      <c r="F1946" t="s">
        <v>374</v>
      </c>
      <c r="G1946" t="s">
        <v>129</v>
      </c>
      <c r="H1946" t="s">
        <v>1582</v>
      </c>
    </row>
    <row r="1947" spans="1:8" x14ac:dyDescent="0.3">
      <c r="A1947" s="6">
        <v>23</v>
      </c>
      <c r="B1947" t="s">
        <v>662</v>
      </c>
      <c r="C1947" s="9" t="s">
        <v>963</v>
      </c>
      <c r="D1947" s="9">
        <v>60</v>
      </c>
      <c r="E1947" s="9" t="s">
        <v>1804</v>
      </c>
      <c r="F1947" t="s">
        <v>128</v>
      </c>
      <c r="G1947" t="s">
        <v>129</v>
      </c>
      <c r="H1947" t="s">
        <v>1582</v>
      </c>
    </row>
    <row r="1948" spans="1:8" x14ac:dyDescent="0.3">
      <c r="A1948" s="6">
        <v>23</v>
      </c>
      <c r="B1948" t="s">
        <v>662</v>
      </c>
      <c r="C1948" s="9" t="s">
        <v>963</v>
      </c>
      <c r="D1948" s="9">
        <v>60</v>
      </c>
      <c r="E1948" s="9" t="s">
        <v>1804</v>
      </c>
      <c r="F1948" t="s">
        <v>407</v>
      </c>
      <c r="G1948" t="s">
        <v>396</v>
      </c>
      <c r="H1948" t="s">
        <v>1583</v>
      </c>
    </row>
    <row r="1949" spans="1:8" x14ac:dyDescent="0.3">
      <c r="A1949" s="6">
        <v>23</v>
      </c>
      <c r="B1949" t="s">
        <v>662</v>
      </c>
      <c r="C1949" s="9" t="s">
        <v>963</v>
      </c>
      <c r="D1949" s="9">
        <v>60</v>
      </c>
      <c r="E1949" s="9" t="s">
        <v>1804</v>
      </c>
      <c r="F1949" t="s">
        <v>688</v>
      </c>
      <c r="G1949" t="s">
        <v>576</v>
      </c>
      <c r="H1949" t="s">
        <v>1584</v>
      </c>
    </row>
    <row r="1950" spans="1:8" x14ac:dyDescent="0.3">
      <c r="A1950" s="6">
        <v>23</v>
      </c>
      <c r="B1950" t="s">
        <v>662</v>
      </c>
      <c r="C1950" s="9" t="s">
        <v>963</v>
      </c>
      <c r="D1950" s="9">
        <v>63</v>
      </c>
      <c r="E1950" s="9" t="s">
        <v>1804</v>
      </c>
      <c r="F1950" t="s">
        <v>689</v>
      </c>
      <c r="G1950" t="s">
        <v>691</v>
      </c>
      <c r="H1950" t="s">
        <v>1857</v>
      </c>
    </row>
    <row r="1951" spans="1:8" x14ac:dyDescent="0.3">
      <c r="A1951" s="6">
        <v>23</v>
      </c>
      <c r="B1951" t="s">
        <v>662</v>
      </c>
      <c r="C1951" s="9" t="s">
        <v>963</v>
      </c>
      <c r="D1951" s="9">
        <v>60</v>
      </c>
      <c r="E1951" s="9" t="s">
        <v>1804</v>
      </c>
      <c r="F1951" t="s">
        <v>690</v>
      </c>
      <c r="G1951" t="s">
        <v>691</v>
      </c>
      <c r="H1951" t="s">
        <v>1585</v>
      </c>
    </row>
    <row r="1952" spans="1:8" x14ac:dyDescent="0.3">
      <c r="A1952" s="6">
        <v>23</v>
      </c>
      <c r="B1952" t="s">
        <v>662</v>
      </c>
      <c r="C1952" s="9" t="s">
        <v>963</v>
      </c>
      <c r="D1952" s="9">
        <v>60</v>
      </c>
      <c r="E1952" s="9" t="s">
        <v>1804</v>
      </c>
      <c r="F1952" t="s">
        <v>131</v>
      </c>
      <c r="G1952" t="s">
        <v>376</v>
      </c>
      <c r="H1952" t="s">
        <v>1818</v>
      </c>
    </row>
    <row r="1953" spans="1:8" x14ac:dyDescent="0.3">
      <c r="A1953" s="6">
        <v>23</v>
      </c>
      <c r="B1953" t="s">
        <v>662</v>
      </c>
      <c r="C1953" s="9" t="s">
        <v>963</v>
      </c>
      <c r="D1953" s="9">
        <v>60</v>
      </c>
      <c r="E1953" s="9" t="s">
        <v>1804</v>
      </c>
      <c r="F1953" t="s">
        <v>375</v>
      </c>
      <c r="G1953" t="s">
        <v>376</v>
      </c>
      <c r="H1953" t="s">
        <v>1586</v>
      </c>
    </row>
    <row r="1954" spans="1:8" x14ac:dyDescent="0.3">
      <c r="A1954" s="6">
        <v>23</v>
      </c>
      <c r="B1954" t="s">
        <v>662</v>
      </c>
      <c r="C1954" s="9" t="s">
        <v>963</v>
      </c>
      <c r="D1954" s="9">
        <v>60</v>
      </c>
      <c r="E1954" s="9" t="s">
        <v>1804</v>
      </c>
      <c r="F1954" t="s">
        <v>378</v>
      </c>
      <c r="G1954" t="s">
        <v>320</v>
      </c>
      <c r="H1954" t="s">
        <v>1247</v>
      </c>
    </row>
    <row r="1955" spans="1:8" x14ac:dyDescent="0.3">
      <c r="A1955" s="6">
        <v>23</v>
      </c>
      <c r="B1955" t="s">
        <v>662</v>
      </c>
      <c r="C1955" s="9" t="s">
        <v>976</v>
      </c>
      <c r="D1955" s="9">
        <v>0</v>
      </c>
      <c r="E1955" s="9" t="s">
        <v>1804</v>
      </c>
      <c r="F1955" t="s">
        <v>379</v>
      </c>
      <c r="G1955" t="s">
        <v>1829</v>
      </c>
      <c r="H1955" t="s">
        <v>1830</v>
      </c>
    </row>
    <row r="1956" spans="1:8" x14ac:dyDescent="0.3">
      <c r="A1956" s="6">
        <v>23</v>
      </c>
      <c r="B1956" t="s">
        <v>662</v>
      </c>
      <c r="C1956" s="9" t="s">
        <v>963</v>
      </c>
      <c r="D1956" s="9">
        <v>0</v>
      </c>
      <c r="E1956" s="9" t="s">
        <v>1804</v>
      </c>
      <c r="F1956" t="s">
        <v>379</v>
      </c>
      <c r="G1956" t="s">
        <v>1829</v>
      </c>
      <c r="H1956" t="s">
        <v>1830</v>
      </c>
    </row>
    <row r="1957" spans="1:8" x14ac:dyDescent="0.3">
      <c r="A1957" s="6">
        <v>23</v>
      </c>
      <c r="B1957" t="s">
        <v>662</v>
      </c>
      <c r="C1957" s="9" t="s">
        <v>932</v>
      </c>
      <c r="D1957" s="9">
        <v>0</v>
      </c>
      <c r="E1957" s="9" t="s">
        <v>1804</v>
      </c>
      <c r="F1957" t="s">
        <v>379</v>
      </c>
      <c r="G1957" t="s">
        <v>1829</v>
      </c>
      <c r="H1957" t="s">
        <v>1830</v>
      </c>
    </row>
    <row r="1958" spans="1:8" x14ac:dyDescent="0.3">
      <c r="A1958" s="6">
        <v>24</v>
      </c>
      <c r="B1958" t="s">
        <v>647</v>
      </c>
      <c r="C1958" s="9" t="s">
        <v>1807</v>
      </c>
      <c r="D1958" s="9">
        <v>1230</v>
      </c>
      <c r="E1958" s="9" t="s">
        <v>1808</v>
      </c>
      <c r="F1958" t="s">
        <v>10</v>
      </c>
      <c r="G1958" t="s">
        <v>526</v>
      </c>
      <c r="H1958" t="s">
        <v>1812</v>
      </c>
    </row>
    <row r="1959" spans="1:8" x14ac:dyDescent="0.3">
      <c r="A1959" s="6">
        <v>24</v>
      </c>
      <c r="B1959" t="s">
        <v>647</v>
      </c>
      <c r="C1959" s="9" t="s">
        <v>932</v>
      </c>
      <c r="D1959" s="9">
        <v>24</v>
      </c>
      <c r="E1959" s="9" t="s">
        <v>1804</v>
      </c>
      <c r="F1959" t="s">
        <v>195</v>
      </c>
      <c r="G1959" t="s">
        <v>196</v>
      </c>
      <c r="H1959" t="s">
        <v>1263</v>
      </c>
    </row>
    <row r="1960" spans="1:8" x14ac:dyDescent="0.3">
      <c r="A1960" s="6">
        <v>24</v>
      </c>
      <c r="B1960" t="s">
        <v>647</v>
      </c>
      <c r="C1960" s="9" t="s">
        <v>932</v>
      </c>
      <c r="D1960" s="9">
        <v>37</v>
      </c>
      <c r="E1960" s="9" t="s">
        <v>1804</v>
      </c>
      <c r="F1960" t="s">
        <v>198</v>
      </c>
      <c r="G1960" t="s">
        <v>196</v>
      </c>
      <c r="H1960" t="s">
        <v>1267</v>
      </c>
    </row>
    <row r="1961" spans="1:8" x14ac:dyDescent="0.3">
      <c r="A1961" s="6">
        <v>24</v>
      </c>
      <c r="B1961" t="s">
        <v>647</v>
      </c>
      <c r="C1961" s="9" t="s">
        <v>932</v>
      </c>
      <c r="D1961" s="9">
        <v>42</v>
      </c>
      <c r="E1961" s="9" t="s">
        <v>1804</v>
      </c>
      <c r="F1961" t="s">
        <v>14</v>
      </c>
      <c r="G1961" t="s">
        <v>15</v>
      </c>
      <c r="H1961" t="s">
        <v>1290</v>
      </c>
    </row>
    <row r="1962" spans="1:8" x14ac:dyDescent="0.3">
      <c r="A1962" s="6">
        <v>24</v>
      </c>
      <c r="B1962" t="s">
        <v>647</v>
      </c>
      <c r="C1962" s="9" t="s">
        <v>932</v>
      </c>
      <c r="D1962" s="9">
        <v>12</v>
      </c>
      <c r="E1962" s="9" t="s">
        <v>1804</v>
      </c>
      <c r="F1962" t="s">
        <v>204</v>
      </c>
      <c r="G1962" t="s">
        <v>15</v>
      </c>
      <c r="H1962" t="s">
        <v>1292</v>
      </c>
    </row>
    <row r="1963" spans="1:8" x14ac:dyDescent="0.3">
      <c r="A1963" s="6">
        <v>24</v>
      </c>
      <c r="B1963" t="s">
        <v>647</v>
      </c>
      <c r="C1963" s="9" t="s">
        <v>1806</v>
      </c>
      <c r="D1963" s="9">
        <v>9</v>
      </c>
      <c r="E1963" s="9" t="s">
        <v>1804</v>
      </c>
      <c r="F1963" t="s">
        <v>540</v>
      </c>
      <c r="G1963" t="s">
        <v>92</v>
      </c>
      <c r="H1963" t="s">
        <v>1353</v>
      </c>
    </row>
    <row r="1964" spans="1:8" x14ac:dyDescent="0.3">
      <c r="A1964" s="6">
        <v>24</v>
      </c>
      <c r="B1964" t="s">
        <v>647</v>
      </c>
      <c r="C1964" s="9" t="s">
        <v>1806</v>
      </c>
      <c r="D1964" s="9">
        <v>9</v>
      </c>
      <c r="E1964" s="9" t="s">
        <v>1804</v>
      </c>
      <c r="F1964" t="s">
        <v>648</v>
      </c>
      <c r="G1964" t="s">
        <v>95</v>
      </c>
      <c r="H1964" t="s">
        <v>1355</v>
      </c>
    </row>
    <row r="1965" spans="1:8" x14ac:dyDescent="0.3">
      <c r="A1965" s="6">
        <v>24</v>
      </c>
      <c r="B1965" t="s">
        <v>647</v>
      </c>
      <c r="C1965" s="9" t="s">
        <v>932</v>
      </c>
      <c r="D1965" s="9">
        <v>30</v>
      </c>
      <c r="E1965" s="9" t="s">
        <v>1804</v>
      </c>
      <c r="F1965" t="s">
        <v>649</v>
      </c>
      <c r="G1965" t="s">
        <v>19</v>
      </c>
      <c r="H1965" t="s">
        <v>1299</v>
      </c>
    </row>
    <row r="1966" spans="1:8" x14ac:dyDescent="0.3">
      <c r="A1966" s="6">
        <v>24</v>
      </c>
      <c r="B1966" t="s">
        <v>647</v>
      </c>
      <c r="C1966" s="9" t="s">
        <v>1807</v>
      </c>
      <c r="D1966" s="9">
        <v>1330</v>
      </c>
      <c r="E1966" s="9" t="s">
        <v>1808</v>
      </c>
      <c r="F1966" t="s">
        <v>207</v>
      </c>
      <c r="G1966" t="s">
        <v>19</v>
      </c>
      <c r="H1966" t="s">
        <v>1301</v>
      </c>
    </row>
    <row r="1967" spans="1:8" x14ac:dyDescent="0.3">
      <c r="A1967" s="6">
        <v>24</v>
      </c>
      <c r="B1967" t="s">
        <v>647</v>
      </c>
      <c r="C1967" s="9" t="s">
        <v>1807</v>
      </c>
      <c r="D1967" s="9">
        <v>165</v>
      </c>
      <c r="E1967" s="9" t="s">
        <v>1808</v>
      </c>
      <c r="F1967" t="s">
        <v>410</v>
      </c>
      <c r="G1967" t="s">
        <v>411</v>
      </c>
      <c r="H1967" t="s">
        <v>1313</v>
      </c>
    </row>
    <row r="1968" spans="1:8" x14ac:dyDescent="0.3">
      <c r="A1968" s="6">
        <v>24</v>
      </c>
      <c r="B1968" t="s">
        <v>647</v>
      </c>
      <c r="C1968" s="9" t="s">
        <v>1807</v>
      </c>
      <c r="D1968" s="9">
        <v>1350</v>
      </c>
      <c r="E1968" s="9" t="s">
        <v>1808</v>
      </c>
      <c r="F1968" t="s">
        <v>413</v>
      </c>
      <c r="G1968" t="s">
        <v>414</v>
      </c>
      <c r="H1968" t="s">
        <v>1332</v>
      </c>
    </row>
    <row r="1969" spans="1:8" x14ac:dyDescent="0.3">
      <c r="A1969" s="6">
        <v>24</v>
      </c>
      <c r="B1969" t="s">
        <v>647</v>
      </c>
      <c r="C1969" s="9" t="s">
        <v>1807</v>
      </c>
      <c r="D1969" s="9">
        <v>165</v>
      </c>
      <c r="E1969" s="9" t="s">
        <v>1808</v>
      </c>
      <c r="F1969" t="s">
        <v>152</v>
      </c>
      <c r="G1969" t="s">
        <v>26</v>
      </c>
      <c r="H1969" t="s">
        <v>1335</v>
      </c>
    </row>
    <row r="1970" spans="1:8" x14ac:dyDescent="0.3">
      <c r="A1970" s="6">
        <v>24</v>
      </c>
      <c r="B1970" t="s">
        <v>647</v>
      </c>
      <c r="C1970" s="9" t="s">
        <v>932</v>
      </c>
      <c r="D1970" s="9">
        <v>36</v>
      </c>
      <c r="E1970" s="9" t="s">
        <v>1804</v>
      </c>
      <c r="F1970" t="s">
        <v>28</v>
      </c>
      <c r="G1970" t="s">
        <v>29</v>
      </c>
      <c r="H1970" t="s">
        <v>1180</v>
      </c>
    </row>
    <row r="1971" spans="1:8" x14ac:dyDescent="0.3">
      <c r="A1971" s="6">
        <v>24</v>
      </c>
      <c r="B1971" t="s">
        <v>647</v>
      </c>
      <c r="C1971" s="9" t="s">
        <v>932</v>
      </c>
      <c r="D1971" s="9">
        <v>18</v>
      </c>
      <c r="E1971" s="9" t="s">
        <v>1804</v>
      </c>
      <c r="F1971" t="s">
        <v>389</v>
      </c>
      <c r="G1971" t="s">
        <v>171</v>
      </c>
      <c r="H1971" t="s">
        <v>1447</v>
      </c>
    </row>
    <row r="1972" spans="1:8" x14ac:dyDescent="0.3">
      <c r="A1972" s="6">
        <v>24</v>
      </c>
      <c r="B1972" t="s">
        <v>647</v>
      </c>
      <c r="C1972" s="9" t="s">
        <v>932</v>
      </c>
      <c r="D1972" s="9">
        <v>33</v>
      </c>
      <c r="E1972" s="9" t="s">
        <v>1804</v>
      </c>
      <c r="F1972" t="s">
        <v>390</v>
      </c>
      <c r="G1972" t="s">
        <v>391</v>
      </c>
      <c r="H1972" t="s">
        <v>1449</v>
      </c>
    </row>
    <row r="1973" spans="1:8" x14ac:dyDescent="0.3">
      <c r="A1973" s="6">
        <v>24</v>
      </c>
      <c r="B1973" t="s">
        <v>647</v>
      </c>
      <c r="C1973" s="9" t="s">
        <v>932</v>
      </c>
      <c r="D1973" s="9">
        <v>24</v>
      </c>
      <c r="E1973" s="9" t="s">
        <v>1804</v>
      </c>
      <c r="F1973" t="s">
        <v>31</v>
      </c>
      <c r="G1973" t="s">
        <v>32</v>
      </c>
      <c r="H1973" t="s">
        <v>1483</v>
      </c>
    </row>
    <row r="1974" spans="1:8" x14ac:dyDescent="0.3">
      <c r="A1974" s="6">
        <v>24</v>
      </c>
      <c r="B1974" t="s">
        <v>647</v>
      </c>
      <c r="C1974" s="9" t="s">
        <v>932</v>
      </c>
      <c r="D1974" s="9">
        <v>21</v>
      </c>
      <c r="E1974" s="9" t="s">
        <v>1804</v>
      </c>
      <c r="F1974" t="s">
        <v>34</v>
      </c>
      <c r="G1974" t="s">
        <v>32</v>
      </c>
      <c r="H1974" t="s">
        <v>1485</v>
      </c>
    </row>
    <row r="1975" spans="1:8" x14ac:dyDescent="0.3">
      <c r="A1975" s="6">
        <v>24</v>
      </c>
      <c r="B1975" t="s">
        <v>647</v>
      </c>
      <c r="C1975" s="9" t="s">
        <v>932</v>
      </c>
      <c r="D1975" s="9">
        <v>30</v>
      </c>
      <c r="E1975" s="9" t="s">
        <v>1804</v>
      </c>
      <c r="F1975" t="s">
        <v>35</v>
      </c>
      <c r="G1975" t="s">
        <v>32</v>
      </c>
      <c r="H1975" t="s">
        <v>1489</v>
      </c>
    </row>
    <row r="1976" spans="1:8" x14ac:dyDescent="0.3">
      <c r="A1976" s="6">
        <v>24</v>
      </c>
      <c r="B1976" t="s">
        <v>647</v>
      </c>
      <c r="C1976" s="9" t="s">
        <v>932</v>
      </c>
      <c r="D1976" s="9">
        <v>18</v>
      </c>
      <c r="E1976" s="9" t="s">
        <v>1804</v>
      </c>
      <c r="F1976" t="s">
        <v>229</v>
      </c>
      <c r="G1976" t="s">
        <v>230</v>
      </c>
      <c r="H1976" t="s">
        <v>1170</v>
      </c>
    </row>
    <row r="1977" spans="1:8" x14ac:dyDescent="0.3">
      <c r="A1977" s="6">
        <v>24</v>
      </c>
      <c r="B1977" t="s">
        <v>647</v>
      </c>
      <c r="C1977" s="9" t="s">
        <v>932</v>
      </c>
      <c r="D1977" s="9">
        <v>15</v>
      </c>
      <c r="E1977" s="9" t="s">
        <v>1804</v>
      </c>
      <c r="F1977" t="s">
        <v>515</v>
      </c>
      <c r="G1977" t="s">
        <v>238</v>
      </c>
      <c r="H1977" t="s">
        <v>1064</v>
      </c>
    </row>
    <row r="1978" spans="1:8" x14ac:dyDescent="0.3">
      <c r="A1978" s="6">
        <v>24</v>
      </c>
      <c r="B1978" t="s">
        <v>647</v>
      </c>
      <c r="C1978" s="9" t="s">
        <v>932</v>
      </c>
      <c r="D1978" s="9">
        <v>24</v>
      </c>
      <c r="E1978" s="9" t="s">
        <v>1804</v>
      </c>
      <c r="F1978" t="s">
        <v>237</v>
      </c>
      <c r="G1978" t="s">
        <v>238</v>
      </c>
      <c r="H1978" t="s">
        <v>1065</v>
      </c>
    </row>
    <row r="1979" spans="1:8" x14ac:dyDescent="0.3">
      <c r="A1979" s="6">
        <v>24</v>
      </c>
      <c r="B1979" t="s">
        <v>647</v>
      </c>
      <c r="C1979" s="9" t="s">
        <v>1807</v>
      </c>
      <c r="D1979" s="9">
        <v>750</v>
      </c>
      <c r="E1979" s="9" t="s">
        <v>1808</v>
      </c>
      <c r="F1979" t="s">
        <v>248</v>
      </c>
      <c r="G1979" t="s">
        <v>249</v>
      </c>
      <c r="H1979" t="s">
        <v>979</v>
      </c>
    </row>
    <row r="1980" spans="1:8" x14ac:dyDescent="0.3">
      <c r="A1980" s="6">
        <v>24</v>
      </c>
      <c r="B1980" t="s">
        <v>647</v>
      </c>
      <c r="C1980" s="9" t="s">
        <v>976</v>
      </c>
      <c r="D1980" s="9">
        <v>68</v>
      </c>
      <c r="E1980" s="9" t="s">
        <v>1804</v>
      </c>
      <c r="F1980" t="s">
        <v>255</v>
      </c>
      <c r="G1980" t="s">
        <v>256</v>
      </c>
      <c r="H1980" t="s">
        <v>1715</v>
      </c>
    </row>
    <row r="1981" spans="1:8" x14ac:dyDescent="0.3">
      <c r="A1981" s="6">
        <v>24</v>
      </c>
      <c r="B1981" t="s">
        <v>647</v>
      </c>
      <c r="C1981" s="9" t="s">
        <v>932</v>
      </c>
      <c r="D1981" s="9">
        <v>37</v>
      </c>
      <c r="E1981" s="9" t="s">
        <v>1804</v>
      </c>
      <c r="F1981" t="s">
        <v>268</v>
      </c>
      <c r="G1981" t="s">
        <v>269</v>
      </c>
      <c r="H1981" t="s">
        <v>1645</v>
      </c>
    </row>
    <row r="1982" spans="1:8" x14ac:dyDescent="0.3">
      <c r="A1982" s="6">
        <v>24</v>
      </c>
      <c r="B1982" t="s">
        <v>647</v>
      </c>
      <c r="C1982" s="9" t="s">
        <v>1807</v>
      </c>
      <c r="D1982" s="9">
        <v>1080</v>
      </c>
      <c r="E1982" s="9" t="s">
        <v>1808</v>
      </c>
      <c r="F1982" t="s">
        <v>634</v>
      </c>
      <c r="G1982" t="s">
        <v>635</v>
      </c>
      <c r="H1982" t="s">
        <v>1009</v>
      </c>
    </row>
    <row r="1983" spans="1:8" x14ac:dyDescent="0.3">
      <c r="A1983" s="6">
        <v>24</v>
      </c>
      <c r="B1983" t="s">
        <v>647</v>
      </c>
      <c r="C1983" s="9" t="s">
        <v>1807</v>
      </c>
      <c r="D1983" s="9">
        <v>1800</v>
      </c>
      <c r="E1983" s="9" t="s">
        <v>1808</v>
      </c>
      <c r="F1983" t="s">
        <v>449</v>
      </c>
      <c r="G1983" t="s">
        <v>450</v>
      </c>
      <c r="H1983" t="s">
        <v>1711</v>
      </c>
    </row>
    <row r="1984" spans="1:8" x14ac:dyDescent="0.3">
      <c r="A1984" s="6">
        <v>24</v>
      </c>
      <c r="B1984" t="s">
        <v>647</v>
      </c>
      <c r="C1984" s="9" t="s">
        <v>1807</v>
      </c>
      <c r="D1984" s="9">
        <v>1050</v>
      </c>
      <c r="E1984" s="9" t="s">
        <v>1808</v>
      </c>
      <c r="F1984" t="s">
        <v>291</v>
      </c>
      <c r="G1984" t="s">
        <v>292</v>
      </c>
      <c r="H1984" t="s">
        <v>1678</v>
      </c>
    </row>
    <row r="1985" spans="1:8" x14ac:dyDescent="0.3">
      <c r="A1985" s="6">
        <v>24</v>
      </c>
      <c r="B1985" t="s">
        <v>647</v>
      </c>
      <c r="C1985" s="9" t="s">
        <v>1807</v>
      </c>
      <c r="D1985" s="9">
        <v>750</v>
      </c>
      <c r="E1985" s="9" t="s">
        <v>1808</v>
      </c>
      <c r="F1985" t="s">
        <v>456</v>
      </c>
      <c r="G1985" t="s">
        <v>292</v>
      </c>
      <c r="H1985" t="s">
        <v>1679</v>
      </c>
    </row>
    <row r="1986" spans="1:8" x14ac:dyDescent="0.3">
      <c r="A1986" s="6">
        <v>24</v>
      </c>
      <c r="B1986" t="s">
        <v>647</v>
      </c>
      <c r="C1986" s="9" t="s">
        <v>1807</v>
      </c>
      <c r="D1986" s="9">
        <v>420</v>
      </c>
      <c r="E1986" s="9" t="s">
        <v>1808</v>
      </c>
      <c r="F1986" t="s">
        <v>68</v>
      </c>
      <c r="G1986" t="s">
        <v>69</v>
      </c>
      <c r="H1986" t="s">
        <v>1551</v>
      </c>
    </row>
    <row r="1987" spans="1:8" x14ac:dyDescent="0.3">
      <c r="A1987" s="6">
        <v>24</v>
      </c>
      <c r="B1987" t="s">
        <v>647</v>
      </c>
      <c r="C1987" s="9" t="s">
        <v>1807</v>
      </c>
      <c r="D1987" s="9">
        <v>198</v>
      </c>
      <c r="E1987" s="9" t="s">
        <v>1808</v>
      </c>
      <c r="F1987" t="s">
        <v>484</v>
      </c>
      <c r="G1987" t="s">
        <v>69</v>
      </c>
      <c r="H1987" t="s">
        <v>1556</v>
      </c>
    </row>
    <row r="1988" spans="1:8" x14ac:dyDescent="0.3">
      <c r="A1988" s="6">
        <v>24</v>
      </c>
      <c r="B1988" t="s">
        <v>647</v>
      </c>
      <c r="C1988" s="9" t="s">
        <v>1807</v>
      </c>
      <c r="D1988" s="9">
        <v>770</v>
      </c>
      <c r="E1988" s="9" t="s">
        <v>1808</v>
      </c>
      <c r="F1988" t="s">
        <v>71</v>
      </c>
      <c r="G1988" t="s">
        <v>72</v>
      </c>
      <c r="H1988" t="s">
        <v>1565</v>
      </c>
    </row>
    <row r="1989" spans="1:8" x14ac:dyDescent="0.3">
      <c r="A1989" s="6">
        <v>24</v>
      </c>
      <c r="B1989" t="s">
        <v>647</v>
      </c>
      <c r="C1989" s="9" t="s">
        <v>1807</v>
      </c>
      <c r="D1989" s="9">
        <v>518</v>
      </c>
      <c r="E1989" s="9" t="s">
        <v>1808</v>
      </c>
      <c r="F1989" t="s">
        <v>74</v>
      </c>
      <c r="G1989" t="s">
        <v>72</v>
      </c>
      <c r="H1989" t="s">
        <v>1566</v>
      </c>
    </row>
    <row r="1990" spans="1:8" x14ac:dyDescent="0.3">
      <c r="A1990" s="6">
        <v>24</v>
      </c>
      <c r="B1990" t="s">
        <v>647</v>
      </c>
      <c r="C1990" s="9" t="s">
        <v>1814</v>
      </c>
      <c r="D1990" s="9">
        <v>10000</v>
      </c>
      <c r="E1990" s="9" t="s">
        <v>1808</v>
      </c>
      <c r="F1990" t="s">
        <v>161</v>
      </c>
      <c r="G1990" t="s">
        <v>722</v>
      </c>
      <c r="H1990" t="s">
        <v>1831</v>
      </c>
    </row>
    <row r="1991" spans="1:8" x14ac:dyDescent="0.3">
      <c r="A1991" s="6">
        <v>24</v>
      </c>
      <c r="B1991" t="s">
        <v>647</v>
      </c>
      <c r="C1991" s="9" t="s">
        <v>1814</v>
      </c>
      <c r="D1991" s="9">
        <v>10000</v>
      </c>
      <c r="E1991" s="9" t="s">
        <v>1808</v>
      </c>
      <c r="F1991" t="s">
        <v>162</v>
      </c>
      <c r="G1991" t="s">
        <v>273</v>
      </c>
      <c r="H1991" t="s">
        <v>1816</v>
      </c>
    </row>
    <row r="1992" spans="1:8" x14ac:dyDescent="0.3">
      <c r="A1992" s="6">
        <v>24</v>
      </c>
      <c r="B1992" t="s">
        <v>647</v>
      </c>
      <c r="C1992" s="9" t="s">
        <v>1814</v>
      </c>
      <c r="D1992" s="9">
        <v>10000</v>
      </c>
      <c r="E1992" s="9" t="s">
        <v>1808</v>
      </c>
      <c r="F1992" t="s">
        <v>163</v>
      </c>
      <c r="G1992" t="s">
        <v>635</v>
      </c>
      <c r="H1992" t="s">
        <v>1817</v>
      </c>
    </row>
    <row r="1993" spans="1:8" x14ac:dyDescent="0.3">
      <c r="A1993" s="6">
        <v>24</v>
      </c>
      <c r="B1993" t="s">
        <v>647</v>
      </c>
      <c r="C1993" s="9" t="s">
        <v>1814</v>
      </c>
      <c r="D1993" s="9">
        <v>10000</v>
      </c>
      <c r="E1993" s="9" t="s">
        <v>1808</v>
      </c>
      <c r="F1993" t="s">
        <v>164</v>
      </c>
      <c r="G1993" t="s">
        <v>276</v>
      </c>
      <c r="H1993" t="s">
        <v>1832</v>
      </c>
    </row>
    <row r="1994" spans="1:8" x14ac:dyDescent="0.3">
      <c r="A1994" s="6">
        <v>24</v>
      </c>
      <c r="B1994" t="s">
        <v>647</v>
      </c>
      <c r="C1994" s="9" t="s">
        <v>1809</v>
      </c>
      <c r="D1994" s="9">
        <v>60</v>
      </c>
      <c r="E1994" s="9" t="s">
        <v>1804</v>
      </c>
      <c r="F1994" t="s">
        <v>78</v>
      </c>
      <c r="G1994" t="s">
        <v>1810</v>
      </c>
      <c r="H1994" t="s">
        <v>1811</v>
      </c>
    </row>
    <row r="1995" spans="1:8" x14ac:dyDescent="0.3">
      <c r="A1995" s="6">
        <v>24</v>
      </c>
      <c r="B1995" t="s">
        <v>647</v>
      </c>
      <c r="C1995" s="9" t="s">
        <v>963</v>
      </c>
      <c r="D1995" s="9">
        <v>60</v>
      </c>
      <c r="E1995" s="9" t="s">
        <v>1804</v>
      </c>
      <c r="F1995" t="s">
        <v>650</v>
      </c>
      <c r="G1995" t="s">
        <v>651</v>
      </c>
      <c r="H1995" t="s">
        <v>969</v>
      </c>
    </row>
    <row r="1996" spans="1:8" x14ac:dyDescent="0.3">
      <c r="A1996" s="6">
        <v>24</v>
      </c>
      <c r="B1996" t="s">
        <v>647</v>
      </c>
      <c r="C1996" s="9" t="s">
        <v>963</v>
      </c>
      <c r="D1996" s="9">
        <v>61</v>
      </c>
      <c r="E1996" s="9" t="s">
        <v>1804</v>
      </c>
      <c r="F1996" t="s">
        <v>324</v>
      </c>
      <c r="G1996" t="s">
        <v>193</v>
      </c>
      <c r="H1996" t="s">
        <v>1339</v>
      </c>
    </row>
    <row r="1997" spans="1:8" x14ac:dyDescent="0.3">
      <c r="A1997" s="6">
        <v>24</v>
      </c>
      <c r="B1997" t="s">
        <v>647</v>
      </c>
      <c r="C1997" s="9" t="s">
        <v>963</v>
      </c>
      <c r="D1997" s="9">
        <v>88</v>
      </c>
      <c r="E1997" s="9" t="s">
        <v>1804</v>
      </c>
      <c r="F1997" t="s">
        <v>84</v>
      </c>
      <c r="G1997" t="s">
        <v>85</v>
      </c>
      <c r="H1997" t="s">
        <v>1342</v>
      </c>
    </row>
    <row r="1998" spans="1:8" x14ac:dyDescent="0.3">
      <c r="A1998" s="6">
        <v>24</v>
      </c>
      <c r="B1998" t="s">
        <v>647</v>
      </c>
      <c r="C1998" s="9" t="s">
        <v>963</v>
      </c>
      <c r="D1998" s="9">
        <v>60</v>
      </c>
      <c r="E1998" s="9" t="s">
        <v>1804</v>
      </c>
      <c r="F1998" t="s">
        <v>612</v>
      </c>
      <c r="G1998" t="s">
        <v>613</v>
      </c>
      <c r="H1998" t="s">
        <v>1343</v>
      </c>
    </row>
    <row r="1999" spans="1:8" x14ac:dyDescent="0.3">
      <c r="A1999" s="6">
        <v>24</v>
      </c>
      <c r="B1999" t="s">
        <v>647</v>
      </c>
      <c r="C1999" s="9" t="s">
        <v>963</v>
      </c>
      <c r="D1999" s="9">
        <v>70</v>
      </c>
      <c r="E1999" s="9" t="s">
        <v>1804</v>
      </c>
      <c r="F1999" t="s">
        <v>325</v>
      </c>
      <c r="G1999" t="s">
        <v>196</v>
      </c>
      <c r="H1999" t="s">
        <v>1344</v>
      </c>
    </row>
    <row r="2000" spans="1:8" x14ac:dyDescent="0.3">
      <c r="A2000" s="6">
        <v>24</v>
      </c>
      <c r="B2000" t="s">
        <v>647</v>
      </c>
      <c r="C2000" s="9" t="s">
        <v>963</v>
      </c>
      <c r="D2000" s="9">
        <v>74</v>
      </c>
      <c r="E2000" s="9" t="s">
        <v>1804</v>
      </c>
      <c r="F2000" t="s">
        <v>87</v>
      </c>
      <c r="G2000" t="s">
        <v>88</v>
      </c>
      <c r="H2000" t="s">
        <v>1349</v>
      </c>
    </row>
    <row r="2001" spans="1:8" x14ac:dyDescent="0.3">
      <c r="A2001" s="6">
        <v>24</v>
      </c>
      <c r="B2001" t="s">
        <v>647</v>
      </c>
      <c r="C2001" s="9" t="s">
        <v>963</v>
      </c>
      <c r="D2001" s="9">
        <v>77</v>
      </c>
      <c r="E2001" s="9" t="s">
        <v>1804</v>
      </c>
      <c r="F2001" t="s">
        <v>328</v>
      </c>
      <c r="G2001" t="s">
        <v>329</v>
      </c>
      <c r="H2001" t="s">
        <v>1350</v>
      </c>
    </row>
    <row r="2002" spans="1:8" x14ac:dyDescent="0.3">
      <c r="A2002" s="6">
        <v>24</v>
      </c>
      <c r="B2002" t="s">
        <v>647</v>
      </c>
      <c r="C2002" s="9" t="s">
        <v>963</v>
      </c>
      <c r="D2002" s="9">
        <v>73</v>
      </c>
      <c r="E2002" s="9" t="s">
        <v>1804</v>
      </c>
      <c r="F2002" t="s">
        <v>90</v>
      </c>
      <c r="G2002" t="s">
        <v>15</v>
      </c>
      <c r="H2002" t="s">
        <v>1351</v>
      </c>
    </row>
    <row r="2003" spans="1:8" x14ac:dyDescent="0.3">
      <c r="A2003" s="6">
        <v>24</v>
      </c>
      <c r="B2003" t="s">
        <v>647</v>
      </c>
      <c r="C2003" s="9" t="s">
        <v>963</v>
      </c>
      <c r="D2003" s="9">
        <v>75</v>
      </c>
      <c r="E2003" s="9" t="s">
        <v>1804</v>
      </c>
      <c r="F2003" t="s">
        <v>653</v>
      </c>
      <c r="G2003" t="s">
        <v>654</v>
      </c>
      <c r="H2003" t="s">
        <v>1352</v>
      </c>
    </row>
    <row r="2004" spans="1:8" x14ac:dyDescent="0.3">
      <c r="A2004" s="6">
        <v>24</v>
      </c>
      <c r="B2004" t="s">
        <v>647</v>
      </c>
      <c r="C2004" s="9" t="s">
        <v>963</v>
      </c>
      <c r="D2004" s="9">
        <v>77</v>
      </c>
      <c r="E2004" s="9" t="s">
        <v>1804</v>
      </c>
      <c r="F2004" t="s">
        <v>91</v>
      </c>
      <c r="G2004" t="s">
        <v>92</v>
      </c>
      <c r="H2004" t="s">
        <v>1353</v>
      </c>
    </row>
    <row r="2005" spans="1:8" x14ac:dyDescent="0.3">
      <c r="A2005" s="6">
        <v>24</v>
      </c>
      <c r="B2005" t="s">
        <v>647</v>
      </c>
      <c r="C2005" s="9" t="s">
        <v>963</v>
      </c>
      <c r="D2005" s="9">
        <v>76</v>
      </c>
      <c r="E2005" s="9" t="s">
        <v>1804</v>
      </c>
      <c r="F2005" t="s">
        <v>94</v>
      </c>
      <c r="G2005" t="s">
        <v>95</v>
      </c>
      <c r="H2005" t="s">
        <v>1355</v>
      </c>
    </row>
    <row r="2006" spans="1:8" x14ac:dyDescent="0.3">
      <c r="A2006" s="6">
        <v>24</v>
      </c>
      <c r="B2006" t="s">
        <v>647</v>
      </c>
      <c r="C2006" s="9" t="s">
        <v>963</v>
      </c>
      <c r="D2006" s="9">
        <v>77</v>
      </c>
      <c r="E2006" s="9" t="s">
        <v>1804</v>
      </c>
      <c r="F2006" t="s">
        <v>98</v>
      </c>
      <c r="G2006" t="s">
        <v>99</v>
      </c>
      <c r="H2006" t="s">
        <v>1357</v>
      </c>
    </row>
    <row r="2007" spans="1:8" x14ac:dyDescent="0.3">
      <c r="A2007" s="6">
        <v>24</v>
      </c>
      <c r="B2007" t="s">
        <v>647</v>
      </c>
      <c r="C2007" s="9" t="s">
        <v>963</v>
      </c>
      <c r="D2007" s="9">
        <v>72</v>
      </c>
      <c r="E2007" s="9" t="s">
        <v>1804</v>
      </c>
      <c r="F2007" t="s">
        <v>101</v>
      </c>
      <c r="G2007" t="s">
        <v>102</v>
      </c>
      <c r="H2007" t="s">
        <v>1365</v>
      </c>
    </row>
    <row r="2008" spans="1:8" x14ac:dyDescent="0.3">
      <c r="A2008" s="6">
        <v>24</v>
      </c>
      <c r="B2008" t="s">
        <v>647</v>
      </c>
      <c r="C2008" s="9" t="s">
        <v>963</v>
      </c>
      <c r="D2008" s="9">
        <v>60</v>
      </c>
      <c r="E2008" s="9" t="s">
        <v>1804</v>
      </c>
      <c r="F2008" t="s">
        <v>400</v>
      </c>
      <c r="G2008" t="s">
        <v>401</v>
      </c>
      <c r="H2008" t="s">
        <v>1185</v>
      </c>
    </row>
    <row r="2009" spans="1:8" x14ac:dyDescent="0.3">
      <c r="A2009" s="6">
        <v>24</v>
      </c>
      <c r="B2009" t="s">
        <v>647</v>
      </c>
      <c r="C2009" s="9" t="s">
        <v>963</v>
      </c>
      <c r="D2009" s="9">
        <v>60</v>
      </c>
      <c r="E2009" s="9" t="s">
        <v>1804</v>
      </c>
      <c r="F2009" t="s">
        <v>167</v>
      </c>
      <c r="G2009" t="s">
        <v>168</v>
      </c>
      <c r="H2009" t="s">
        <v>1533</v>
      </c>
    </row>
    <row r="2010" spans="1:8" x14ac:dyDescent="0.3">
      <c r="A2010" s="6">
        <v>24</v>
      </c>
      <c r="B2010" t="s">
        <v>647</v>
      </c>
      <c r="C2010" s="9" t="s">
        <v>963</v>
      </c>
      <c r="D2010" s="9">
        <v>60</v>
      </c>
      <c r="E2010" s="9" t="s">
        <v>1804</v>
      </c>
      <c r="F2010" t="s">
        <v>170</v>
      </c>
      <c r="G2010" t="s">
        <v>171</v>
      </c>
      <c r="H2010" t="s">
        <v>1535</v>
      </c>
    </row>
    <row r="2011" spans="1:8" x14ac:dyDescent="0.3">
      <c r="A2011" s="6">
        <v>24</v>
      </c>
      <c r="B2011" t="s">
        <v>647</v>
      </c>
      <c r="C2011" s="9" t="s">
        <v>963</v>
      </c>
      <c r="D2011" s="9">
        <v>60</v>
      </c>
      <c r="E2011" s="9" t="s">
        <v>1804</v>
      </c>
      <c r="F2011" t="s">
        <v>106</v>
      </c>
      <c r="G2011" t="s">
        <v>32</v>
      </c>
      <c r="H2011" t="s">
        <v>1537</v>
      </c>
    </row>
    <row r="2012" spans="1:8" x14ac:dyDescent="0.3">
      <c r="A2012" s="6">
        <v>24</v>
      </c>
      <c r="B2012" t="s">
        <v>647</v>
      </c>
      <c r="C2012" s="9" t="s">
        <v>963</v>
      </c>
      <c r="D2012" s="9">
        <v>60</v>
      </c>
      <c r="E2012" s="9" t="s">
        <v>1804</v>
      </c>
      <c r="F2012" t="s">
        <v>656</v>
      </c>
      <c r="G2012" t="s">
        <v>504</v>
      </c>
      <c r="H2012" t="s">
        <v>1538</v>
      </c>
    </row>
    <row r="2013" spans="1:8" x14ac:dyDescent="0.3">
      <c r="A2013" s="6">
        <v>24</v>
      </c>
      <c r="B2013" t="s">
        <v>647</v>
      </c>
      <c r="C2013" s="9" t="s">
        <v>963</v>
      </c>
      <c r="D2013" s="9">
        <v>60</v>
      </c>
      <c r="E2013" s="9" t="s">
        <v>1804</v>
      </c>
      <c r="F2013" t="s">
        <v>107</v>
      </c>
      <c r="G2013" t="s">
        <v>108</v>
      </c>
      <c r="H2013" t="s">
        <v>1140</v>
      </c>
    </row>
    <row r="2014" spans="1:8" x14ac:dyDescent="0.3">
      <c r="A2014" s="6">
        <v>24</v>
      </c>
      <c r="B2014" t="s">
        <v>647</v>
      </c>
      <c r="C2014" s="9" t="s">
        <v>963</v>
      </c>
      <c r="D2014" s="9">
        <v>60</v>
      </c>
      <c r="E2014" s="9" t="s">
        <v>1804</v>
      </c>
      <c r="F2014" t="s">
        <v>351</v>
      </c>
      <c r="G2014" t="s">
        <v>38</v>
      </c>
      <c r="H2014" t="s">
        <v>1142</v>
      </c>
    </row>
    <row r="2015" spans="1:8" x14ac:dyDescent="0.3">
      <c r="A2015" s="6">
        <v>24</v>
      </c>
      <c r="B2015" t="s">
        <v>647</v>
      </c>
      <c r="C2015" s="9" t="s">
        <v>963</v>
      </c>
      <c r="D2015" s="9">
        <v>60</v>
      </c>
      <c r="E2015" s="9" t="s">
        <v>1804</v>
      </c>
      <c r="F2015" t="s">
        <v>110</v>
      </c>
      <c r="G2015" t="s">
        <v>41</v>
      </c>
      <c r="H2015" t="s">
        <v>1144</v>
      </c>
    </row>
    <row r="2016" spans="1:8" x14ac:dyDescent="0.3">
      <c r="A2016" s="6">
        <v>24</v>
      </c>
      <c r="B2016" t="s">
        <v>647</v>
      </c>
      <c r="C2016" s="9" t="s">
        <v>963</v>
      </c>
      <c r="D2016" s="9">
        <v>60</v>
      </c>
      <c r="E2016" s="9" t="s">
        <v>1804</v>
      </c>
      <c r="F2016" t="s">
        <v>114</v>
      </c>
      <c r="G2016" t="s">
        <v>115</v>
      </c>
      <c r="H2016" t="s">
        <v>1121</v>
      </c>
    </row>
    <row r="2017" spans="1:8" x14ac:dyDescent="0.3">
      <c r="A2017" s="6">
        <v>24</v>
      </c>
      <c r="B2017" t="s">
        <v>647</v>
      </c>
      <c r="C2017" s="9" t="s">
        <v>963</v>
      </c>
      <c r="D2017" s="9">
        <v>64</v>
      </c>
      <c r="E2017" s="9" t="s">
        <v>1804</v>
      </c>
      <c r="F2017" t="s">
        <v>583</v>
      </c>
      <c r="G2017" t="s">
        <v>238</v>
      </c>
      <c r="H2017" t="s">
        <v>1122</v>
      </c>
    </row>
    <row r="2018" spans="1:8" x14ac:dyDescent="0.3">
      <c r="A2018" s="6">
        <v>24</v>
      </c>
      <c r="B2018" t="s">
        <v>647</v>
      </c>
      <c r="C2018" s="9" t="s">
        <v>963</v>
      </c>
      <c r="D2018" s="9">
        <v>60</v>
      </c>
      <c r="E2018" s="9" t="s">
        <v>1804</v>
      </c>
      <c r="F2018" t="s">
        <v>615</v>
      </c>
      <c r="G2018" t="s">
        <v>616</v>
      </c>
      <c r="H2018" t="s">
        <v>1683</v>
      </c>
    </row>
    <row r="2019" spans="1:8" x14ac:dyDescent="0.3">
      <c r="A2019" s="6">
        <v>24</v>
      </c>
      <c r="B2019" t="s">
        <v>647</v>
      </c>
      <c r="C2019" s="9" t="s">
        <v>963</v>
      </c>
      <c r="D2019" s="9">
        <v>64</v>
      </c>
      <c r="E2019" s="9" t="s">
        <v>1804</v>
      </c>
      <c r="F2019" t="s">
        <v>406</v>
      </c>
      <c r="G2019" t="s">
        <v>269</v>
      </c>
      <c r="H2019" t="s">
        <v>1687</v>
      </c>
    </row>
    <row r="2020" spans="1:8" x14ac:dyDescent="0.3">
      <c r="A2020" s="6">
        <v>24</v>
      </c>
      <c r="B2020" t="s">
        <v>647</v>
      </c>
      <c r="C2020" s="9" t="s">
        <v>963</v>
      </c>
      <c r="D2020" s="9">
        <v>60</v>
      </c>
      <c r="E2020" s="9" t="s">
        <v>1804</v>
      </c>
      <c r="F2020" t="s">
        <v>644</v>
      </c>
      <c r="G2020" t="s">
        <v>645</v>
      </c>
      <c r="H2020" t="s">
        <v>1023</v>
      </c>
    </row>
    <row r="2021" spans="1:8" x14ac:dyDescent="0.3">
      <c r="A2021" s="6">
        <v>24</v>
      </c>
      <c r="B2021" t="s">
        <v>647</v>
      </c>
      <c r="C2021" s="9" t="s">
        <v>963</v>
      </c>
      <c r="D2021" s="9">
        <v>64</v>
      </c>
      <c r="E2021" s="9" t="s">
        <v>1804</v>
      </c>
      <c r="F2021" t="s">
        <v>121</v>
      </c>
      <c r="G2021" t="s">
        <v>122</v>
      </c>
      <c r="H2021" t="s">
        <v>1125</v>
      </c>
    </row>
    <row r="2022" spans="1:8" x14ac:dyDescent="0.3">
      <c r="A2022" s="6">
        <v>24</v>
      </c>
      <c r="B2022" t="s">
        <v>647</v>
      </c>
      <c r="C2022" s="9" t="s">
        <v>963</v>
      </c>
      <c r="D2022" s="9">
        <v>64</v>
      </c>
      <c r="E2022" s="9" t="s">
        <v>1804</v>
      </c>
      <c r="F2022" t="s">
        <v>125</v>
      </c>
      <c r="G2022" t="s">
        <v>126</v>
      </c>
      <c r="H2022" t="s">
        <v>1581</v>
      </c>
    </row>
    <row r="2023" spans="1:8" x14ac:dyDescent="0.3">
      <c r="A2023" s="6">
        <v>24</v>
      </c>
      <c r="B2023" t="s">
        <v>647</v>
      </c>
      <c r="C2023" s="9" t="s">
        <v>963</v>
      </c>
      <c r="D2023" s="9">
        <v>60</v>
      </c>
      <c r="E2023" s="9" t="s">
        <v>1804</v>
      </c>
      <c r="F2023" t="s">
        <v>128</v>
      </c>
      <c r="G2023" t="s">
        <v>129</v>
      </c>
      <c r="H2023" t="s">
        <v>1582</v>
      </c>
    </row>
    <row r="2024" spans="1:8" x14ac:dyDescent="0.3">
      <c r="A2024" s="6">
        <v>24</v>
      </c>
      <c r="B2024" t="s">
        <v>647</v>
      </c>
      <c r="C2024" s="9" t="s">
        <v>1809</v>
      </c>
      <c r="D2024" s="9">
        <v>0</v>
      </c>
      <c r="E2024" s="9" t="s">
        <v>1804</v>
      </c>
      <c r="F2024" t="s">
        <v>657</v>
      </c>
      <c r="G2024" t="s">
        <v>1829</v>
      </c>
      <c r="H2024" t="s">
        <v>1830</v>
      </c>
    </row>
    <row r="2025" spans="1:8" x14ac:dyDescent="0.3">
      <c r="A2025" s="6">
        <v>24</v>
      </c>
      <c r="B2025" t="s">
        <v>647</v>
      </c>
      <c r="C2025" s="9" t="s">
        <v>963</v>
      </c>
      <c r="D2025" s="9">
        <v>0</v>
      </c>
      <c r="E2025" s="9" t="s">
        <v>1804</v>
      </c>
      <c r="F2025" t="s">
        <v>657</v>
      </c>
      <c r="G2025" t="s">
        <v>1829</v>
      </c>
      <c r="H2025" t="s">
        <v>1830</v>
      </c>
    </row>
    <row r="2026" spans="1:8" x14ac:dyDescent="0.3">
      <c r="A2026" s="6">
        <v>24</v>
      </c>
      <c r="B2026" t="s">
        <v>647</v>
      </c>
      <c r="C2026" s="9" t="s">
        <v>932</v>
      </c>
      <c r="D2026" s="9">
        <v>0</v>
      </c>
      <c r="E2026" s="9" t="s">
        <v>1804</v>
      </c>
      <c r="F2026" t="s">
        <v>657</v>
      </c>
      <c r="G2026" t="s">
        <v>1829</v>
      </c>
      <c r="H2026" t="s">
        <v>1830</v>
      </c>
    </row>
    <row r="2027" spans="1:8" x14ac:dyDescent="0.3">
      <c r="A2027" s="6">
        <v>24</v>
      </c>
      <c r="B2027" t="s">
        <v>647</v>
      </c>
      <c r="C2027" s="9" t="s">
        <v>1809</v>
      </c>
      <c r="D2027" s="9">
        <v>0</v>
      </c>
      <c r="E2027" s="9" t="s">
        <v>1804</v>
      </c>
      <c r="F2027" t="s">
        <v>658</v>
      </c>
      <c r="G2027" t="s">
        <v>1829</v>
      </c>
      <c r="H2027" t="s">
        <v>1830</v>
      </c>
    </row>
    <row r="2028" spans="1:8" x14ac:dyDescent="0.3">
      <c r="A2028" s="6">
        <v>24</v>
      </c>
      <c r="B2028" t="s">
        <v>647</v>
      </c>
      <c r="C2028" s="9" t="s">
        <v>963</v>
      </c>
      <c r="D2028" s="9">
        <v>0</v>
      </c>
      <c r="E2028" s="9" t="s">
        <v>1804</v>
      </c>
      <c r="F2028" t="s">
        <v>658</v>
      </c>
      <c r="G2028" t="s">
        <v>1829</v>
      </c>
      <c r="H2028" t="s">
        <v>1830</v>
      </c>
    </row>
    <row r="2029" spans="1:8" x14ac:dyDescent="0.3">
      <c r="A2029" s="6">
        <v>24</v>
      </c>
      <c r="B2029" t="s">
        <v>647</v>
      </c>
      <c r="C2029" s="9" t="s">
        <v>932</v>
      </c>
      <c r="D2029" s="9">
        <v>0</v>
      </c>
      <c r="E2029" s="9" t="s">
        <v>1804</v>
      </c>
      <c r="F2029" t="s">
        <v>658</v>
      </c>
      <c r="G2029" t="s">
        <v>1829</v>
      </c>
      <c r="H2029" t="s">
        <v>1830</v>
      </c>
    </row>
    <row r="2030" spans="1:8" x14ac:dyDescent="0.3">
      <c r="A2030" s="6">
        <v>24</v>
      </c>
      <c r="B2030" t="s">
        <v>647</v>
      </c>
      <c r="C2030" s="9" t="s">
        <v>963</v>
      </c>
      <c r="D2030" s="9">
        <v>0</v>
      </c>
      <c r="E2030" s="9" t="s">
        <v>1804</v>
      </c>
      <c r="F2030" t="s">
        <v>659</v>
      </c>
      <c r="G2030" t="s">
        <v>1829</v>
      </c>
      <c r="H2030" t="s">
        <v>1830</v>
      </c>
    </row>
    <row r="2031" spans="1:8" x14ac:dyDescent="0.3">
      <c r="A2031" s="6">
        <v>24</v>
      </c>
      <c r="B2031" t="s">
        <v>647</v>
      </c>
      <c r="C2031" s="9" t="s">
        <v>932</v>
      </c>
      <c r="D2031" s="9">
        <v>0</v>
      </c>
      <c r="E2031" s="9" t="s">
        <v>1804</v>
      </c>
      <c r="F2031" t="s">
        <v>659</v>
      </c>
      <c r="G2031" t="s">
        <v>1829</v>
      </c>
      <c r="H2031" t="s">
        <v>1830</v>
      </c>
    </row>
    <row r="2032" spans="1:8" x14ac:dyDescent="0.3">
      <c r="A2032" s="6">
        <v>24</v>
      </c>
      <c r="B2032" t="s">
        <v>647</v>
      </c>
      <c r="C2032" s="9" t="s">
        <v>932</v>
      </c>
      <c r="D2032" s="9">
        <v>0</v>
      </c>
      <c r="E2032" s="9" t="s">
        <v>1804</v>
      </c>
      <c r="F2032" t="s">
        <v>660</v>
      </c>
      <c r="G2032" t="s">
        <v>1829</v>
      </c>
      <c r="H2032" t="s">
        <v>1830</v>
      </c>
    </row>
    <row r="2033" spans="1:8" x14ac:dyDescent="0.3">
      <c r="A2033" s="6">
        <v>24</v>
      </c>
      <c r="B2033" t="s">
        <v>647</v>
      </c>
      <c r="C2033" s="9" t="s">
        <v>1809</v>
      </c>
      <c r="D2033" s="9">
        <v>0</v>
      </c>
      <c r="E2033" s="9" t="s">
        <v>1804</v>
      </c>
      <c r="F2033" t="s">
        <v>379</v>
      </c>
      <c r="G2033" t="s">
        <v>1829</v>
      </c>
      <c r="H2033" t="s">
        <v>1830</v>
      </c>
    </row>
    <row r="2034" spans="1:8" x14ac:dyDescent="0.3">
      <c r="A2034" s="6">
        <v>24</v>
      </c>
      <c r="B2034" t="s">
        <v>647</v>
      </c>
      <c r="C2034" s="9" t="s">
        <v>963</v>
      </c>
      <c r="D2034" s="9">
        <v>0</v>
      </c>
      <c r="E2034" s="9" t="s">
        <v>1804</v>
      </c>
      <c r="F2034" t="s">
        <v>379</v>
      </c>
      <c r="G2034" t="s">
        <v>1829</v>
      </c>
      <c r="H2034" t="s">
        <v>1830</v>
      </c>
    </row>
    <row r="2035" spans="1:8" x14ac:dyDescent="0.3">
      <c r="A2035" s="6">
        <v>24</v>
      </c>
      <c r="B2035" t="s">
        <v>647</v>
      </c>
      <c r="C2035" s="9" t="s">
        <v>1806</v>
      </c>
      <c r="D2035" s="9">
        <v>0</v>
      </c>
      <c r="E2035" s="9" t="s">
        <v>1804</v>
      </c>
      <c r="F2035" t="s">
        <v>379</v>
      </c>
      <c r="G2035" t="s">
        <v>1829</v>
      </c>
      <c r="H2035" t="s">
        <v>1830</v>
      </c>
    </row>
    <row r="2036" spans="1:8" x14ac:dyDescent="0.3">
      <c r="A2036" s="6">
        <v>24</v>
      </c>
      <c r="B2036" t="s">
        <v>647</v>
      </c>
      <c r="C2036" s="9" t="s">
        <v>932</v>
      </c>
      <c r="D2036" s="9">
        <v>0</v>
      </c>
      <c r="E2036" s="9" t="s">
        <v>1804</v>
      </c>
      <c r="F2036" t="s">
        <v>379</v>
      </c>
      <c r="G2036" t="s">
        <v>1829</v>
      </c>
      <c r="H2036" t="s">
        <v>1830</v>
      </c>
    </row>
    <row r="2037" spans="1:8" x14ac:dyDescent="0.3">
      <c r="A2037" s="6">
        <v>24</v>
      </c>
      <c r="B2037" t="s">
        <v>647</v>
      </c>
      <c r="C2037" s="9" t="s">
        <v>1809</v>
      </c>
      <c r="D2037" s="9">
        <v>0</v>
      </c>
      <c r="E2037" s="9" t="s">
        <v>1804</v>
      </c>
      <c r="F2037" t="s">
        <v>661</v>
      </c>
      <c r="G2037" t="s">
        <v>1829</v>
      </c>
      <c r="H2037" t="s">
        <v>1830</v>
      </c>
    </row>
    <row r="2038" spans="1:8" x14ac:dyDescent="0.3">
      <c r="A2038" s="6">
        <v>24</v>
      </c>
      <c r="B2038" t="s">
        <v>647</v>
      </c>
      <c r="C2038" s="9" t="s">
        <v>963</v>
      </c>
      <c r="D2038" s="9">
        <v>0</v>
      </c>
      <c r="E2038" s="9" t="s">
        <v>1804</v>
      </c>
      <c r="F2038" t="s">
        <v>661</v>
      </c>
      <c r="G2038" t="s">
        <v>1829</v>
      </c>
      <c r="H2038" t="s">
        <v>1830</v>
      </c>
    </row>
    <row r="2039" spans="1:8" x14ac:dyDescent="0.3">
      <c r="A2039" s="6">
        <v>24</v>
      </c>
      <c r="B2039" t="s">
        <v>647</v>
      </c>
      <c r="C2039" s="9" t="s">
        <v>932</v>
      </c>
      <c r="D2039" s="9">
        <v>0</v>
      </c>
      <c r="E2039" s="9" t="s">
        <v>1804</v>
      </c>
      <c r="F2039" t="s">
        <v>661</v>
      </c>
      <c r="G2039" t="s">
        <v>1829</v>
      </c>
      <c r="H2039" t="s">
        <v>1830</v>
      </c>
    </row>
    <row r="2040" spans="1:8" x14ac:dyDescent="0.3">
      <c r="A2040" s="6">
        <v>25</v>
      </c>
      <c r="B2040" t="s">
        <v>618</v>
      </c>
      <c r="C2040" s="9" t="s">
        <v>932</v>
      </c>
      <c r="D2040" s="9">
        <v>32</v>
      </c>
      <c r="E2040" s="9" t="s">
        <v>1804</v>
      </c>
      <c r="F2040" t="s">
        <v>619</v>
      </c>
      <c r="G2040" t="s">
        <v>620</v>
      </c>
      <c r="H2040" t="s">
        <v>1326</v>
      </c>
    </row>
    <row r="2041" spans="1:8" x14ac:dyDescent="0.3">
      <c r="A2041" s="6">
        <v>25</v>
      </c>
      <c r="B2041" t="s">
        <v>618</v>
      </c>
      <c r="C2041" s="9" t="s">
        <v>932</v>
      </c>
      <c r="D2041" s="9">
        <v>37</v>
      </c>
      <c r="E2041" s="9" t="s">
        <v>1804</v>
      </c>
      <c r="F2041" t="s">
        <v>198</v>
      </c>
      <c r="G2041" t="s">
        <v>196</v>
      </c>
      <c r="H2041" t="s">
        <v>1267</v>
      </c>
    </row>
    <row r="2042" spans="1:8" x14ac:dyDescent="0.3">
      <c r="A2042" s="6">
        <v>25</v>
      </c>
      <c r="B2042" t="s">
        <v>618</v>
      </c>
      <c r="C2042" s="9" t="s">
        <v>1266</v>
      </c>
      <c r="D2042" s="9">
        <v>40</v>
      </c>
      <c r="E2042" s="9" t="s">
        <v>1804</v>
      </c>
      <c r="F2042" t="s">
        <v>11</v>
      </c>
      <c r="G2042" t="s">
        <v>12</v>
      </c>
      <c r="H2042" t="s">
        <v>1277</v>
      </c>
    </row>
    <row r="2043" spans="1:8" x14ac:dyDescent="0.3">
      <c r="A2043" s="6">
        <v>25</v>
      </c>
      <c r="B2043" t="s">
        <v>618</v>
      </c>
      <c r="C2043" s="9" t="s">
        <v>932</v>
      </c>
      <c r="D2043" s="9">
        <v>42</v>
      </c>
      <c r="E2043" s="9" t="s">
        <v>1804</v>
      </c>
      <c r="F2043" t="s">
        <v>14</v>
      </c>
      <c r="G2043" t="s">
        <v>15</v>
      </c>
      <c r="H2043" t="s">
        <v>1290</v>
      </c>
    </row>
    <row r="2044" spans="1:8" x14ac:dyDescent="0.3">
      <c r="A2044" s="6">
        <v>25</v>
      </c>
      <c r="B2044" t="s">
        <v>618</v>
      </c>
      <c r="C2044" s="9" t="s">
        <v>932</v>
      </c>
      <c r="D2044" s="9">
        <v>12</v>
      </c>
      <c r="E2044" s="9" t="s">
        <v>1804</v>
      </c>
      <c r="F2044" t="s">
        <v>204</v>
      </c>
      <c r="G2044" t="s">
        <v>15</v>
      </c>
      <c r="H2044" t="s">
        <v>1292</v>
      </c>
    </row>
    <row r="2045" spans="1:8" x14ac:dyDescent="0.3">
      <c r="A2045" s="6">
        <v>25</v>
      </c>
      <c r="B2045" t="s">
        <v>618</v>
      </c>
      <c r="C2045" s="9" t="s">
        <v>932</v>
      </c>
      <c r="D2045" s="9">
        <v>12</v>
      </c>
      <c r="E2045" s="9" t="s">
        <v>1804</v>
      </c>
      <c r="F2045" t="s">
        <v>622</v>
      </c>
      <c r="G2045" t="s">
        <v>401</v>
      </c>
      <c r="H2045" t="s">
        <v>1178</v>
      </c>
    </row>
    <row r="2046" spans="1:8" x14ac:dyDescent="0.3">
      <c r="A2046" s="6">
        <v>25</v>
      </c>
      <c r="B2046" t="s">
        <v>618</v>
      </c>
      <c r="C2046" s="9" t="s">
        <v>932</v>
      </c>
      <c r="D2046" s="9">
        <v>36</v>
      </c>
      <c r="E2046" s="9" t="s">
        <v>1804</v>
      </c>
      <c r="F2046" t="s">
        <v>28</v>
      </c>
      <c r="G2046" t="s">
        <v>29</v>
      </c>
      <c r="H2046" t="s">
        <v>1180</v>
      </c>
    </row>
    <row r="2047" spans="1:8" x14ac:dyDescent="0.3">
      <c r="A2047" s="6">
        <v>25</v>
      </c>
      <c r="B2047" t="s">
        <v>618</v>
      </c>
      <c r="C2047" s="9" t="s">
        <v>932</v>
      </c>
      <c r="D2047" s="9">
        <v>12</v>
      </c>
      <c r="E2047" s="9" t="s">
        <v>1804</v>
      </c>
      <c r="F2047" t="s">
        <v>483</v>
      </c>
      <c r="G2047" t="s">
        <v>29</v>
      </c>
      <c r="H2047" t="s">
        <v>1182</v>
      </c>
    </row>
    <row r="2048" spans="1:8" x14ac:dyDescent="0.3">
      <c r="A2048" s="6">
        <v>25</v>
      </c>
      <c r="B2048" t="s">
        <v>618</v>
      </c>
      <c r="C2048" s="9" t="s">
        <v>932</v>
      </c>
      <c r="D2048" s="9">
        <v>12</v>
      </c>
      <c r="E2048" s="9" t="s">
        <v>1804</v>
      </c>
      <c r="F2048" t="s">
        <v>588</v>
      </c>
      <c r="G2048" t="s">
        <v>29</v>
      </c>
      <c r="H2048" t="s">
        <v>1183</v>
      </c>
    </row>
    <row r="2049" spans="1:8" x14ac:dyDescent="0.3">
      <c r="A2049" s="6">
        <v>25</v>
      </c>
      <c r="B2049" t="s">
        <v>618</v>
      </c>
      <c r="C2049" s="9" t="s">
        <v>932</v>
      </c>
      <c r="D2049" s="9">
        <v>12</v>
      </c>
      <c r="E2049" s="9" t="s">
        <v>1804</v>
      </c>
      <c r="F2049" t="s">
        <v>589</v>
      </c>
      <c r="G2049" t="s">
        <v>29</v>
      </c>
      <c r="H2049" t="s">
        <v>1184</v>
      </c>
    </row>
    <row r="2050" spans="1:8" x14ac:dyDescent="0.3">
      <c r="A2050" s="6">
        <v>25</v>
      </c>
      <c r="B2050" t="s">
        <v>618</v>
      </c>
      <c r="C2050" s="9" t="s">
        <v>1807</v>
      </c>
      <c r="D2050" s="9">
        <v>600</v>
      </c>
      <c r="E2050" s="9" t="s">
        <v>1808</v>
      </c>
      <c r="F2050" t="s">
        <v>623</v>
      </c>
      <c r="G2050" t="s">
        <v>29</v>
      </c>
      <c r="H2050" t="s">
        <v>1185</v>
      </c>
    </row>
    <row r="2051" spans="1:8" x14ac:dyDescent="0.3">
      <c r="A2051" s="6">
        <v>25</v>
      </c>
      <c r="B2051" t="s">
        <v>618</v>
      </c>
      <c r="C2051" s="9" t="s">
        <v>932</v>
      </c>
      <c r="D2051" s="9">
        <v>39</v>
      </c>
      <c r="E2051" s="9" t="s">
        <v>1804</v>
      </c>
      <c r="F2051" t="s">
        <v>417</v>
      </c>
      <c r="G2051" t="s">
        <v>215</v>
      </c>
      <c r="H2051" t="s">
        <v>1028</v>
      </c>
    </row>
    <row r="2052" spans="1:8" x14ac:dyDescent="0.3">
      <c r="A2052" s="6">
        <v>25</v>
      </c>
      <c r="B2052" t="s">
        <v>618</v>
      </c>
      <c r="C2052" s="9" t="s">
        <v>932</v>
      </c>
      <c r="D2052" s="9">
        <v>12</v>
      </c>
      <c r="E2052" s="9" t="s">
        <v>1804</v>
      </c>
      <c r="F2052" t="s">
        <v>214</v>
      </c>
      <c r="G2052" t="s">
        <v>215</v>
      </c>
      <c r="H2052" t="s">
        <v>1029</v>
      </c>
    </row>
    <row r="2053" spans="1:8" x14ac:dyDescent="0.3">
      <c r="A2053" s="6">
        <v>25</v>
      </c>
      <c r="B2053" t="s">
        <v>618</v>
      </c>
      <c r="C2053" s="9" t="s">
        <v>932</v>
      </c>
      <c r="D2053" s="9">
        <v>18</v>
      </c>
      <c r="E2053" s="9" t="s">
        <v>1804</v>
      </c>
      <c r="F2053" t="s">
        <v>217</v>
      </c>
      <c r="G2053" t="s">
        <v>168</v>
      </c>
      <c r="H2053" t="s">
        <v>1442</v>
      </c>
    </row>
    <row r="2054" spans="1:8" x14ac:dyDescent="0.3">
      <c r="A2054" s="6">
        <v>25</v>
      </c>
      <c r="B2054" t="s">
        <v>618</v>
      </c>
      <c r="C2054" s="9" t="s">
        <v>932</v>
      </c>
      <c r="D2054" s="9">
        <v>27</v>
      </c>
      <c r="E2054" s="9" t="s">
        <v>1804</v>
      </c>
      <c r="F2054" t="s">
        <v>218</v>
      </c>
      <c r="G2054" t="s">
        <v>168</v>
      </c>
      <c r="H2054" t="s">
        <v>1443</v>
      </c>
    </row>
    <row r="2055" spans="1:8" x14ac:dyDescent="0.3">
      <c r="A2055" s="6">
        <v>25</v>
      </c>
      <c r="B2055" t="s">
        <v>618</v>
      </c>
      <c r="C2055" s="9" t="s">
        <v>932</v>
      </c>
      <c r="D2055" s="9">
        <v>18</v>
      </c>
      <c r="E2055" s="9" t="s">
        <v>1804</v>
      </c>
      <c r="F2055" t="s">
        <v>389</v>
      </c>
      <c r="G2055" t="s">
        <v>171</v>
      </c>
      <c r="H2055" t="s">
        <v>1447</v>
      </c>
    </row>
    <row r="2056" spans="1:8" x14ac:dyDescent="0.3">
      <c r="A2056" s="6">
        <v>25</v>
      </c>
      <c r="B2056" t="s">
        <v>618</v>
      </c>
      <c r="C2056" s="9" t="s">
        <v>932</v>
      </c>
      <c r="D2056" s="9">
        <v>33</v>
      </c>
      <c r="E2056" s="9" t="s">
        <v>1804</v>
      </c>
      <c r="F2056" t="s">
        <v>390</v>
      </c>
      <c r="G2056" t="s">
        <v>391</v>
      </c>
      <c r="H2056" t="s">
        <v>1449</v>
      </c>
    </row>
    <row r="2057" spans="1:8" x14ac:dyDescent="0.3">
      <c r="A2057" s="6">
        <v>25</v>
      </c>
      <c r="B2057" t="s">
        <v>618</v>
      </c>
      <c r="C2057" s="9" t="s">
        <v>932</v>
      </c>
      <c r="D2057" s="9">
        <v>24</v>
      </c>
      <c r="E2057" s="9" t="s">
        <v>1804</v>
      </c>
      <c r="F2057" t="s">
        <v>31</v>
      </c>
      <c r="G2057" t="s">
        <v>32</v>
      </c>
      <c r="H2057" t="s">
        <v>1483</v>
      </c>
    </row>
    <row r="2058" spans="1:8" x14ac:dyDescent="0.3">
      <c r="A2058" s="6">
        <v>25</v>
      </c>
      <c r="B2058" t="s">
        <v>618</v>
      </c>
      <c r="C2058" s="9" t="s">
        <v>932</v>
      </c>
      <c r="D2058" s="9">
        <v>32</v>
      </c>
      <c r="E2058" s="9" t="s">
        <v>1804</v>
      </c>
      <c r="F2058" t="s">
        <v>219</v>
      </c>
      <c r="G2058" t="s">
        <v>32</v>
      </c>
      <c r="H2058" t="s">
        <v>1484</v>
      </c>
    </row>
    <row r="2059" spans="1:8" x14ac:dyDescent="0.3">
      <c r="A2059" s="6">
        <v>25</v>
      </c>
      <c r="B2059" t="s">
        <v>618</v>
      </c>
      <c r="C2059" s="9" t="s">
        <v>932</v>
      </c>
      <c r="D2059" s="9">
        <v>21</v>
      </c>
      <c r="E2059" s="9" t="s">
        <v>1804</v>
      </c>
      <c r="F2059" t="s">
        <v>34</v>
      </c>
      <c r="G2059" t="s">
        <v>32</v>
      </c>
      <c r="H2059" t="s">
        <v>1485</v>
      </c>
    </row>
    <row r="2060" spans="1:8" x14ac:dyDescent="0.3">
      <c r="A2060" s="6">
        <v>25</v>
      </c>
      <c r="B2060" t="s">
        <v>618</v>
      </c>
      <c r="C2060" s="9" t="s">
        <v>932</v>
      </c>
      <c r="D2060" s="9">
        <v>24</v>
      </c>
      <c r="E2060" s="9" t="s">
        <v>1804</v>
      </c>
      <c r="F2060" t="s">
        <v>542</v>
      </c>
      <c r="G2060" t="s">
        <v>32</v>
      </c>
      <c r="H2060" t="s">
        <v>1487</v>
      </c>
    </row>
    <row r="2061" spans="1:8" x14ac:dyDescent="0.3">
      <c r="A2061" s="6">
        <v>25</v>
      </c>
      <c r="B2061" t="s">
        <v>618</v>
      </c>
      <c r="C2061" s="9" t="s">
        <v>932</v>
      </c>
      <c r="D2061" s="9">
        <v>32</v>
      </c>
      <c r="E2061" s="9" t="s">
        <v>1804</v>
      </c>
      <c r="F2061" t="s">
        <v>222</v>
      </c>
      <c r="G2061" t="s">
        <v>32</v>
      </c>
      <c r="H2061" t="s">
        <v>1491</v>
      </c>
    </row>
    <row r="2062" spans="1:8" x14ac:dyDescent="0.3">
      <c r="A2062" s="6">
        <v>25</v>
      </c>
      <c r="B2062" t="s">
        <v>618</v>
      </c>
      <c r="C2062" s="9" t="s">
        <v>932</v>
      </c>
      <c r="D2062" s="9">
        <v>21</v>
      </c>
      <c r="E2062" s="9" t="s">
        <v>1804</v>
      </c>
      <c r="F2062" t="s">
        <v>36</v>
      </c>
      <c r="G2062" t="s">
        <v>32</v>
      </c>
      <c r="H2062" t="s">
        <v>1492</v>
      </c>
    </row>
    <row r="2063" spans="1:8" x14ac:dyDescent="0.3">
      <c r="A2063" s="6">
        <v>25</v>
      </c>
      <c r="B2063" t="s">
        <v>618</v>
      </c>
      <c r="C2063" s="9" t="s">
        <v>932</v>
      </c>
      <c r="D2063" s="9">
        <v>12</v>
      </c>
      <c r="E2063" s="9" t="s">
        <v>1804</v>
      </c>
      <c r="F2063" t="s">
        <v>153</v>
      </c>
      <c r="G2063" t="s">
        <v>108</v>
      </c>
      <c r="H2063" t="s">
        <v>1150</v>
      </c>
    </row>
    <row r="2064" spans="1:8" x14ac:dyDescent="0.3">
      <c r="A2064" s="6">
        <v>25</v>
      </c>
      <c r="B2064" t="s">
        <v>618</v>
      </c>
      <c r="C2064" s="9" t="s">
        <v>932</v>
      </c>
      <c r="D2064" s="9">
        <v>18</v>
      </c>
      <c r="E2064" s="9" t="s">
        <v>1804</v>
      </c>
      <c r="F2064" t="s">
        <v>154</v>
      </c>
      <c r="G2064" t="s">
        <v>108</v>
      </c>
      <c r="H2064" t="s">
        <v>1151</v>
      </c>
    </row>
    <row r="2065" spans="1:8" x14ac:dyDescent="0.3">
      <c r="A2065" s="6">
        <v>25</v>
      </c>
      <c r="B2065" t="s">
        <v>618</v>
      </c>
      <c r="C2065" s="9" t="s">
        <v>932</v>
      </c>
      <c r="D2065" s="9">
        <v>21</v>
      </c>
      <c r="E2065" s="9" t="s">
        <v>1804</v>
      </c>
      <c r="F2065" t="s">
        <v>507</v>
      </c>
      <c r="G2065" t="s">
        <v>108</v>
      </c>
      <c r="H2065" t="s">
        <v>1154</v>
      </c>
    </row>
    <row r="2066" spans="1:8" x14ac:dyDescent="0.3">
      <c r="A2066" s="6">
        <v>25</v>
      </c>
      <c r="B2066" t="s">
        <v>618</v>
      </c>
      <c r="C2066" s="9" t="s">
        <v>932</v>
      </c>
      <c r="D2066" s="9">
        <v>27</v>
      </c>
      <c r="E2066" s="9" t="s">
        <v>1804</v>
      </c>
      <c r="F2066" t="s">
        <v>37</v>
      </c>
      <c r="G2066" t="s">
        <v>38</v>
      </c>
      <c r="H2066" t="s">
        <v>1164</v>
      </c>
    </row>
    <row r="2067" spans="1:8" x14ac:dyDescent="0.3">
      <c r="A2067" s="6">
        <v>25</v>
      </c>
      <c r="B2067" t="s">
        <v>618</v>
      </c>
      <c r="C2067" s="9" t="s">
        <v>932</v>
      </c>
      <c r="D2067" s="9">
        <v>12</v>
      </c>
      <c r="E2067" s="9" t="s">
        <v>1804</v>
      </c>
      <c r="F2067" t="s">
        <v>226</v>
      </c>
      <c r="G2067" t="s">
        <v>38</v>
      </c>
      <c r="H2067" t="s">
        <v>1165</v>
      </c>
    </row>
    <row r="2068" spans="1:8" x14ac:dyDescent="0.3">
      <c r="A2068" s="6">
        <v>25</v>
      </c>
      <c r="B2068" t="s">
        <v>618</v>
      </c>
      <c r="C2068" s="9" t="s">
        <v>932</v>
      </c>
      <c r="D2068" s="9">
        <v>18</v>
      </c>
      <c r="E2068" s="9" t="s">
        <v>1804</v>
      </c>
      <c r="F2068" t="s">
        <v>227</v>
      </c>
      <c r="G2068" t="s">
        <v>41</v>
      </c>
      <c r="H2068" t="s">
        <v>1167</v>
      </c>
    </row>
    <row r="2069" spans="1:8" x14ac:dyDescent="0.3">
      <c r="A2069" s="6">
        <v>25</v>
      </c>
      <c r="B2069" t="s">
        <v>618</v>
      </c>
      <c r="C2069" s="9" t="s">
        <v>932</v>
      </c>
      <c r="D2069" s="9">
        <v>12</v>
      </c>
      <c r="E2069" s="9" t="s">
        <v>1804</v>
      </c>
      <c r="F2069" t="s">
        <v>228</v>
      </c>
      <c r="G2069" t="s">
        <v>41</v>
      </c>
      <c r="H2069" t="s">
        <v>1168</v>
      </c>
    </row>
    <row r="2070" spans="1:8" x14ac:dyDescent="0.3">
      <c r="A2070" s="6">
        <v>25</v>
      </c>
      <c r="B2070" t="s">
        <v>618</v>
      </c>
      <c r="C2070" s="9" t="s">
        <v>932</v>
      </c>
      <c r="D2070" s="9">
        <v>27</v>
      </c>
      <c r="E2070" s="9" t="s">
        <v>1804</v>
      </c>
      <c r="F2070" t="s">
        <v>40</v>
      </c>
      <c r="G2070" t="s">
        <v>41</v>
      </c>
      <c r="H2070" t="s">
        <v>1169</v>
      </c>
    </row>
    <row r="2071" spans="1:8" x14ac:dyDescent="0.3">
      <c r="A2071" s="6">
        <v>25</v>
      </c>
      <c r="B2071" t="s">
        <v>618</v>
      </c>
      <c r="C2071" s="9" t="s">
        <v>932</v>
      </c>
      <c r="D2071" s="9">
        <v>18</v>
      </c>
      <c r="E2071" s="9" t="s">
        <v>1804</v>
      </c>
      <c r="F2071" t="s">
        <v>229</v>
      </c>
      <c r="G2071" t="s">
        <v>230</v>
      </c>
      <c r="H2071" t="s">
        <v>1170</v>
      </c>
    </row>
    <row r="2072" spans="1:8" x14ac:dyDescent="0.3">
      <c r="A2072" s="6">
        <v>25</v>
      </c>
      <c r="B2072" t="s">
        <v>618</v>
      </c>
      <c r="C2072" s="9" t="s">
        <v>932</v>
      </c>
      <c r="D2072" s="9">
        <v>24</v>
      </c>
      <c r="E2072" s="9" t="s">
        <v>1804</v>
      </c>
      <c r="F2072" t="s">
        <v>232</v>
      </c>
      <c r="G2072" t="s">
        <v>144</v>
      </c>
      <c r="H2072" t="s">
        <v>1171</v>
      </c>
    </row>
    <row r="2073" spans="1:8" x14ac:dyDescent="0.3">
      <c r="A2073" s="6">
        <v>25</v>
      </c>
      <c r="B2073" t="s">
        <v>618</v>
      </c>
      <c r="C2073" s="9" t="s">
        <v>932</v>
      </c>
      <c r="D2073" s="9">
        <v>12</v>
      </c>
      <c r="E2073" s="9" t="s">
        <v>1804</v>
      </c>
      <c r="F2073" t="s">
        <v>233</v>
      </c>
      <c r="G2073" t="s">
        <v>112</v>
      </c>
      <c r="H2073" t="s">
        <v>1146</v>
      </c>
    </row>
    <row r="2074" spans="1:8" x14ac:dyDescent="0.3">
      <c r="A2074" s="6">
        <v>25</v>
      </c>
      <c r="B2074" t="s">
        <v>618</v>
      </c>
      <c r="C2074" s="9" t="s">
        <v>932</v>
      </c>
      <c r="D2074" s="9">
        <v>25</v>
      </c>
      <c r="E2074" s="9" t="s">
        <v>1804</v>
      </c>
      <c r="F2074" t="s">
        <v>624</v>
      </c>
      <c r="G2074" t="s">
        <v>112</v>
      </c>
      <c r="H2074" t="s">
        <v>1173</v>
      </c>
    </row>
    <row r="2075" spans="1:8" x14ac:dyDescent="0.3">
      <c r="A2075" s="6">
        <v>25</v>
      </c>
      <c r="B2075" t="s">
        <v>618</v>
      </c>
      <c r="C2075" s="9" t="s">
        <v>932</v>
      </c>
      <c r="D2075" s="9">
        <v>24</v>
      </c>
      <c r="E2075" s="9" t="s">
        <v>1804</v>
      </c>
      <c r="F2075" t="s">
        <v>544</v>
      </c>
      <c r="G2075" t="s">
        <v>545</v>
      </c>
      <c r="H2075" t="s">
        <v>1042</v>
      </c>
    </row>
    <row r="2076" spans="1:8" x14ac:dyDescent="0.3">
      <c r="A2076" s="6">
        <v>25</v>
      </c>
      <c r="B2076" t="s">
        <v>618</v>
      </c>
      <c r="C2076" s="9" t="s">
        <v>932</v>
      </c>
      <c r="D2076" s="9">
        <v>12</v>
      </c>
      <c r="E2076" s="9" t="s">
        <v>1804</v>
      </c>
      <c r="F2076" t="s">
        <v>511</v>
      </c>
      <c r="G2076" t="s">
        <v>235</v>
      </c>
      <c r="H2076" t="s">
        <v>1046</v>
      </c>
    </row>
    <row r="2077" spans="1:8" x14ac:dyDescent="0.3">
      <c r="A2077" s="6">
        <v>25</v>
      </c>
      <c r="B2077" t="s">
        <v>618</v>
      </c>
      <c r="C2077" s="9" t="s">
        <v>932</v>
      </c>
      <c r="D2077" s="9">
        <v>15</v>
      </c>
      <c r="E2077" s="9" t="s">
        <v>1804</v>
      </c>
      <c r="F2077" t="s">
        <v>625</v>
      </c>
      <c r="G2077" t="s">
        <v>235</v>
      </c>
      <c r="H2077" t="s">
        <v>1048</v>
      </c>
    </row>
    <row r="2078" spans="1:8" x14ac:dyDescent="0.3">
      <c r="A2078" s="6">
        <v>25</v>
      </c>
      <c r="B2078" t="s">
        <v>618</v>
      </c>
      <c r="C2078" s="9" t="s">
        <v>932</v>
      </c>
      <c r="D2078" s="9">
        <v>15</v>
      </c>
      <c r="E2078" s="9" t="s">
        <v>1804</v>
      </c>
      <c r="F2078" t="s">
        <v>43</v>
      </c>
      <c r="G2078" t="s">
        <v>44</v>
      </c>
      <c r="H2078" t="s">
        <v>1050</v>
      </c>
    </row>
    <row r="2079" spans="1:8" x14ac:dyDescent="0.3">
      <c r="A2079" s="6">
        <v>25</v>
      </c>
      <c r="B2079" t="s">
        <v>618</v>
      </c>
      <c r="C2079" s="9" t="s">
        <v>932</v>
      </c>
      <c r="D2079" s="9">
        <v>12</v>
      </c>
      <c r="E2079" s="9" t="s">
        <v>1804</v>
      </c>
      <c r="F2079" t="s">
        <v>550</v>
      </c>
      <c r="G2079" t="s">
        <v>551</v>
      </c>
      <c r="H2079" t="s">
        <v>1059</v>
      </c>
    </row>
    <row r="2080" spans="1:8" x14ac:dyDescent="0.3">
      <c r="A2080" s="6">
        <v>25</v>
      </c>
      <c r="B2080" t="s">
        <v>618</v>
      </c>
      <c r="C2080" s="9" t="s">
        <v>932</v>
      </c>
      <c r="D2080" s="9">
        <v>15</v>
      </c>
      <c r="E2080" s="9" t="s">
        <v>1804</v>
      </c>
      <c r="F2080" t="s">
        <v>515</v>
      </c>
      <c r="G2080" t="s">
        <v>238</v>
      </c>
      <c r="H2080" t="s">
        <v>1064</v>
      </c>
    </row>
    <row r="2081" spans="1:8" x14ac:dyDescent="0.3">
      <c r="A2081" s="6">
        <v>25</v>
      </c>
      <c r="B2081" t="s">
        <v>618</v>
      </c>
      <c r="C2081" s="9" t="s">
        <v>932</v>
      </c>
      <c r="D2081" s="9">
        <v>24</v>
      </c>
      <c r="E2081" s="9" t="s">
        <v>1804</v>
      </c>
      <c r="F2081" t="s">
        <v>237</v>
      </c>
      <c r="G2081" t="s">
        <v>238</v>
      </c>
      <c r="H2081" t="s">
        <v>1065</v>
      </c>
    </row>
    <row r="2082" spans="1:8" x14ac:dyDescent="0.3">
      <c r="A2082" s="6">
        <v>25</v>
      </c>
      <c r="B2082" t="s">
        <v>618</v>
      </c>
      <c r="C2082" s="9" t="s">
        <v>932</v>
      </c>
      <c r="D2082" s="9">
        <v>12</v>
      </c>
      <c r="E2082" s="9" t="s">
        <v>1804</v>
      </c>
      <c r="F2082" t="s">
        <v>50</v>
      </c>
      <c r="G2082" t="s">
        <v>51</v>
      </c>
      <c r="H2082" t="s">
        <v>1598</v>
      </c>
    </row>
    <row r="2083" spans="1:8" x14ac:dyDescent="0.3">
      <c r="A2083" s="6">
        <v>25</v>
      </c>
      <c r="B2083" t="s">
        <v>618</v>
      </c>
      <c r="C2083" s="9" t="s">
        <v>932</v>
      </c>
      <c r="D2083" s="9">
        <v>30</v>
      </c>
      <c r="E2083" s="9" t="s">
        <v>1804</v>
      </c>
      <c r="F2083" t="s">
        <v>247</v>
      </c>
      <c r="G2083" t="s">
        <v>51</v>
      </c>
      <c r="H2083" t="s">
        <v>1599</v>
      </c>
    </row>
    <row r="2084" spans="1:8" x14ac:dyDescent="0.3">
      <c r="A2084" s="6">
        <v>25</v>
      </c>
      <c r="B2084" t="s">
        <v>618</v>
      </c>
      <c r="C2084" s="9" t="s">
        <v>932</v>
      </c>
      <c r="D2084" s="9">
        <v>18</v>
      </c>
      <c r="E2084" s="9" t="s">
        <v>1804</v>
      </c>
      <c r="F2084" t="s">
        <v>626</v>
      </c>
      <c r="G2084" t="s">
        <v>627</v>
      </c>
      <c r="H2084" t="s">
        <v>1070</v>
      </c>
    </row>
    <row r="2085" spans="1:8" x14ac:dyDescent="0.3">
      <c r="A2085" s="6">
        <v>25</v>
      </c>
      <c r="B2085" t="s">
        <v>618</v>
      </c>
      <c r="C2085" s="9" t="s">
        <v>1807</v>
      </c>
      <c r="D2085" s="9">
        <v>750</v>
      </c>
      <c r="E2085" s="9" t="s">
        <v>1808</v>
      </c>
      <c r="F2085" t="s">
        <v>248</v>
      </c>
      <c r="G2085" t="s">
        <v>249</v>
      </c>
      <c r="H2085" t="s">
        <v>979</v>
      </c>
    </row>
    <row r="2086" spans="1:8" x14ac:dyDescent="0.3">
      <c r="A2086" s="6">
        <v>25</v>
      </c>
      <c r="B2086" t="s">
        <v>618</v>
      </c>
      <c r="C2086" s="9" t="s">
        <v>932</v>
      </c>
      <c r="D2086" s="9">
        <v>18</v>
      </c>
      <c r="E2086" s="9" t="s">
        <v>1804</v>
      </c>
      <c r="F2086" t="s">
        <v>629</v>
      </c>
      <c r="G2086" t="s">
        <v>630</v>
      </c>
      <c r="H2086" t="s">
        <v>1198</v>
      </c>
    </row>
    <row r="2087" spans="1:8" x14ac:dyDescent="0.3">
      <c r="A2087" s="6">
        <v>25</v>
      </c>
      <c r="B2087" t="s">
        <v>618</v>
      </c>
      <c r="C2087" s="9" t="s">
        <v>976</v>
      </c>
      <c r="D2087" s="9">
        <v>68</v>
      </c>
      <c r="E2087" s="9" t="s">
        <v>1804</v>
      </c>
      <c r="F2087" t="s">
        <v>255</v>
      </c>
      <c r="G2087" t="s">
        <v>256</v>
      </c>
      <c r="H2087" t="s">
        <v>1715</v>
      </c>
    </row>
    <row r="2088" spans="1:8" x14ac:dyDescent="0.3">
      <c r="A2088" s="6">
        <v>25</v>
      </c>
      <c r="B2088" t="s">
        <v>618</v>
      </c>
      <c r="C2088" s="9" t="s">
        <v>932</v>
      </c>
      <c r="D2088" s="9">
        <v>24</v>
      </c>
      <c r="E2088" s="9" t="s">
        <v>1804</v>
      </c>
      <c r="F2088" t="s">
        <v>258</v>
      </c>
      <c r="G2088" t="s">
        <v>256</v>
      </c>
      <c r="H2088" t="s">
        <v>1716</v>
      </c>
    </row>
    <row r="2089" spans="1:8" x14ac:dyDescent="0.3">
      <c r="A2089" s="6">
        <v>25</v>
      </c>
      <c r="B2089" t="s">
        <v>618</v>
      </c>
      <c r="C2089" s="9" t="s">
        <v>932</v>
      </c>
      <c r="D2089" s="9">
        <v>44</v>
      </c>
      <c r="E2089" s="9" t="s">
        <v>1804</v>
      </c>
      <c r="F2089" t="s">
        <v>633</v>
      </c>
      <c r="G2089" t="s">
        <v>256</v>
      </c>
      <c r="H2089" t="s">
        <v>1717</v>
      </c>
    </row>
    <row r="2090" spans="1:8" x14ac:dyDescent="0.3">
      <c r="A2090" s="6">
        <v>25</v>
      </c>
      <c r="B2090" t="s">
        <v>618</v>
      </c>
      <c r="C2090" s="9" t="s">
        <v>932</v>
      </c>
      <c r="D2090" s="9">
        <v>18</v>
      </c>
      <c r="E2090" s="9" t="s">
        <v>1804</v>
      </c>
      <c r="F2090" t="s">
        <v>564</v>
      </c>
      <c r="G2090" t="s">
        <v>359</v>
      </c>
      <c r="H2090" t="s">
        <v>983</v>
      </c>
    </row>
    <row r="2091" spans="1:8" x14ac:dyDescent="0.3">
      <c r="A2091" s="6">
        <v>25</v>
      </c>
      <c r="B2091" t="s">
        <v>618</v>
      </c>
      <c r="C2091" s="9" t="s">
        <v>932</v>
      </c>
      <c r="D2091" s="9">
        <v>22</v>
      </c>
      <c r="E2091" s="9" t="s">
        <v>1804</v>
      </c>
      <c r="F2091" t="s">
        <v>259</v>
      </c>
      <c r="G2091" t="s">
        <v>260</v>
      </c>
      <c r="H2091" t="s">
        <v>986</v>
      </c>
    </row>
    <row r="2092" spans="1:8" x14ac:dyDescent="0.3">
      <c r="A2092" s="6">
        <v>25</v>
      </c>
      <c r="B2092" t="s">
        <v>618</v>
      </c>
      <c r="C2092" s="9" t="s">
        <v>932</v>
      </c>
      <c r="D2092" s="9">
        <v>14</v>
      </c>
      <c r="E2092" s="9" t="s">
        <v>1804</v>
      </c>
      <c r="F2092" t="s">
        <v>262</v>
      </c>
      <c r="G2092" t="s">
        <v>263</v>
      </c>
      <c r="H2092" t="s">
        <v>989</v>
      </c>
    </row>
    <row r="2093" spans="1:8" x14ac:dyDescent="0.3">
      <c r="A2093" s="6">
        <v>25</v>
      </c>
      <c r="B2093" t="s">
        <v>618</v>
      </c>
      <c r="C2093" s="9" t="s">
        <v>932</v>
      </c>
      <c r="D2093" s="9">
        <v>19</v>
      </c>
      <c r="E2093" s="9" t="s">
        <v>1804</v>
      </c>
      <c r="F2093" t="s">
        <v>265</v>
      </c>
      <c r="G2093" t="s">
        <v>266</v>
      </c>
      <c r="H2093" t="s">
        <v>1337</v>
      </c>
    </row>
    <row r="2094" spans="1:8" x14ac:dyDescent="0.3">
      <c r="A2094" s="6">
        <v>25</v>
      </c>
      <c r="B2094" t="s">
        <v>618</v>
      </c>
      <c r="C2094" s="9" t="s">
        <v>1807</v>
      </c>
      <c r="D2094" s="9">
        <v>1200</v>
      </c>
      <c r="E2094" s="9" t="s">
        <v>1808</v>
      </c>
      <c r="F2094" t="s">
        <v>272</v>
      </c>
      <c r="G2094" t="s">
        <v>273</v>
      </c>
      <c r="H2094" t="s">
        <v>997</v>
      </c>
    </row>
    <row r="2095" spans="1:8" x14ac:dyDescent="0.3">
      <c r="A2095" s="6">
        <v>25</v>
      </c>
      <c r="B2095" t="s">
        <v>618</v>
      </c>
      <c r="C2095" s="9" t="s">
        <v>1807</v>
      </c>
      <c r="D2095" s="9">
        <v>900</v>
      </c>
      <c r="E2095" s="9" t="s">
        <v>1808</v>
      </c>
      <c r="F2095" t="s">
        <v>440</v>
      </c>
      <c r="G2095" t="s">
        <v>441</v>
      </c>
      <c r="H2095" t="s">
        <v>1006</v>
      </c>
    </row>
    <row r="2096" spans="1:8" x14ac:dyDescent="0.3">
      <c r="A2096" s="6">
        <v>25</v>
      </c>
      <c r="B2096" t="s">
        <v>618</v>
      </c>
      <c r="C2096" s="9" t="s">
        <v>1807</v>
      </c>
      <c r="D2096" s="9">
        <v>1080</v>
      </c>
      <c r="E2096" s="9" t="s">
        <v>1808</v>
      </c>
      <c r="F2096" t="s">
        <v>634</v>
      </c>
      <c r="G2096" t="s">
        <v>635</v>
      </c>
      <c r="H2096" t="s">
        <v>1009</v>
      </c>
    </row>
    <row r="2097" spans="1:8" x14ac:dyDescent="0.3">
      <c r="A2097" s="6">
        <v>25</v>
      </c>
      <c r="B2097" t="s">
        <v>618</v>
      </c>
      <c r="C2097" s="9" t="s">
        <v>932</v>
      </c>
      <c r="D2097" s="9">
        <v>15</v>
      </c>
      <c r="E2097" s="9" t="s">
        <v>1804</v>
      </c>
      <c r="F2097" t="s">
        <v>443</v>
      </c>
      <c r="G2097" t="s">
        <v>444</v>
      </c>
      <c r="H2097" t="s">
        <v>1649</v>
      </c>
    </row>
    <row r="2098" spans="1:8" x14ac:dyDescent="0.3">
      <c r="A2098" s="6">
        <v>25</v>
      </c>
      <c r="B2098" t="s">
        <v>618</v>
      </c>
      <c r="C2098" s="9" t="s">
        <v>1807</v>
      </c>
      <c r="D2098" s="9">
        <v>750</v>
      </c>
      <c r="E2098" s="9" t="s">
        <v>1808</v>
      </c>
      <c r="F2098" t="s">
        <v>278</v>
      </c>
      <c r="G2098" t="s">
        <v>276</v>
      </c>
      <c r="H2098" t="s">
        <v>1013</v>
      </c>
    </row>
    <row r="2099" spans="1:8" x14ac:dyDescent="0.3">
      <c r="A2099" s="6">
        <v>25</v>
      </c>
      <c r="B2099" t="s">
        <v>618</v>
      </c>
      <c r="C2099" s="9" t="s">
        <v>1807</v>
      </c>
      <c r="D2099" s="9">
        <v>600</v>
      </c>
      <c r="E2099" s="9" t="s">
        <v>1808</v>
      </c>
      <c r="F2099" t="s">
        <v>637</v>
      </c>
      <c r="G2099" t="s">
        <v>276</v>
      </c>
      <c r="H2099" t="s">
        <v>1014</v>
      </c>
    </row>
    <row r="2100" spans="1:8" x14ac:dyDescent="0.3">
      <c r="A2100" s="6">
        <v>25</v>
      </c>
      <c r="B2100" t="s">
        <v>618</v>
      </c>
      <c r="C2100" s="9" t="s">
        <v>932</v>
      </c>
      <c r="D2100" s="9">
        <v>15</v>
      </c>
      <c r="E2100" s="9" t="s">
        <v>1804</v>
      </c>
      <c r="F2100" t="s">
        <v>565</v>
      </c>
      <c r="G2100" t="s">
        <v>60</v>
      </c>
      <c r="H2100" t="s">
        <v>1077</v>
      </c>
    </row>
    <row r="2101" spans="1:8" x14ac:dyDescent="0.3">
      <c r="A2101" s="6">
        <v>25</v>
      </c>
      <c r="B2101" t="s">
        <v>618</v>
      </c>
      <c r="C2101" s="9" t="s">
        <v>932</v>
      </c>
      <c r="D2101" s="9">
        <v>15</v>
      </c>
      <c r="E2101" s="9" t="s">
        <v>1804</v>
      </c>
      <c r="F2101" t="s">
        <v>59</v>
      </c>
      <c r="G2101" t="s">
        <v>60</v>
      </c>
      <c r="H2101" t="s">
        <v>1078</v>
      </c>
    </row>
    <row r="2102" spans="1:8" x14ac:dyDescent="0.3">
      <c r="A2102" s="6">
        <v>25</v>
      </c>
      <c r="B2102" t="s">
        <v>618</v>
      </c>
      <c r="C2102" s="9" t="s">
        <v>932</v>
      </c>
      <c r="D2102" s="9">
        <v>17</v>
      </c>
      <c r="E2102" s="9" t="s">
        <v>1804</v>
      </c>
      <c r="F2102" t="s">
        <v>307</v>
      </c>
      <c r="G2102" t="s">
        <v>122</v>
      </c>
      <c r="H2102" t="s">
        <v>1098</v>
      </c>
    </row>
    <row r="2103" spans="1:8" x14ac:dyDescent="0.3">
      <c r="A2103" s="6">
        <v>25</v>
      </c>
      <c r="B2103" t="s">
        <v>618</v>
      </c>
      <c r="C2103" s="9" t="s">
        <v>932</v>
      </c>
      <c r="D2103" s="9">
        <v>9</v>
      </c>
      <c r="E2103" s="9" t="s">
        <v>1804</v>
      </c>
      <c r="F2103" t="s">
        <v>570</v>
      </c>
      <c r="G2103" t="s">
        <v>368</v>
      </c>
      <c r="H2103" t="s">
        <v>1681</v>
      </c>
    </row>
    <row r="2104" spans="1:8" x14ac:dyDescent="0.3">
      <c r="A2104" s="6">
        <v>25</v>
      </c>
      <c r="B2104" t="s">
        <v>618</v>
      </c>
      <c r="C2104" s="9" t="s">
        <v>932</v>
      </c>
      <c r="D2104" s="9">
        <v>18</v>
      </c>
      <c r="E2104" s="9" t="s">
        <v>1804</v>
      </c>
      <c r="F2104" t="s">
        <v>65</v>
      </c>
      <c r="G2104" t="s">
        <v>66</v>
      </c>
      <c r="H2104" t="s">
        <v>1791</v>
      </c>
    </row>
    <row r="2105" spans="1:8" x14ac:dyDescent="0.3">
      <c r="A2105" s="6">
        <v>25</v>
      </c>
      <c r="B2105" t="s">
        <v>618</v>
      </c>
      <c r="C2105" s="9" t="s">
        <v>932</v>
      </c>
      <c r="D2105" s="9">
        <v>15</v>
      </c>
      <c r="E2105" s="9" t="s">
        <v>1804</v>
      </c>
      <c r="F2105" t="s">
        <v>638</v>
      </c>
      <c r="G2105" t="s">
        <v>639</v>
      </c>
      <c r="H2105" t="s">
        <v>1190</v>
      </c>
    </row>
    <row r="2106" spans="1:8" x14ac:dyDescent="0.3">
      <c r="A2106" s="6">
        <v>25</v>
      </c>
      <c r="B2106" t="s">
        <v>618</v>
      </c>
      <c r="C2106" s="9" t="s">
        <v>932</v>
      </c>
      <c r="D2106" s="9">
        <v>11</v>
      </c>
      <c r="E2106" s="9" t="s">
        <v>1804</v>
      </c>
      <c r="F2106" t="s">
        <v>641</v>
      </c>
      <c r="G2106" t="s">
        <v>126</v>
      </c>
      <c r="H2106" t="s">
        <v>1550</v>
      </c>
    </row>
    <row r="2107" spans="1:8" x14ac:dyDescent="0.3">
      <c r="A2107" s="6">
        <v>25</v>
      </c>
      <c r="B2107" t="s">
        <v>618</v>
      </c>
      <c r="C2107" s="9" t="s">
        <v>1807</v>
      </c>
      <c r="D2107" s="9">
        <v>420</v>
      </c>
      <c r="E2107" s="9" t="s">
        <v>1808</v>
      </c>
      <c r="F2107" t="s">
        <v>68</v>
      </c>
      <c r="G2107" t="s">
        <v>69</v>
      </c>
      <c r="H2107" t="s">
        <v>1551</v>
      </c>
    </row>
    <row r="2108" spans="1:8" x14ac:dyDescent="0.3">
      <c r="A2108" s="6">
        <v>25</v>
      </c>
      <c r="B2108" t="s">
        <v>618</v>
      </c>
      <c r="C2108" s="9" t="s">
        <v>1807</v>
      </c>
      <c r="D2108" s="9">
        <v>198</v>
      </c>
      <c r="E2108" s="9" t="s">
        <v>1808</v>
      </c>
      <c r="F2108" t="s">
        <v>484</v>
      </c>
      <c r="G2108" t="s">
        <v>69</v>
      </c>
      <c r="H2108" t="s">
        <v>1556</v>
      </c>
    </row>
    <row r="2109" spans="1:8" x14ac:dyDescent="0.3">
      <c r="A2109" s="6">
        <v>25</v>
      </c>
      <c r="B2109" t="s">
        <v>618</v>
      </c>
      <c r="C2109" s="9" t="s">
        <v>932</v>
      </c>
      <c r="D2109" s="9">
        <v>24</v>
      </c>
      <c r="E2109" s="9" t="s">
        <v>1804</v>
      </c>
      <c r="F2109" t="s">
        <v>316</v>
      </c>
      <c r="G2109" t="s">
        <v>129</v>
      </c>
      <c r="H2109" t="s">
        <v>1562</v>
      </c>
    </row>
    <row r="2110" spans="1:8" x14ac:dyDescent="0.3">
      <c r="A2110" s="6">
        <v>25</v>
      </c>
      <c r="B2110" t="s">
        <v>618</v>
      </c>
      <c r="C2110" s="9" t="s">
        <v>1807</v>
      </c>
      <c r="D2110" s="9">
        <v>770</v>
      </c>
      <c r="E2110" s="9" t="s">
        <v>1808</v>
      </c>
      <c r="F2110" t="s">
        <v>71</v>
      </c>
      <c r="G2110" t="s">
        <v>72</v>
      </c>
      <c r="H2110" t="s">
        <v>1565</v>
      </c>
    </row>
    <row r="2111" spans="1:8" x14ac:dyDescent="0.3">
      <c r="A2111" s="6">
        <v>25</v>
      </c>
      <c r="B2111" t="s">
        <v>618</v>
      </c>
      <c r="C2111" s="9" t="s">
        <v>1807</v>
      </c>
      <c r="D2111" s="9">
        <v>518</v>
      </c>
      <c r="E2111" s="9" t="s">
        <v>1808</v>
      </c>
      <c r="F2111" t="s">
        <v>74</v>
      </c>
      <c r="G2111" t="s">
        <v>72</v>
      </c>
      <c r="H2111" t="s">
        <v>1566</v>
      </c>
    </row>
    <row r="2112" spans="1:8" x14ac:dyDescent="0.3">
      <c r="A2112" s="6">
        <v>25</v>
      </c>
      <c r="B2112" t="s">
        <v>618</v>
      </c>
      <c r="C2112" s="9" t="s">
        <v>932</v>
      </c>
      <c r="D2112" s="9">
        <v>15</v>
      </c>
      <c r="E2112" s="9" t="s">
        <v>1804</v>
      </c>
      <c r="F2112" t="s">
        <v>575</v>
      </c>
      <c r="G2112" t="s">
        <v>576</v>
      </c>
      <c r="H2112" t="s">
        <v>1574</v>
      </c>
    </row>
    <row r="2113" spans="1:8" x14ac:dyDescent="0.3">
      <c r="A2113" s="6">
        <v>25</v>
      </c>
      <c r="B2113" t="s">
        <v>618</v>
      </c>
      <c r="C2113" s="9" t="s">
        <v>932</v>
      </c>
      <c r="D2113" s="9">
        <v>12</v>
      </c>
      <c r="E2113" s="9" t="s">
        <v>1804</v>
      </c>
      <c r="F2113" t="s">
        <v>578</v>
      </c>
      <c r="G2113" t="s">
        <v>376</v>
      </c>
      <c r="H2113" t="s">
        <v>1577</v>
      </c>
    </row>
    <row r="2114" spans="1:8" x14ac:dyDescent="0.3">
      <c r="A2114" s="6">
        <v>25</v>
      </c>
      <c r="B2114" t="s">
        <v>618</v>
      </c>
      <c r="C2114" s="9" t="s">
        <v>1807</v>
      </c>
      <c r="D2114" s="9">
        <v>398</v>
      </c>
      <c r="E2114" s="9" t="s">
        <v>1808</v>
      </c>
      <c r="F2114" t="s">
        <v>318</v>
      </c>
      <c r="G2114" t="s">
        <v>76</v>
      </c>
      <c r="H2114" t="s">
        <v>1578</v>
      </c>
    </row>
    <row r="2115" spans="1:8" x14ac:dyDescent="0.3">
      <c r="A2115" s="6">
        <v>25</v>
      </c>
      <c r="B2115" t="s">
        <v>618</v>
      </c>
      <c r="C2115" s="9" t="s">
        <v>1807</v>
      </c>
      <c r="D2115" s="9">
        <v>698</v>
      </c>
      <c r="E2115" s="9" t="s">
        <v>1808</v>
      </c>
      <c r="F2115" t="s">
        <v>485</v>
      </c>
      <c r="G2115" t="s">
        <v>76</v>
      </c>
      <c r="H2115" t="s">
        <v>1579</v>
      </c>
    </row>
    <row r="2116" spans="1:8" x14ac:dyDescent="0.3">
      <c r="A2116" s="6">
        <v>25</v>
      </c>
      <c r="B2116" t="s">
        <v>618</v>
      </c>
      <c r="C2116" s="9" t="s">
        <v>1814</v>
      </c>
      <c r="D2116" s="9">
        <v>10000</v>
      </c>
      <c r="E2116" s="9" t="s">
        <v>1808</v>
      </c>
      <c r="F2116" t="s">
        <v>162</v>
      </c>
      <c r="G2116" t="s">
        <v>273</v>
      </c>
      <c r="H2116" t="s">
        <v>1816</v>
      </c>
    </row>
    <row r="2117" spans="1:8" x14ac:dyDescent="0.3">
      <c r="A2117" s="6">
        <v>25</v>
      </c>
      <c r="B2117" t="s">
        <v>618</v>
      </c>
      <c r="C2117" s="9" t="s">
        <v>1814</v>
      </c>
      <c r="D2117" s="9">
        <v>10000</v>
      </c>
      <c r="E2117" s="9" t="s">
        <v>1808</v>
      </c>
      <c r="F2117" t="s">
        <v>642</v>
      </c>
      <c r="G2117" t="s">
        <v>1835</v>
      </c>
      <c r="H2117" t="s">
        <v>1836</v>
      </c>
    </row>
    <row r="2118" spans="1:8" x14ac:dyDescent="0.3">
      <c r="A2118" s="6">
        <v>25</v>
      </c>
      <c r="B2118" t="s">
        <v>618</v>
      </c>
      <c r="C2118" s="9" t="s">
        <v>1814</v>
      </c>
      <c r="D2118" s="9">
        <v>10000</v>
      </c>
      <c r="E2118" s="9" t="s">
        <v>1808</v>
      </c>
      <c r="F2118" t="s">
        <v>163</v>
      </c>
      <c r="G2118" t="s">
        <v>635</v>
      </c>
      <c r="H2118" t="s">
        <v>1817</v>
      </c>
    </row>
    <row r="2119" spans="1:8" x14ac:dyDescent="0.3">
      <c r="A2119" s="6">
        <v>25</v>
      </c>
      <c r="B2119" t="s">
        <v>618</v>
      </c>
      <c r="C2119" s="9" t="s">
        <v>1809</v>
      </c>
      <c r="D2119" s="9">
        <v>60</v>
      </c>
      <c r="E2119" s="9" t="s">
        <v>1804</v>
      </c>
      <c r="F2119" t="s">
        <v>78</v>
      </c>
      <c r="G2119" t="s">
        <v>1810</v>
      </c>
      <c r="H2119" t="s">
        <v>1811</v>
      </c>
    </row>
    <row r="2120" spans="1:8" x14ac:dyDescent="0.3">
      <c r="A2120" s="6">
        <v>25</v>
      </c>
      <c r="B2120" t="s">
        <v>618</v>
      </c>
      <c r="C2120" s="9" t="s">
        <v>963</v>
      </c>
      <c r="D2120" s="9">
        <v>60</v>
      </c>
      <c r="E2120" s="9" t="s">
        <v>1804</v>
      </c>
      <c r="F2120" t="s">
        <v>79</v>
      </c>
      <c r="G2120" t="s">
        <v>80</v>
      </c>
      <c r="H2120" t="s">
        <v>1416</v>
      </c>
    </row>
    <row r="2121" spans="1:8" x14ac:dyDescent="0.3">
      <c r="A2121" s="6">
        <v>25</v>
      </c>
      <c r="B2121" t="s">
        <v>618</v>
      </c>
      <c r="C2121" s="9" t="s">
        <v>963</v>
      </c>
      <c r="D2121" s="9">
        <v>60</v>
      </c>
      <c r="E2121" s="9" t="s">
        <v>1804</v>
      </c>
      <c r="F2121" t="s">
        <v>643</v>
      </c>
      <c r="G2121" t="s">
        <v>499</v>
      </c>
      <c r="H2121" t="s">
        <v>1703</v>
      </c>
    </row>
    <row r="2122" spans="1:8" x14ac:dyDescent="0.3">
      <c r="A2122" s="6">
        <v>25</v>
      </c>
      <c r="B2122" t="s">
        <v>618</v>
      </c>
      <c r="C2122" s="9" t="s">
        <v>963</v>
      </c>
      <c r="D2122" s="9">
        <v>60</v>
      </c>
      <c r="E2122" s="9" t="s">
        <v>1804</v>
      </c>
      <c r="F2122" t="s">
        <v>612</v>
      </c>
      <c r="G2122" t="s">
        <v>613</v>
      </c>
      <c r="H2122" t="s">
        <v>1343</v>
      </c>
    </row>
    <row r="2123" spans="1:8" x14ac:dyDescent="0.3">
      <c r="A2123" s="6">
        <v>25</v>
      </c>
      <c r="B2123" t="s">
        <v>618</v>
      </c>
      <c r="C2123" s="9" t="s">
        <v>963</v>
      </c>
      <c r="D2123" s="9">
        <v>70</v>
      </c>
      <c r="E2123" s="9" t="s">
        <v>1804</v>
      </c>
      <c r="F2123" t="s">
        <v>325</v>
      </c>
      <c r="G2123" t="s">
        <v>196</v>
      </c>
      <c r="H2123" t="s">
        <v>1344</v>
      </c>
    </row>
    <row r="2124" spans="1:8" x14ac:dyDescent="0.3">
      <c r="A2124" s="6">
        <v>25</v>
      </c>
      <c r="B2124" t="s">
        <v>618</v>
      </c>
      <c r="C2124" s="9" t="s">
        <v>963</v>
      </c>
      <c r="D2124" s="9">
        <v>70</v>
      </c>
      <c r="E2124" s="9" t="s">
        <v>1804</v>
      </c>
      <c r="F2124" t="s">
        <v>597</v>
      </c>
      <c r="G2124" t="s">
        <v>12</v>
      </c>
      <c r="H2124" t="s">
        <v>1348</v>
      </c>
    </row>
    <row r="2125" spans="1:8" x14ac:dyDescent="0.3">
      <c r="A2125" s="6">
        <v>25</v>
      </c>
      <c r="B2125" t="s">
        <v>618</v>
      </c>
      <c r="C2125" s="9" t="s">
        <v>963</v>
      </c>
      <c r="D2125" s="9">
        <v>74</v>
      </c>
      <c r="E2125" s="9" t="s">
        <v>1804</v>
      </c>
      <c r="F2125" t="s">
        <v>87</v>
      </c>
      <c r="G2125" t="s">
        <v>88</v>
      </c>
      <c r="H2125" t="s">
        <v>1349</v>
      </c>
    </row>
    <row r="2126" spans="1:8" x14ac:dyDescent="0.3">
      <c r="A2126" s="6">
        <v>25</v>
      </c>
      <c r="B2126" t="s">
        <v>618</v>
      </c>
      <c r="C2126" s="9" t="s">
        <v>963</v>
      </c>
      <c r="D2126" s="9">
        <v>73</v>
      </c>
      <c r="E2126" s="9" t="s">
        <v>1804</v>
      </c>
      <c r="F2126" t="s">
        <v>90</v>
      </c>
      <c r="G2126" t="s">
        <v>15</v>
      </c>
      <c r="H2126" t="s">
        <v>1351</v>
      </c>
    </row>
    <row r="2127" spans="1:8" x14ac:dyDescent="0.3">
      <c r="A2127" s="6">
        <v>25</v>
      </c>
      <c r="B2127" t="s">
        <v>618</v>
      </c>
      <c r="C2127" s="9" t="s">
        <v>963</v>
      </c>
      <c r="D2127" s="9">
        <v>76</v>
      </c>
      <c r="E2127" s="9" t="s">
        <v>1804</v>
      </c>
      <c r="F2127" t="s">
        <v>94</v>
      </c>
      <c r="G2127" t="s">
        <v>95</v>
      </c>
      <c r="H2127" t="s">
        <v>1355</v>
      </c>
    </row>
    <row r="2128" spans="1:8" x14ac:dyDescent="0.3">
      <c r="A2128" s="6">
        <v>25</v>
      </c>
      <c r="B2128" t="s">
        <v>618</v>
      </c>
      <c r="C2128" s="9" t="s">
        <v>963</v>
      </c>
      <c r="D2128" s="9">
        <v>72</v>
      </c>
      <c r="E2128" s="9" t="s">
        <v>1804</v>
      </c>
      <c r="F2128" t="s">
        <v>101</v>
      </c>
      <c r="G2128" t="s">
        <v>102</v>
      </c>
      <c r="H2128" t="s">
        <v>1365</v>
      </c>
    </row>
    <row r="2129" spans="1:8" x14ac:dyDescent="0.3">
      <c r="A2129" s="6">
        <v>25</v>
      </c>
      <c r="B2129" t="s">
        <v>618</v>
      </c>
      <c r="C2129" s="9" t="s">
        <v>963</v>
      </c>
      <c r="D2129" s="9">
        <v>60</v>
      </c>
      <c r="E2129" s="9" t="s">
        <v>1804</v>
      </c>
      <c r="F2129" t="s">
        <v>400</v>
      </c>
      <c r="G2129" t="s">
        <v>401</v>
      </c>
      <c r="H2129" t="s">
        <v>1185</v>
      </c>
    </row>
    <row r="2130" spans="1:8" x14ac:dyDescent="0.3">
      <c r="A2130" s="6">
        <v>25</v>
      </c>
      <c r="B2130" t="s">
        <v>618</v>
      </c>
      <c r="C2130" s="9" t="s">
        <v>963</v>
      </c>
      <c r="D2130" s="9">
        <v>75</v>
      </c>
      <c r="E2130" s="9" t="s">
        <v>1804</v>
      </c>
      <c r="F2130" t="s">
        <v>345</v>
      </c>
      <c r="G2130" t="s">
        <v>215</v>
      </c>
      <c r="H2130" t="s">
        <v>1115</v>
      </c>
    </row>
    <row r="2131" spans="1:8" x14ac:dyDescent="0.3">
      <c r="A2131" s="6">
        <v>25</v>
      </c>
      <c r="B2131" t="s">
        <v>618</v>
      </c>
      <c r="C2131" s="9" t="s">
        <v>963</v>
      </c>
      <c r="D2131" s="9">
        <v>60</v>
      </c>
      <c r="E2131" s="9" t="s">
        <v>1804</v>
      </c>
      <c r="F2131" t="s">
        <v>170</v>
      </c>
      <c r="G2131" t="s">
        <v>171</v>
      </c>
      <c r="H2131" t="s">
        <v>1535</v>
      </c>
    </row>
    <row r="2132" spans="1:8" x14ac:dyDescent="0.3">
      <c r="A2132" s="6">
        <v>25</v>
      </c>
      <c r="B2132" t="s">
        <v>618</v>
      </c>
      <c r="C2132" s="9" t="s">
        <v>963</v>
      </c>
      <c r="D2132" s="9">
        <v>60</v>
      </c>
      <c r="E2132" s="9" t="s">
        <v>1804</v>
      </c>
      <c r="F2132" t="s">
        <v>106</v>
      </c>
      <c r="G2132" t="s">
        <v>32</v>
      </c>
      <c r="H2132" t="s">
        <v>1537</v>
      </c>
    </row>
    <row r="2133" spans="1:8" x14ac:dyDescent="0.3">
      <c r="A2133" s="6">
        <v>25</v>
      </c>
      <c r="B2133" t="s">
        <v>618</v>
      </c>
      <c r="C2133" s="9" t="s">
        <v>963</v>
      </c>
      <c r="D2133" s="9">
        <v>60</v>
      </c>
      <c r="E2133" s="9" t="s">
        <v>1804</v>
      </c>
      <c r="F2133" t="s">
        <v>107</v>
      </c>
      <c r="G2133" t="s">
        <v>108</v>
      </c>
      <c r="H2133" t="s">
        <v>1140</v>
      </c>
    </row>
    <row r="2134" spans="1:8" x14ac:dyDescent="0.3">
      <c r="A2134" s="6">
        <v>25</v>
      </c>
      <c r="B2134" t="s">
        <v>618</v>
      </c>
      <c r="C2134" s="9" t="s">
        <v>963</v>
      </c>
      <c r="D2134" s="9">
        <v>60</v>
      </c>
      <c r="E2134" s="9" t="s">
        <v>1804</v>
      </c>
      <c r="F2134" t="s">
        <v>351</v>
      </c>
      <c r="G2134" t="s">
        <v>38</v>
      </c>
      <c r="H2134" t="s">
        <v>1142</v>
      </c>
    </row>
    <row r="2135" spans="1:8" x14ac:dyDescent="0.3">
      <c r="A2135" s="6">
        <v>25</v>
      </c>
      <c r="B2135" t="s">
        <v>618</v>
      </c>
      <c r="C2135" s="9" t="s">
        <v>963</v>
      </c>
      <c r="D2135" s="9">
        <v>60</v>
      </c>
      <c r="E2135" s="9" t="s">
        <v>1804</v>
      </c>
      <c r="F2135" t="s">
        <v>110</v>
      </c>
      <c r="G2135" t="s">
        <v>41</v>
      </c>
      <c r="H2135" t="s">
        <v>1144</v>
      </c>
    </row>
    <row r="2136" spans="1:8" x14ac:dyDescent="0.3">
      <c r="A2136" s="6">
        <v>25</v>
      </c>
      <c r="B2136" t="s">
        <v>618</v>
      </c>
      <c r="C2136" s="9" t="s">
        <v>963</v>
      </c>
      <c r="D2136" s="9">
        <v>60</v>
      </c>
      <c r="E2136" s="9" t="s">
        <v>1804</v>
      </c>
      <c r="F2136" t="s">
        <v>111</v>
      </c>
      <c r="G2136" t="s">
        <v>112</v>
      </c>
      <c r="H2136" t="s">
        <v>1146</v>
      </c>
    </row>
    <row r="2137" spans="1:8" x14ac:dyDescent="0.3">
      <c r="A2137" s="6">
        <v>25</v>
      </c>
      <c r="B2137" t="s">
        <v>618</v>
      </c>
      <c r="C2137" s="9" t="s">
        <v>963</v>
      </c>
      <c r="D2137" s="9">
        <v>60</v>
      </c>
      <c r="E2137" s="9" t="s">
        <v>1804</v>
      </c>
      <c r="F2137" t="s">
        <v>465</v>
      </c>
      <c r="G2137" t="s">
        <v>235</v>
      </c>
      <c r="H2137" t="s">
        <v>1117</v>
      </c>
    </row>
    <row r="2138" spans="1:8" x14ac:dyDescent="0.3">
      <c r="A2138" s="6">
        <v>25</v>
      </c>
      <c r="B2138" t="s">
        <v>618</v>
      </c>
      <c r="C2138" s="9" t="s">
        <v>963</v>
      </c>
      <c r="D2138" s="9">
        <v>64</v>
      </c>
      <c r="E2138" s="9" t="s">
        <v>1804</v>
      </c>
      <c r="F2138" t="s">
        <v>583</v>
      </c>
      <c r="G2138" t="s">
        <v>238</v>
      </c>
      <c r="H2138" t="s">
        <v>1122</v>
      </c>
    </row>
    <row r="2139" spans="1:8" x14ac:dyDescent="0.3">
      <c r="A2139" s="6">
        <v>25</v>
      </c>
      <c r="B2139" t="s">
        <v>618</v>
      </c>
      <c r="C2139" s="9" t="s">
        <v>963</v>
      </c>
      <c r="D2139" s="9">
        <v>60</v>
      </c>
      <c r="E2139" s="9" t="s">
        <v>1804</v>
      </c>
      <c r="F2139" t="s">
        <v>120</v>
      </c>
      <c r="G2139" t="s">
        <v>51</v>
      </c>
      <c r="H2139" t="s">
        <v>1590</v>
      </c>
    </row>
    <row r="2140" spans="1:8" x14ac:dyDescent="0.3">
      <c r="A2140" s="6">
        <v>25</v>
      </c>
      <c r="B2140" t="s">
        <v>618</v>
      </c>
      <c r="C2140" s="9" t="s">
        <v>963</v>
      </c>
      <c r="D2140" s="9">
        <v>62</v>
      </c>
      <c r="E2140" s="9" t="s">
        <v>1804</v>
      </c>
      <c r="F2140" t="s">
        <v>405</v>
      </c>
      <c r="G2140" t="s">
        <v>260</v>
      </c>
      <c r="H2140" t="s">
        <v>1022</v>
      </c>
    </row>
    <row r="2141" spans="1:8" x14ac:dyDescent="0.3">
      <c r="A2141" s="6">
        <v>25</v>
      </c>
      <c r="B2141" t="s">
        <v>618</v>
      </c>
      <c r="C2141" s="9" t="s">
        <v>963</v>
      </c>
      <c r="D2141" s="9">
        <v>64</v>
      </c>
      <c r="E2141" s="9" t="s">
        <v>1804</v>
      </c>
      <c r="F2141" t="s">
        <v>406</v>
      </c>
      <c r="G2141" t="s">
        <v>269</v>
      </c>
      <c r="H2141" t="s">
        <v>1687</v>
      </c>
    </row>
    <row r="2142" spans="1:8" x14ac:dyDescent="0.3">
      <c r="A2142" s="6">
        <v>25</v>
      </c>
      <c r="B2142" t="s">
        <v>618</v>
      </c>
      <c r="C2142" s="9" t="s">
        <v>963</v>
      </c>
      <c r="D2142" s="9">
        <v>60</v>
      </c>
      <c r="E2142" s="9" t="s">
        <v>1804</v>
      </c>
      <c r="F2142" t="s">
        <v>644</v>
      </c>
      <c r="G2142" t="s">
        <v>645</v>
      </c>
      <c r="H2142" t="s">
        <v>1023</v>
      </c>
    </row>
    <row r="2143" spans="1:8" x14ac:dyDescent="0.3">
      <c r="A2143" s="6">
        <v>25</v>
      </c>
      <c r="B2143" t="s">
        <v>618</v>
      </c>
      <c r="C2143" s="9" t="s">
        <v>963</v>
      </c>
      <c r="D2143" s="9">
        <v>60</v>
      </c>
      <c r="E2143" s="9" t="s">
        <v>1804</v>
      </c>
      <c r="F2143" t="s">
        <v>367</v>
      </c>
      <c r="G2143" t="s">
        <v>368</v>
      </c>
      <c r="H2143" t="s">
        <v>1688</v>
      </c>
    </row>
    <row r="2144" spans="1:8" x14ac:dyDescent="0.3">
      <c r="A2144" s="6">
        <v>25</v>
      </c>
      <c r="B2144" t="s">
        <v>618</v>
      </c>
      <c r="C2144" s="9" t="s">
        <v>963</v>
      </c>
      <c r="D2144" s="9">
        <v>60</v>
      </c>
      <c r="E2144" s="9" t="s">
        <v>1804</v>
      </c>
      <c r="F2144" t="s">
        <v>371</v>
      </c>
      <c r="G2144" t="s">
        <v>66</v>
      </c>
      <c r="H2144" t="s">
        <v>1799</v>
      </c>
    </row>
    <row r="2145" spans="1:8" x14ac:dyDescent="0.3">
      <c r="A2145" s="6">
        <v>25</v>
      </c>
      <c r="B2145" t="s">
        <v>618</v>
      </c>
      <c r="C2145" s="9" t="s">
        <v>963</v>
      </c>
      <c r="D2145" s="9">
        <v>63</v>
      </c>
      <c r="E2145" s="9" t="s">
        <v>1804</v>
      </c>
      <c r="F2145" t="s">
        <v>124</v>
      </c>
      <c r="G2145" t="s">
        <v>572</v>
      </c>
      <c r="H2145" t="s">
        <v>1024</v>
      </c>
    </row>
    <row r="2146" spans="1:8" x14ac:dyDescent="0.3">
      <c r="A2146" s="6">
        <v>25</v>
      </c>
      <c r="B2146" t="s">
        <v>618</v>
      </c>
      <c r="C2146" s="9" t="s">
        <v>963</v>
      </c>
      <c r="D2146" s="9">
        <v>64</v>
      </c>
      <c r="E2146" s="9" t="s">
        <v>1804</v>
      </c>
      <c r="F2146" t="s">
        <v>125</v>
      </c>
      <c r="G2146" t="s">
        <v>126</v>
      </c>
      <c r="H2146" t="s">
        <v>1581</v>
      </c>
    </row>
    <row r="2147" spans="1:8" x14ac:dyDescent="0.3">
      <c r="A2147" s="6">
        <v>25</v>
      </c>
      <c r="B2147" t="s">
        <v>618</v>
      </c>
      <c r="C2147" s="9" t="s">
        <v>963</v>
      </c>
      <c r="D2147" s="9">
        <v>60</v>
      </c>
      <c r="E2147" s="9" t="s">
        <v>1804</v>
      </c>
      <c r="F2147" t="s">
        <v>128</v>
      </c>
      <c r="G2147" t="s">
        <v>129</v>
      </c>
      <c r="H2147" t="s">
        <v>1582</v>
      </c>
    </row>
    <row r="2148" spans="1:8" x14ac:dyDescent="0.3">
      <c r="A2148" s="6">
        <v>25</v>
      </c>
      <c r="B2148" t="s">
        <v>618</v>
      </c>
      <c r="C2148" s="9" t="s">
        <v>963</v>
      </c>
      <c r="D2148" s="9">
        <v>60</v>
      </c>
      <c r="E2148" s="9" t="s">
        <v>1804</v>
      </c>
      <c r="F2148" t="s">
        <v>375</v>
      </c>
      <c r="G2148" t="s">
        <v>376</v>
      </c>
      <c r="H2148" t="s">
        <v>1586</v>
      </c>
    </row>
    <row r="2149" spans="1:8" x14ac:dyDescent="0.3">
      <c r="A2149" s="6">
        <v>26</v>
      </c>
      <c r="B2149" t="s">
        <v>599</v>
      </c>
      <c r="C2149" s="9" t="s">
        <v>932</v>
      </c>
      <c r="D2149" s="9">
        <v>18</v>
      </c>
      <c r="E2149" s="9" t="s">
        <v>1804</v>
      </c>
      <c r="F2149" t="s">
        <v>533</v>
      </c>
      <c r="G2149" t="s">
        <v>531</v>
      </c>
      <c r="H2149" t="s">
        <v>939</v>
      </c>
    </row>
    <row r="2150" spans="1:8" x14ac:dyDescent="0.3">
      <c r="A2150" s="6">
        <v>26</v>
      </c>
      <c r="B2150" t="s">
        <v>599</v>
      </c>
      <c r="C2150" s="9" t="s">
        <v>932</v>
      </c>
      <c r="D2150" s="9">
        <v>30</v>
      </c>
      <c r="E2150" s="9" t="s">
        <v>1804</v>
      </c>
      <c r="F2150" t="s">
        <v>534</v>
      </c>
      <c r="G2150" t="s">
        <v>531</v>
      </c>
      <c r="H2150" t="s">
        <v>940</v>
      </c>
    </row>
    <row r="2151" spans="1:8" x14ac:dyDescent="0.3">
      <c r="A2151" s="6">
        <v>26</v>
      </c>
      <c r="B2151" t="s">
        <v>599</v>
      </c>
      <c r="C2151" s="9" t="s">
        <v>1807</v>
      </c>
      <c r="D2151" s="9">
        <v>1230</v>
      </c>
      <c r="E2151" s="9" t="s">
        <v>1808</v>
      </c>
      <c r="F2151" t="s">
        <v>10</v>
      </c>
      <c r="G2151" t="s">
        <v>526</v>
      </c>
      <c r="H2151" t="s">
        <v>1812</v>
      </c>
    </row>
    <row r="2152" spans="1:8" x14ac:dyDescent="0.3">
      <c r="A2152" s="6">
        <v>26</v>
      </c>
      <c r="B2152" t="s">
        <v>599</v>
      </c>
      <c r="C2152" s="9" t="s">
        <v>1807</v>
      </c>
      <c r="D2152" s="9">
        <v>1300</v>
      </c>
      <c r="E2152" s="9" t="s">
        <v>1808</v>
      </c>
      <c r="F2152" t="s">
        <v>199</v>
      </c>
      <c r="G2152" t="s">
        <v>200</v>
      </c>
      <c r="H2152" t="s">
        <v>1271</v>
      </c>
    </row>
    <row r="2153" spans="1:8" x14ac:dyDescent="0.3">
      <c r="A2153" s="6">
        <v>26</v>
      </c>
      <c r="B2153" t="s">
        <v>599</v>
      </c>
      <c r="C2153" s="9" t="s">
        <v>932</v>
      </c>
      <c r="D2153" s="9">
        <v>42</v>
      </c>
      <c r="E2153" s="9" t="s">
        <v>1804</v>
      </c>
      <c r="F2153" t="s">
        <v>14</v>
      </c>
      <c r="G2153" t="s">
        <v>15</v>
      </c>
      <c r="H2153" t="s">
        <v>1290</v>
      </c>
    </row>
    <row r="2154" spans="1:8" x14ac:dyDescent="0.3">
      <c r="A2154" s="6">
        <v>26</v>
      </c>
      <c r="B2154" t="s">
        <v>599</v>
      </c>
      <c r="C2154" s="9" t="s">
        <v>1266</v>
      </c>
      <c r="D2154" s="9">
        <v>12</v>
      </c>
      <c r="E2154" s="9" t="s">
        <v>1804</v>
      </c>
      <c r="F2154" t="s">
        <v>17</v>
      </c>
      <c r="G2154" t="s">
        <v>15</v>
      </c>
      <c r="H2154" t="s">
        <v>1291</v>
      </c>
    </row>
    <row r="2155" spans="1:8" x14ac:dyDescent="0.3">
      <c r="A2155" s="6">
        <v>26</v>
      </c>
      <c r="B2155" t="s">
        <v>599</v>
      </c>
      <c r="C2155" s="9" t="s">
        <v>932</v>
      </c>
      <c r="D2155" s="9">
        <v>12</v>
      </c>
      <c r="E2155" s="9" t="s">
        <v>1804</v>
      </c>
      <c r="F2155" t="s">
        <v>204</v>
      </c>
      <c r="G2155" t="s">
        <v>15</v>
      </c>
      <c r="H2155" t="s">
        <v>1292</v>
      </c>
    </row>
    <row r="2156" spans="1:8" x14ac:dyDescent="0.3">
      <c r="A2156" s="6">
        <v>26</v>
      </c>
      <c r="B2156" t="s">
        <v>599</v>
      </c>
      <c r="C2156" s="9" t="s">
        <v>1807</v>
      </c>
      <c r="D2156" s="9">
        <v>165</v>
      </c>
      <c r="E2156" s="9" t="s">
        <v>1808</v>
      </c>
      <c r="F2156" t="s">
        <v>410</v>
      </c>
      <c r="G2156" t="s">
        <v>411</v>
      </c>
      <c r="H2156" t="s">
        <v>1313</v>
      </c>
    </row>
    <row r="2157" spans="1:8" x14ac:dyDescent="0.3">
      <c r="A2157" s="6">
        <v>26</v>
      </c>
      <c r="B2157" t="s">
        <v>599</v>
      </c>
      <c r="C2157" s="9" t="s">
        <v>1807</v>
      </c>
      <c r="D2157" s="9">
        <v>1350</v>
      </c>
      <c r="E2157" s="9" t="s">
        <v>1808</v>
      </c>
      <c r="F2157" t="s">
        <v>413</v>
      </c>
      <c r="G2157" t="s">
        <v>414</v>
      </c>
      <c r="H2157" t="s">
        <v>1332</v>
      </c>
    </row>
    <row r="2158" spans="1:8" x14ac:dyDescent="0.3">
      <c r="A2158" s="6">
        <v>26</v>
      </c>
      <c r="B2158" t="s">
        <v>599</v>
      </c>
      <c r="C2158" s="9" t="s">
        <v>1807</v>
      </c>
      <c r="D2158" s="9">
        <v>1200</v>
      </c>
      <c r="E2158" s="9" t="s">
        <v>1808</v>
      </c>
      <c r="F2158" t="s">
        <v>416</v>
      </c>
      <c r="G2158" t="s">
        <v>47</v>
      </c>
      <c r="H2158" t="s">
        <v>1401</v>
      </c>
    </row>
    <row r="2159" spans="1:8" x14ac:dyDescent="0.3">
      <c r="A2159" s="6">
        <v>26</v>
      </c>
      <c r="B2159" t="s">
        <v>599</v>
      </c>
      <c r="C2159" s="9" t="s">
        <v>932</v>
      </c>
      <c r="D2159" s="9">
        <v>33</v>
      </c>
      <c r="E2159" s="9" t="s">
        <v>1804</v>
      </c>
      <c r="F2159" t="s">
        <v>390</v>
      </c>
      <c r="G2159" t="s">
        <v>391</v>
      </c>
      <c r="H2159" t="s">
        <v>1449</v>
      </c>
    </row>
    <row r="2160" spans="1:8" x14ac:dyDescent="0.3">
      <c r="A2160" s="6">
        <v>26</v>
      </c>
      <c r="B2160" t="s">
        <v>599</v>
      </c>
      <c r="C2160" s="9" t="s">
        <v>932</v>
      </c>
      <c r="D2160" s="9">
        <v>30</v>
      </c>
      <c r="E2160" s="9" t="s">
        <v>1804</v>
      </c>
      <c r="F2160" t="s">
        <v>35</v>
      </c>
      <c r="G2160" t="s">
        <v>32</v>
      </c>
      <c r="H2160" t="s">
        <v>1489</v>
      </c>
    </row>
    <row r="2161" spans="1:8" x14ac:dyDescent="0.3">
      <c r="A2161" s="6">
        <v>26</v>
      </c>
      <c r="B2161" t="s">
        <v>599</v>
      </c>
      <c r="C2161" s="9" t="s">
        <v>1807</v>
      </c>
      <c r="D2161" s="9">
        <v>750</v>
      </c>
      <c r="E2161" s="9" t="s">
        <v>1808</v>
      </c>
      <c r="F2161" t="s">
        <v>590</v>
      </c>
      <c r="G2161" t="s">
        <v>504</v>
      </c>
      <c r="H2161" t="s">
        <v>1498</v>
      </c>
    </row>
    <row r="2162" spans="1:8" x14ac:dyDescent="0.3">
      <c r="A2162" s="6">
        <v>26</v>
      </c>
      <c r="B2162" t="s">
        <v>599</v>
      </c>
      <c r="C2162" s="9" t="s">
        <v>1807</v>
      </c>
      <c r="D2162" s="9">
        <v>1050</v>
      </c>
      <c r="E2162" s="9" t="s">
        <v>1808</v>
      </c>
      <c r="F2162" t="s">
        <v>600</v>
      </c>
      <c r="G2162" t="s">
        <v>423</v>
      </c>
      <c r="H2162" t="s">
        <v>1139</v>
      </c>
    </row>
    <row r="2163" spans="1:8" x14ac:dyDescent="0.3">
      <c r="A2163" s="6">
        <v>26</v>
      </c>
      <c r="B2163" t="s">
        <v>599</v>
      </c>
      <c r="C2163" s="9" t="s">
        <v>932</v>
      </c>
      <c r="D2163" s="9">
        <v>34</v>
      </c>
      <c r="E2163" s="9" t="s">
        <v>1804</v>
      </c>
      <c r="F2163" t="s">
        <v>422</v>
      </c>
      <c r="G2163" t="s">
        <v>423</v>
      </c>
      <c r="H2163" t="s">
        <v>1149</v>
      </c>
    </row>
    <row r="2164" spans="1:8" x14ac:dyDescent="0.3">
      <c r="A2164" s="6">
        <v>26</v>
      </c>
      <c r="B2164" t="s">
        <v>599</v>
      </c>
      <c r="C2164" s="9" t="s">
        <v>1807</v>
      </c>
      <c r="D2164" s="9">
        <v>900</v>
      </c>
      <c r="E2164" s="9" t="s">
        <v>1808</v>
      </c>
      <c r="F2164" t="s">
        <v>601</v>
      </c>
      <c r="G2164" t="s">
        <v>108</v>
      </c>
      <c r="H2164" t="s">
        <v>1141</v>
      </c>
    </row>
    <row r="2165" spans="1:8" x14ac:dyDescent="0.3">
      <c r="A2165" s="6">
        <v>26</v>
      </c>
      <c r="B2165" t="s">
        <v>599</v>
      </c>
      <c r="C2165" s="9" t="s">
        <v>932</v>
      </c>
      <c r="D2165" s="9">
        <v>27</v>
      </c>
      <c r="E2165" s="9" t="s">
        <v>1804</v>
      </c>
      <c r="F2165" t="s">
        <v>37</v>
      </c>
      <c r="G2165" t="s">
        <v>38</v>
      </c>
      <c r="H2165" t="s">
        <v>1164</v>
      </c>
    </row>
    <row r="2166" spans="1:8" x14ac:dyDescent="0.3">
      <c r="A2166" s="6">
        <v>26</v>
      </c>
      <c r="B2166" t="s">
        <v>599</v>
      </c>
      <c r="C2166" s="9" t="s">
        <v>932</v>
      </c>
      <c r="D2166" s="9">
        <v>27</v>
      </c>
      <c r="E2166" s="9" t="s">
        <v>1804</v>
      </c>
      <c r="F2166" t="s">
        <v>40</v>
      </c>
      <c r="G2166" t="s">
        <v>41</v>
      </c>
      <c r="H2166" t="s">
        <v>1169</v>
      </c>
    </row>
    <row r="2167" spans="1:8" x14ac:dyDescent="0.3">
      <c r="A2167" s="6">
        <v>26</v>
      </c>
      <c r="B2167" t="s">
        <v>599</v>
      </c>
      <c r="C2167" s="9" t="s">
        <v>932</v>
      </c>
      <c r="D2167" s="9">
        <v>24</v>
      </c>
      <c r="E2167" s="9" t="s">
        <v>1804</v>
      </c>
      <c r="F2167" t="s">
        <v>232</v>
      </c>
      <c r="G2167" t="s">
        <v>144</v>
      </c>
      <c r="H2167" t="s">
        <v>1171</v>
      </c>
    </row>
    <row r="2168" spans="1:8" x14ac:dyDescent="0.3">
      <c r="A2168" s="6">
        <v>26</v>
      </c>
      <c r="B2168" t="s">
        <v>599</v>
      </c>
      <c r="C2168" s="9" t="s">
        <v>932</v>
      </c>
      <c r="D2168" s="9">
        <v>15</v>
      </c>
      <c r="E2168" s="9" t="s">
        <v>1804</v>
      </c>
      <c r="F2168" t="s">
        <v>515</v>
      </c>
      <c r="G2168" t="s">
        <v>238</v>
      </c>
      <c r="H2168" t="s">
        <v>1064</v>
      </c>
    </row>
    <row r="2169" spans="1:8" x14ac:dyDescent="0.3">
      <c r="A2169" s="6">
        <v>26</v>
      </c>
      <c r="B2169" t="s">
        <v>599</v>
      </c>
      <c r="C2169" s="9" t="s">
        <v>1807</v>
      </c>
      <c r="D2169" s="9">
        <v>1200</v>
      </c>
      <c r="E2169" s="9" t="s">
        <v>1808</v>
      </c>
      <c r="F2169" t="s">
        <v>240</v>
      </c>
      <c r="G2169" t="s">
        <v>241</v>
      </c>
      <c r="H2169" t="s">
        <v>1427</v>
      </c>
    </row>
    <row r="2170" spans="1:8" x14ac:dyDescent="0.3">
      <c r="A2170" s="6">
        <v>26</v>
      </c>
      <c r="B2170" t="s">
        <v>599</v>
      </c>
      <c r="C2170" s="9" t="s">
        <v>932</v>
      </c>
      <c r="D2170" s="9">
        <v>30</v>
      </c>
      <c r="E2170" s="9" t="s">
        <v>1804</v>
      </c>
      <c r="F2170" t="s">
        <v>247</v>
      </c>
      <c r="G2170" t="s">
        <v>51</v>
      </c>
      <c r="H2170" t="s">
        <v>1599</v>
      </c>
    </row>
    <row r="2171" spans="1:8" x14ac:dyDescent="0.3">
      <c r="A2171" s="6">
        <v>26</v>
      </c>
      <c r="B2171" t="s">
        <v>599</v>
      </c>
      <c r="C2171" s="9" t="s">
        <v>1807</v>
      </c>
      <c r="D2171" s="9">
        <v>600</v>
      </c>
      <c r="E2171" s="9" t="s">
        <v>1808</v>
      </c>
      <c r="F2171" t="s">
        <v>602</v>
      </c>
      <c r="G2171" t="s">
        <v>57</v>
      </c>
      <c r="H2171" t="s">
        <v>1624</v>
      </c>
    </row>
    <row r="2172" spans="1:8" x14ac:dyDescent="0.3">
      <c r="A2172" s="6">
        <v>26</v>
      </c>
      <c r="B2172" t="s">
        <v>599</v>
      </c>
      <c r="C2172" s="9" t="s">
        <v>1807</v>
      </c>
      <c r="D2172" s="9">
        <v>750</v>
      </c>
      <c r="E2172" s="9" t="s">
        <v>1808</v>
      </c>
      <c r="F2172" t="s">
        <v>248</v>
      </c>
      <c r="G2172" t="s">
        <v>249</v>
      </c>
      <c r="H2172" t="s">
        <v>979</v>
      </c>
    </row>
    <row r="2173" spans="1:8" x14ac:dyDescent="0.3">
      <c r="A2173" s="6">
        <v>26</v>
      </c>
      <c r="B2173" t="s">
        <v>599</v>
      </c>
      <c r="C2173" s="9" t="s">
        <v>1807</v>
      </c>
      <c r="D2173" s="9">
        <v>1500</v>
      </c>
      <c r="E2173" s="9" t="s">
        <v>1808</v>
      </c>
      <c r="F2173" t="s">
        <v>603</v>
      </c>
      <c r="G2173" t="s">
        <v>604</v>
      </c>
      <c r="H2173" t="s">
        <v>1208</v>
      </c>
    </row>
    <row r="2174" spans="1:8" x14ac:dyDescent="0.3">
      <c r="A2174" s="6">
        <v>26</v>
      </c>
      <c r="B2174" t="s">
        <v>599</v>
      </c>
      <c r="C2174" s="9" t="s">
        <v>1807</v>
      </c>
      <c r="D2174" s="9">
        <v>1400</v>
      </c>
      <c r="E2174" s="9" t="s">
        <v>1808</v>
      </c>
      <c r="F2174" t="s">
        <v>446</v>
      </c>
      <c r="G2174" t="s">
        <v>447</v>
      </c>
      <c r="H2174" t="s">
        <v>1719</v>
      </c>
    </row>
    <row r="2175" spans="1:8" x14ac:dyDescent="0.3">
      <c r="A2175" s="6">
        <v>26</v>
      </c>
      <c r="B2175" t="s">
        <v>599</v>
      </c>
      <c r="C2175" s="9" t="s">
        <v>1807</v>
      </c>
      <c r="D2175" s="9">
        <v>1800</v>
      </c>
      <c r="E2175" s="9" t="s">
        <v>1808</v>
      </c>
      <c r="F2175" t="s">
        <v>449</v>
      </c>
      <c r="G2175" t="s">
        <v>450</v>
      </c>
      <c r="H2175" t="s">
        <v>1711</v>
      </c>
    </row>
    <row r="2176" spans="1:8" x14ac:dyDescent="0.3">
      <c r="A2176" s="6">
        <v>26</v>
      </c>
      <c r="B2176" t="s">
        <v>599</v>
      </c>
      <c r="C2176" s="9" t="s">
        <v>932</v>
      </c>
      <c r="D2176" s="9">
        <v>18</v>
      </c>
      <c r="E2176" s="9" t="s">
        <v>1804</v>
      </c>
      <c r="F2176" t="s">
        <v>65</v>
      </c>
      <c r="G2176" t="s">
        <v>66</v>
      </c>
      <c r="H2176" t="s">
        <v>1791</v>
      </c>
    </row>
    <row r="2177" spans="1:8" x14ac:dyDescent="0.3">
      <c r="A2177" s="6">
        <v>26</v>
      </c>
      <c r="B2177" t="s">
        <v>599</v>
      </c>
      <c r="C2177" s="9" t="s">
        <v>1807</v>
      </c>
      <c r="D2177" s="9">
        <v>420</v>
      </c>
      <c r="E2177" s="9" t="s">
        <v>1808</v>
      </c>
      <c r="F2177" t="s">
        <v>68</v>
      </c>
      <c r="G2177" t="s">
        <v>69</v>
      </c>
      <c r="H2177" t="s">
        <v>1551</v>
      </c>
    </row>
    <row r="2178" spans="1:8" x14ac:dyDescent="0.3">
      <c r="A2178" s="6">
        <v>26</v>
      </c>
      <c r="B2178" t="s">
        <v>599</v>
      </c>
      <c r="C2178" s="9" t="s">
        <v>1807</v>
      </c>
      <c r="D2178" s="9">
        <v>770</v>
      </c>
      <c r="E2178" s="9" t="s">
        <v>1808</v>
      </c>
      <c r="F2178" t="s">
        <v>71</v>
      </c>
      <c r="G2178" t="s">
        <v>72</v>
      </c>
      <c r="H2178" t="s">
        <v>1565</v>
      </c>
    </row>
    <row r="2179" spans="1:8" x14ac:dyDescent="0.3">
      <c r="A2179" s="6">
        <v>26</v>
      </c>
      <c r="B2179" t="s">
        <v>599</v>
      </c>
      <c r="C2179" s="9" t="s">
        <v>1807</v>
      </c>
      <c r="D2179" s="9">
        <v>518</v>
      </c>
      <c r="E2179" s="9" t="s">
        <v>1808</v>
      </c>
      <c r="F2179" t="s">
        <v>74</v>
      </c>
      <c r="G2179" t="s">
        <v>72</v>
      </c>
      <c r="H2179" t="s">
        <v>1566</v>
      </c>
    </row>
    <row r="2180" spans="1:8" x14ac:dyDescent="0.3">
      <c r="A2180" s="6">
        <v>26</v>
      </c>
      <c r="B2180" t="s">
        <v>599</v>
      </c>
      <c r="C2180" s="9" t="s">
        <v>1807</v>
      </c>
      <c r="D2180" s="9">
        <v>398</v>
      </c>
      <c r="E2180" s="9" t="s">
        <v>1808</v>
      </c>
      <c r="F2180" t="s">
        <v>318</v>
      </c>
      <c r="G2180" t="s">
        <v>76</v>
      </c>
      <c r="H2180" t="s">
        <v>1578</v>
      </c>
    </row>
    <row r="2181" spans="1:8" x14ac:dyDescent="0.3">
      <c r="A2181" s="6">
        <v>26</v>
      </c>
      <c r="B2181" t="s">
        <v>599</v>
      </c>
      <c r="C2181" s="9" t="s">
        <v>1807</v>
      </c>
      <c r="D2181" s="9">
        <v>232</v>
      </c>
      <c r="E2181" s="9" t="s">
        <v>1808</v>
      </c>
      <c r="F2181" t="s">
        <v>606</v>
      </c>
      <c r="G2181" t="s">
        <v>607</v>
      </c>
      <c r="H2181" t="s">
        <v>1580</v>
      </c>
    </row>
    <row r="2182" spans="1:8" x14ac:dyDescent="0.3">
      <c r="A2182" s="6">
        <v>26</v>
      </c>
      <c r="B2182" t="s">
        <v>599</v>
      </c>
      <c r="C2182" s="9" t="s">
        <v>1814</v>
      </c>
      <c r="D2182" s="9">
        <v>10000</v>
      </c>
      <c r="E2182" s="9" t="s">
        <v>1808</v>
      </c>
      <c r="F2182" t="s">
        <v>162</v>
      </c>
      <c r="G2182" t="s">
        <v>273</v>
      </c>
      <c r="H2182" t="s">
        <v>1816</v>
      </c>
    </row>
    <row r="2183" spans="1:8" x14ac:dyDescent="0.3">
      <c r="A2183" s="6">
        <v>26</v>
      </c>
      <c r="B2183" t="s">
        <v>599</v>
      </c>
      <c r="C2183" s="9" t="s">
        <v>1814</v>
      </c>
      <c r="D2183" s="9">
        <v>10000</v>
      </c>
      <c r="E2183" s="9" t="s">
        <v>1808</v>
      </c>
      <c r="F2183" t="s">
        <v>164</v>
      </c>
      <c r="G2183" t="s">
        <v>276</v>
      </c>
      <c r="H2183" t="s">
        <v>1832</v>
      </c>
    </row>
    <row r="2184" spans="1:8" x14ac:dyDescent="0.3">
      <c r="A2184" s="6">
        <v>26</v>
      </c>
      <c r="B2184" t="s">
        <v>599</v>
      </c>
      <c r="C2184" s="9" t="s">
        <v>1809</v>
      </c>
      <c r="D2184" s="9">
        <v>60</v>
      </c>
      <c r="E2184" s="9" t="s">
        <v>1804</v>
      </c>
      <c r="F2184" t="s">
        <v>78</v>
      </c>
      <c r="G2184" t="s">
        <v>1810</v>
      </c>
      <c r="H2184" t="s">
        <v>1811</v>
      </c>
    </row>
    <row r="2185" spans="1:8" x14ac:dyDescent="0.3">
      <c r="A2185" s="6">
        <v>26</v>
      </c>
      <c r="B2185" t="s">
        <v>599</v>
      </c>
      <c r="C2185" s="9" t="s">
        <v>963</v>
      </c>
      <c r="D2185" s="9">
        <v>60</v>
      </c>
      <c r="E2185" s="9" t="s">
        <v>1804</v>
      </c>
      <c r="F2185" t="s">
        <v>579</v>
      </c>
      <c r="G2185" t="s">
        <v>531</v>
      </c>
      <c r="H2185" t="s">
        <v>967</v>
      </c>
    </row>
    <row r="2186" spans="1:8" x14ac:dyDescent="0.3">
      <c r="A2186" s="6">
        <v>26</v>
      </c>
      <c r="B2186" t="s">
        <v>599</v>
      </c>
      <c r="C2186" s="9" t="s">
        <v>963</v>
      </c>
      <c r="D2186" s="9">
        <v>60</v>
      </c>
      <c r="E2186" s="9" t="s">
        <v>1804</v>
      </c>
      <c r="F2186" t="s">
        <v>609</v>
      </c>
      <c r="G2186" t="s">
        <v>610</v>
      </c>
      <c r="H2186" t="s">
        <v>970</v>
      </c>
    </row>
    <row r="2187" spans="1:8" x14ac:dyDescent="0.3">
      <c r="A2187" s="6">
        <v>26</v>
      </c>
      <c r="B2187" t="s">
        <v>599</v>
      </c>
      <c r="C2187" s="9" t="s">
        <v>963</v>
      </c>
      <c r="D2187" s="9">
        <v>88</v>
      </c>
      <c r="E2187" s="9" t="s">
        <v>1804</v>
      </c>
      <c r="F2187" t="s">
        <v>84</v>
      </c>
      <c r="G2187" t="s">
        <v>85</v>
      </c>
      <c r="H2187" t="s">
        <v>1342</v>
      </c>
    </row>
    <row r="2188" spans="1:8" x14ac:dyDescent="0.3">
      <c r="A2188" s="6">
        <v>26</v>
      </c>
      <c r="B2188" t="s">
        <v>599</v>
      </c>
      <c r="C2188" s="9" t="s">
        <v>963</v>
      </c>
      <c r="D2188" s="9">
        <v>60</v>
      </c>
      <c r="E2188" s="9" t="s">
        <v>1804</v>
      </c>
      <c r="F2188" t="s">
        <v>612</v>
      </c>
      <c r="G2188" t="s">
        <v>613</v>
      </c>
      <c r="H2188" t="s">
        <v>1343</v>
      </c>
    </row>
    <row r="2189" spans="1:8" x14ac:dyDescent="0.3">
      <c r="A2189" s="6">
        <v>26</v>
      </c>
      <c r="B2189" t="s">
        <v>599</v>
      </c>
      <c r="C2189" s="9" t="s">
        <v>963</v>
      </c>
      <c r="D2189" s="9">
        <v>73</v>
      </c>
      <c r="E2189" s="9" t="s">
        <v>1804</v>
      </c>
      <c r="F2189" t="s">
        <v>90</v>
      </c>
      <c r="G2189" t="s">
        <v>15</v>
      </c>
      <c r="H2189" t="s">
        <v>1351</v>
      </c>
    </row>
    <row r="2190" spans="1:8" x14ac:dyDescent="0.3">
      <c r="A2190" s="6">
        <v>26</v>
      </c>
      <c r="B2190" t="s">
        <v>599</v>
      </c>
      <c r="C2190" s="9" t="s">
        <v>963</v>
      </c>
      <c r="D2190" s="9">
        <v>77</v>
      </c>
      <c r="E2190" s="9" t="s">
        <v>1804</v>
      </c>
      <c r="F2190" t="s">
        <v>91</v>
      </c>
      <c r="G2190" t="s">
        <v>92</v>
      </c>
      <c r="H2190" t="s">
        <v>1353</v>
      </c>
    </row>
    <row r="2191" spans="1:8" x14ac:dyDescent="0.3">
      <c r="A2191" s="6">
        <v>26</v>
      </c>
      <c r="B2191" t="s">
        <v>599</v>
      </c>
      <c r="C2191" s="9" t="s">
        <v>963</v>
      </c>
      <c r="D2191" s="9">
        <v>72</v>
      </c>
      <c r="E2191" s="9" t="s">
        <v>1804</v>
      </c>
      <c r="F2191" t="s">
        <v>101</v>
      </c>
      <c r="G2191" t="s">
        <v>102</v>
      </c>
      <c r="H2191" t="s">
        <v>1365</v>
      </c>
    </row>
    <row r="2192" spans="1:8" x14ac:dyDescent="0.3">
      <c r="A2192" s="6">
        <v>26</v>
      </c>
      <c r="B2192" t="s">
        <v>599</v>
      </c>
      <c r="C2192" s="9" t="s">
        <v>963</v>
      </c>
      <c r="D2192" s="9">
        <v>60</v>
      </c>
      <c r="E2192" s="9" t="s">
        <v>1804</v>
      </c>
      <c r="F2192" t="s">
        <v>170</v>
      </c>
      <c r="G2192" t="s">
        <v>171</v>
      </c>
      <c r="H2192" t="s">
        <v>1535</v>
      </c>
    </row>
    <row r="2193" spans="1:8" x14ac:dyDescent="0.3">
      <c r="A2193" s="6">
        <v>26</v>
      </c>
      <c r="B2193" t="s">
        <v>599</v>
      </c>
      <c r="C2193" s="9" t="s">
        <v>963</v>
      </c>
      <c r="D2193" s="9">
        <v>60</v>
      </c>
      <c r="E2193" s="9" t="s">
        <v>1804</v>
      </c>
      <c r="F2193" t="s">
        <v>106</v>
      </c>
      <c r="G2193" t="s">
        <v>32</v>
      </c>
      <c r="H2193" t="s">
        <v>1537</v>
      </c>
    </row>
    <row r="2194" spans="1:8" x14ac:dyDescent="0.3">
      <c r="A2194" s="6">
        <v>26</v>
      </c>
      <c r="B2194" t="s">
        <v>599</v>
      </c>
      <c r="C2194" s="9" t="s">
        <v>963</v>
      </c>
      <c r="D2194" s="9">
        <v>60</v>
      </c>
      <c r="E2194" s="9" t="s">
        <v>1804</v>
      </c>
      <c r="F2194" t="s">
        <v>107</v>
      </c>
      <c r="G2194" t="s">
        <v>108</v>
      </c>
      <c r="H2194" t="s">
        <v>1140</v>
      </c>
    </row>
    <row r="2195" spans="1:8" x14ac:dyDescent="0.3">
      <c r="A2195" s="6">
        <v>26</v>
      </c>
      <c r="B2195" t="s">
        <v>599</v>
      </c>
      <c r="C2195" s="9" t="s">
        <v>963</v>
      </c>
      <c r="D2195" s="9">
        <v>60</v>
      </c>
      <c r="E2195" s="9" t="s">
        <v>1804</v>
      </c>
      <c r="F2195" t="s">
        <v>351</v>
      </c>
      <c r="G2195" t="s">
        <v>38</v>
      </c>
      <c r="H2195" t="s">
        <v>1142</v>
      </c>
    </row>
    <row r="2196" spans="1:8" x14ac:dyDescent="0.3">
      <c r="A2196" s="6">
        <v>26</v>
      </c>
      <c r="B2196" t="s">
        <v>599</v>
      </c>
      <c r="C2196" s="9" t="s">
        <v>963</v>
      </c>
      <c r="D2196" s="9">
        <v>60</v>
      </c>
      <c r="E2196" s="9" t="s">
        <v>1804</v>
      </c>
      <c r="F2196" t="s">
        <v>110</v>
      </c>
      <c r="G2196" t="s">
        <v>41</v>
      </c>
      <c r="H2196" t="s">
        <v>1144</v>
      </c>
    </row>
    <row r="2197" spans="1:8" x14ac:dyDescent="0.3">
      <c r="A2197" s="6">
        <v>26</v>
      </c>
      <c r="B2197" t="s">
        <v>599</v>
      </c>
      <c r="C2197" s="9" t="s">
        <v>963</v>
      </c>
      <c r="D2197" s="9">
        <v>60</v>
      </c>
      <c r="E2197" s="9" t="s">
        <v>1804</v>
      </c>
      <c r="F2197" t="s">
        <v>120</v>
      </c>
      <c r="G2197" t="s">
        <v>51</v>
      </c>
      <c r="H2197" t="s">
        <v>1590</v>
      </c>
    </row>
    <row r="2198" spans="1:8" x14ac:dyDescent="0.3">
      <c r="A2198" s="6">
        <v>26</v>
      </c>
      <c r="B2198" t="s">
        <v>599</v>
      </c>
      <c r="C2198" s="9" t="s">
        <v>963</v>
      </c>
      <c r="D2198" s="9">
        <v>60</v>
      </c>
      <c r="E2198" s="9" t="s">
        <v>1804</v>
      </c>
      <c r="F2198" t="s">
        <v>615</v>
      </c>
      <c r="G2198" t="s">
        <v>616</v>
      </c>
      <c r="H2198" t="s">
        <v>1683</v>
      </c>
    </row>
    <row r="2199" spans="1:8" x14ac:dyDescent="0.3">
      <c r="A2199" s="6">
        <v>26</v>
      </c>
      <c r="B2199" t="s">
        <v>599</v>
      </c>
      <c r="C2199" s="9" t="s">
        <v>963</v>
      </c>
      <c r="D2199" s="9">
        <v>68</v>
      </c>
      <c r="E2199" s="9" t="s">
        <v>1804</v>
      </c>
      <c r="F2199" t="s">
        <v>472</v>
      </c>
      <c r="G2199" t="s">
        <v>473</v>
      </c>
      <c r="H2199" t="s">
        <v>1686</v>
      </c>
    </row>
    <row r="2200" spans="1:8" x14ac:dyDescent="0.3">
      <c r="A2200" s="6">
        <v>26</v>
      </c>
      <c r="B2200" t="s">
        <v>599</v>
      </c>
      <c r="C2200" s="9" t="s">
        <v>963</v>
      </c>
      <c r="D2200" s="9">
        <v>60</v>
      </c>
      <c r="E2200" s="9" t="s">
        <v>1804</v>
      </c>
      <c r="F2200" t="s">
        <v>371</v>
      </c>
      <c r="G2200" t="s">
        <v>66</v>
      </c>
      <c r="H2200" t="s">
        <v>1799</v>
      </c>
    </row>
    <row r="2201" spans="1:8" x14ac:dyDescent="0.3">
      <c r="A2201" s="6">
        <v>26</v>
      </c>
      <c r="B2201" t="s">
        <v>599</v>
      </c>
      <c r="C2201" s="9" t="s">
        <v>963</v>
      </c>
      <c r="D2201" s="9">
        <v>60</v>
      </c>
      <c r="E2201" s="9" t="s">
        <v>1804</v>
      </c>
      <c r="F2201" t="s">
        <v>128</v>
      </c>
      <c r="G2201" t="s">
        <v>129</v>
      </c>
      <c r="H2201" t="s">
        <v>1582</v>
      </c>
    </row>
    <row r="2202" spans="1:8" x14ac:dyDescent="0.3">
      <c r="A2202" s="6">
        <v>26</v>
      </c>
      <c r="B2202" t="s">
        <v>599</v>
      </c>
      <c r="C2202" s="9" t="s">
        <v>963</v>
      </c>
      <c r="D2202" s="9">
        <v>60</v>
      </c>
      <c r="E2202" s="9" t="s">
        <v>1804</v>
      </c>
      <c r="F2202" t="s">
        <v>375</v>
      </c>
      <c r="G2202" t="s">
        <v>376</v>
      </c>
      <c r="H2202" t="s">
        <v>1586</v>
      </c>
    </row>
    <row r="2203" spans="1:8" x14ac:dyDescent="0.3">
      <c r="A2203" s="6">
        <v>27</v>
      </c>
      <c r="B2203" t="s">
        <v>587</v>
      </c>
      <c r="C2203" s="9" t="s">
        <v>1266</v>
      </c>
      <c r="D2203" s="9">
        <v>50</v>
      </c>
      <c r="E2203" s="9" t="s">
        <v>1804</v>
      </c>
      <c r="F2203" t="s">
        <v>8</v>
      </c>
      <c r="G2203" t="s">
        <v>526</v>
      </c>
      <c r="H2203" t="s">
        <v>1805</v>
      </c>
    </row>
    <row r="2204" spans="1:8" x14ac:dyDescent="0.3">
      <c r="A2204" s="6">
        <v>27</v>
      </c>
      <c r="B2204" t="s">
        <v>587</v>
      </c>
      <c r="C2204" s="9" t="s">
        <v>932</v>
      </c>
      <c r="D2204" s="9">
        <v>24</v>
      </c>
      <c r="E2204" s="9" t="s">
        <v>1804</v>
      </c>
      <c r="F2204" t="s">
        <v>195</v>
      </c>
      <c r="G2204" t="s">
        <v>196</v>
      </c>
      <c r="H2204" t="s">
        <v>1263</v>
      </c>
    </row>
    <row r="2205" spans="1:8" x14ac:dyDescent="0.3">
      <c r="A2205" s="6">
        <v>27</v>
      </c>
      <c r="B2205" t="s">
        <v>587</v>
      </c>
      <c r="C2205" s="9" t="s">
        <v>1266</v>
      </c>
      <c r="D2205" s="9">
        <v>40</v>
      </c>
      <c r="E2205" s="9" t="s">
        <v>1804</v>
      </c>
      <c r="F2205" t="s">
        <v>11</v>
      </c>
      <c r="G2205" t="s">
        <v>12</v>
      </c>
      <c r="H2205" t="s">
        <v>1277</v>
      </c>
    </row>
    <row r="2206" spans="1:8" x14ac:dyDescent="0.3">
      <c r="A2206" s="6">
        <v>27</v>
      </c>
      <c r="B2206" t="s">
        <v>587</v>
      </c>
      <c r="C2206" s="9" t="s">
        <v>1807</v>
      </c>
      <c r="D2206" s="9">
        <v>1050</v>
      </c>
      <c r="E2206" s="9" t="s">
        <v>1808</v>
      </c>
      <c r="F2206" t="s">
        <v>203</v>
      </c>
      <c r="G2206" t="s">
        <v>12</v>
      </c>
      <c r="H2206" t="s">
        <v>1821</v>
      </c>
    </row>
    <row r="2207" spans="1:8" x14ac:dyDescent="0.3">
      <c r="A2207" s="6">
        <v>27</v>
      </c>
      <c r="B2207" t="s">
        <v>587</v>
      </c>
      <c r="C2207" s="9" t="s">
        <v>932</v>
      </c>
      <c r="D2207" s="9">
        <v>42</v>
      </c>
      <c r="E2207" s="9" t="s">
        <v>1804</v>
      </c>
      <c r="F2207" t="s">
        <v>14</v>
      </c>
      <c r="G2207" t="s">
        <v>15</v>
      </c>
      <c r="H2207" t="s">
        <v>1290</v>
      </c>
    </row>
    <row r="2208" spans="1:8" x14ac:dyDescent="0.3">
      <c r="A2208" s="6">
        <v>27</v>
      </c>
      <c r="B2208" t="s">
        <v>587</v>
      </c>
      <c r="C2208" s="9" t="s">
        <v>1266</v>
      </c>
      <c r="D2208" s="9">
        <v>12</v>
      </c>
      <c r="E2208" s="9" t="s">
        <v>1804</v>
      </c>
      <c r="F2208" t="s">
        <v>17</v>
      </c>
      <c r="G2208" t="s">
        <v>15</v>
      </c>
      <c r="H2208" t="s">
        <v>1291</v>
      </c>
    </row>
    <row r="2209" spans="1:8" x14ac:dyDescent="0.3">
      <c r="A2209" s="6">
        <v>27</v>
      </c>
      <c r="B2209" t="s">
        <v>587</v>
      </c>
      <c r="C2209" s="9" t="s">
        <v>932</v>
      </c>
      <c r="D2209" s="9">
        <v>49</v>
      </c>
      <c r="E2209" s="9" t="s">
        <v>1804</v>
      </c>
      <c r="F2209" t="s">
        <v>18</v>
      </c>
      <c r="G2209" t="s">
        <v>19</v>
      </c>
      <c r="H2209" t="s">
        <v>1300</v>
      </c>
    </row>
    <row r="2210" spans="1:8" x14ac:dyDescent="0.3">
      <c r="A2210" s="6">
        <v>27</v>
      </c>
      <c r="B2210" t="s">
        <v>587</v>
      </c>
      <c r="C2210" s="9" t="s">
        <v>1807</v>
      </c>
      <c r="D2210" s="9">
        <v>120</v>
      </c>
      <c r="E2210" s="9" t="s">
        <v>1808</v>
      </c>
      <c r="F2210" t="s">
        <v>25</v>
      </c>
      <c r="G2210" t="s">
        <v>26</v>
      </c>
      <c r="H2210" t="s">
        <v>1333</v>
      </c>
    </row>
    <row r="2211" spans="1:8" x14ac:dyDescent="0.3">
      <c r="A2211" s="6">
        <v>27</v>
      </c>
      <c r="B2211" t="s">
        <v>587</v>
      </c>
      <c r="C2211" s="9" t="s">
        <v>932</v>
      </c>
      <c r="D2211" s="9">
        <v>36</v>
      </c>
      <c r="E2211" s="9" t="s">
        <v>1804</v>
      </c>
      <c r="F2211" t="s">
        <v>28</v>
      </c>
      <c r="G2211" t="s">
        <v>29</v>
      </c>
      <c r="H2211" t="s">
        <v>1180</v>
      </c>
    </row>
    <row r="2212" spans="1:8" x14ac:dyDescent="0.3">
      <c r="A2212" s="6">
        <v>27</v>
      </c>
      <c r="B2212" t="s">
        <v>587</v>
      </c>
      <c r="C2212" s="9" t="s">
        <v>932</v>
      </c>
      <c r="D2212" s="9">
        <v>12</v>
      </c>
      <c r="E2212" s="9" t="s">
        <v>1804</v>
      </c>
      <c r="F2212" t="s">
        <v>588</v>
      </c>
      <c r="G2212" t="s">
        <v>29</v>
      </c>
      <c r="H2212" t="s">
        <v>1183</v>
      </c>
    </row>
    <row r="2213" spans="1:8" x14ac:dyDescent="0.3">
      <c r="A2213" s="6">
        <v>27</v>
      </c>
      <c r="B2213" t="s">
        <v>587</v>
      </c>
      <c r="C2213" s="9" t="s">
        <v>932</v>
      </c>
      <c r="D2213" s="9">
        <v>12</v>
      </c>
      <c r="E2213" s="9" t="s">
        <v>1804</v>
      </c>
      <c r="F2213" t="s">
        <v>589</v>
      </c>
      <c r="G2213" t="s">
        <v>29</v>
      </c>
      <c r="H2213" t="s">
        <v>1184</v>
      </c>
    </row>
    <row r="2214" spans="1:8" x14ac:dyDescent="0.3">
      <c r="A2214" s="6">
        <v>27</v>
      </c>
      <c r="B2214" t="s">
        <v>587</v>
      </c>
      <c r="C2214" s="9" t="s">
        <v>932</v>
      </c>
      <c r="D2214" s="9">
        <v>18</v>
      </c>
      <c r="E2214" s="9" t="s">
        <v>1804</v>
      </c>
      <c r="F2214" t="s">
        <v>389</v>
      </c>
      <c r="G2214" t="s">
        <v>171</v>
      </c>
      <c r="H2214" t="s">
        <v>1447</v>
      </c>
    </row>
    <row r="2215" spans="1:8" x14ac:dyDescent="0.3">
      <c r="A2215" s="6">
        <v>27</v>
      </c>
      <c r="B2215" t="s">
        <v>587</v>
      </c>
      <c r="C2215" s="9" t="s">
        <v>932</v>
      </c>
      <c r="D2215" s="9">
        <v>33</v>
      </c>
      <c r="E2215" s="9" t="s">
        <v>1804</v>
      </c>
      <c r="F2215" t="s">
        <v>390</v>
      </c>
      <c r="G2215" t="s">
        <v>391</v>
      </c>
      <c r="H2215" t="s">
        <v>1449</v>
      </c>
    </row>
    <row r="2216" spans="1:8" x14ac:dyDescent="0.3">
      <c r="A2216" s="6">
        <v>27</v>
      </c>
      <c r="B2216" t="s">
        <v>587</v>
      </c>
      <c r="C2216" s="9" t="s">
        <v>932</v>
      </c>
      <c r="D2216" s="9">
        <v>35</v>
      </c>
      <c r="E2216" s="9" t="s">
        <v>1804</v>
      </c>
      <c r="F2216" t="s">
        <v>421</v>
      </c>
      <c r="G2216" t="s">
        <v>115</v>
      </c>
      <c r="H2216" t="s">
        <v>1464</v>
      </c>
    </row>
    <row r="2217" spans="1:8" x14ac:dyDescent="0.3">
      <c r="A2217" s="6">
        <v>27</v>
      </c>
      <c r="B2217" t="s">
        <v>587</v>
      </c>
      <c r="C2217" s="9" t="s">
        <v>932</v>
      </c>
      <c r="D2217" s="9">
        <v>32</v>
      </c>
      <c r="E2217" s="9" t="s">
        <v>1804</v>
      </c>
      <c r="F2217" t="s">
        <v>219</v>
      </c>
      <c r="G2217" t="s">
        <v>32</v>
      </c>
      <c r="H2217" t="s">
        <v>1484</v>
      </c>
    </row>
    <row r="2218" spans="1:8" x14ac:dyDescent="0.3">
      <c r="A2218" s="6">
        <v>27</v>
      </c>
      <c r="B2218" t="s">
        <v>587</v>
      </c>
      <c r="C2218" s="9" t="s">
        <v>932</v>
      </c>
      <c r="D2218" s="9">
        <v>21</v>
      </c>
      <c r="E2218" s="9" t="s">
        <v>1804</v>
      </c>
      <c r="F2218" t="s">
        <v>34</v>
      </c>
      <c r="G2218" t="s">
        <v>32</v>
      </c>
      <c r="H2218" t="s">
        <v>1485</v>
      </c>
    </row>
    <row r="2219" spans="1:8" x14ac:dyDescent="0.3">
      <c r="A2219" s="6">
        <v>27</v>
      </c>
      <c r="B2219" t="s">
        <v>587</v>
      </c>
      <c r="C2219" s="9" t="s">
        <v>932</v>
      </c>
      <c r="D2219" s="9">
        <v>24</v>
      </c>
      <c r="E2219" s="9" t="s">
        <v>1804</v>
      </c>
      <c r="F2219" t="s">
        <v>542</v>
      </c>
      <c r="G2219" t="s">
        <v>32</v>
      </c>
      <c r="H2219" t="s">
        <v>1487</v>
      </c>
    </row>
    <row r="2220" spans="1:8" x14ac:dyDescent="0.3">
      <c r="A2220" s="6">
        <v>27</v>
      </c>
      <c r="B2220" t="s">
        <v>587</v>
      </c>
      <c r="C2220" s="9" t="s">
        <v>932</v>
      </c>
      <c r="D2220" s="9">
        <v>30</v>
      </c>
      <c r="E2220" s="9" t="s">
        <v>1804</v>
      </c>
      <c r="F2220" t="s">
        <v>35</v>
      </c>
      <c r="G2220" t="s">
        <v>32</v>
      </c>
      <c r="H2220" t="s">
        <v>1489</v>
      </c>
    </row>
    <row r="2221" spans="1:8" x14ac:dyDescent="0.3">
      <c r="A2221" s="6">
        <v>27</v>
      </c>
      <c r="B2221" t="s">
        <v>587</v>
      </c>
      <c r="C2221" s="9" t="s">
        <v>932</v>
      </c>
      <c r="D2221" s="9">
        <v>21</v>
      </c>
      <c r="E2221" s="9" t="s">
        <v>1804</v>
      </c>
      <c r="F2221" t="s">
        <v>36</v>
      </c>
      <c r="G2221" t="s">
        <v>32</v>
      </c>
      <c r="H2221" t="s">
        <v>1492</v>
      </c>
    </row>
    <row r="2222" spans="1:8" x14ac:dyDescent="0.3">
      <c r="A2222" s="6">
        <v>27</v>
      </c>
      <c r="B2222" t="s">
        <v>587</v>
      </c>
      <c r="C2222" s="9" t="s">
        <v>1807</v>
      </c>
      <c r="D2222" s="9">
        <v>750</v>
      </c>
      <c r="E2222" s="9" t="s">
        <v>1808</v>
      </c>
      <c r="F2222" t="s">
        <v>590</v>
      </c>
      <c r="G2222" t="s">
        <v>504</v>
      </c>
      <c r="H2222" t="s">
        <v>1498</v>
      </c>
    </row>
    <row r="2223" spans="1:8" x14ac:dyDescent="0.3">
      <c r="A2223" s="6">
        <v>27</v>
      </c>
      <c r="B2223" t="s">
        <v>587</v>
      </c>
      <c r="C2223" s="9" t="s">
        <v>932</v>
      </c>
      <c r="D2223" s="9">
        <v>12</v>
      </c>
      <c r="E2223" s="9" t="s">
        <v>1804</v>
      </c>
      <c r="F2223" t="s">
        <v>153</v>
      </c>
      <c r="G2223" t="s">
        <v>108</v>
      </c>
      <c r="H2223" t="s">
        <v>1150</v>
      </c>
    </row>
    <row r="2224" spans="1:8" x14ac:dyDescent="0.3">
      <c r="A2224" s="6">
        <v>27</v>
      </c>
      <c r="B2224" t="s">
        <v>587</v>
      </c>
      <c r="C2224" s="9" t="s">
        <v>932</v>
      </c>
      <c r="D2224" s="9">
        <v>27</v>
      </c>
      <c r="E2224" s="9" t="s">
        <v>1804</v>
      </c>
      <c r="F2224" t="s">
        <v>37</v>
      </c>
      <c r="G2224" t="s">
        <v>38</v>
      </c>
      <c r="H2224" t="s">
        <v>1164</v>
      </c>
    </row>
    <row r="2225" spans="1:8" x14ac:dyDescent="0.3">
      <c r="A2225" s="6">
        <v>27</v>
      </c>
      <c r="B2225" t="s">
        <v>587</v>
      </c>
      <c r="C2225" s="9" t="s">
        <v>932</v>
      </c>
      <c r="D2225" s="9">
        <v>12</v>
      </c>
      <c r="E2225" s="9" t="s">
        <v>1804</v>
      </c>
      <c r="F2225" t="s">
        <v>226</v>
      </c>
      <c r="G2225" t="s">
        <v>38</v>
      </c>
      <c r="H2225" t="s">
        <v>1165</v>
      </c>
    </row>
    <row r="2226" spans="1:8" x14ac:dyDescent="0.3">
      <c r="A2226" s="6">
        <v>27</v>
      </c>
      <c r="B2226" t="s">
        <v>587</v>
      </c>
      <c r="C2226" s="9" t="s">
        <v>932</v>
      </c>
      <c r="D2226" s="9">
        <v>18</v>
      </c>
      <c r="E2226" s="9" t="s">
        <v>1804</v>
      </c>
      <c r="F2226" t="s">
        <v>227</v>
      </c>
      <c r="G2226" t="s">
        <v>41</v>
      </c>
      <c r="H2226" t="s">
        <v>1167</v>
      </c>
    </row>
    <row r="2227" spans="1:8" x14ac:dyDescent="0.3">
      <c r="A2227" s="6">
        <v>27</v>
      </c>
      <c r="B2227" t="s">
        <v>587</v>
      </c>
      <c r="C2227" s="9" t="s">
        <v>932</v>
      </c>
      <c r="D2227" s="9">
        <v>12</v>
      </c>
      <c r="E2227" s="9" t="s">
        <v>1804</v>
      </c>
      <c r="F2227" t="s">
        <v>228</v>
      </c>
      <c r="G2227" t="s">
        <v>41</v>
      </c>
      <c r="H2227" t="s">
        <v>1168</v>
      </c>
    </row>
    <row r="2228" spans="1:8" x14ac:dyDescent="0.3">
      <c r="A2228" s="6">
        <v>27</v>
      </c>
      <c r="B2228" t="s">
        <v>587</v>
      </c>
      <c r="C2228" s="9" t="s">
        <v>932</v>
      </c>
      <c r="D2228" s="9">
        <v>27</v>
      </c>
      <c r="E2228" s="9" t="s">
        <v>1804</v>
      </c>
      <c r="F2228" t="s">
        <v>40</v>
      </c>
      <c r="G2228" t="s">
        <v>41</v>
      </c>
      <c r="H2228" t="s">
        <v>1169</v>
      </c>
    </row>
    <row r="2229" spans="1:8" x14ac:dyDescent="0.3">
      <c r="A2229" s="6">
        <v>27</v>
      </c>
      <c r="B2229" t="s">
        <v>587</v>
      </c>
      <c r="C2229" s="9" t="s">
        <v>932</v>
      </c>
      <c r="D2229" s="9">
        <v>18</v>
      </c>
      <c r="E2229" s="9" t="s">
        <v>1804</v>
      </c>
      <c r="F2229" t="s">
        <v>229</v>
      </c>
      <c r="G2229" t="s">
        <v>230</v>
      </c>
      <c r="H2229" t="s">
        <v>1170</v>
      </c>
    </row>
    <row r="2230" spans="1:8" x14ac:dyDescent="0.3">
      <c r="A2230" s="6">
        <v>27</v>
      </c>
      <c r="B2230" t="s">
        <v>587</v>
      </c>
      <c r="C2230" s="9" t="s">
        <v>932</v>
      </c>
      <c r="D2230" s="9">
        <v>24</v>
      </c>
      <c r="E2230" s="9" t="s">
        <v>1804</v>
      </c>
      <c r="F2230" t="s">
        <v>232</v>
      </c>
      <c r="G2230" t="s">
        <v>144</v>
      </c>
      <c r="H2230" t="s">
        <v>1171</v>
      </c>
    </row>
    <row r="2231" spans="1:8" x14ac:dyDescent="0.3">
      <c r="A2231" s="6">
        <v>27</v>
      </c>
      <c r="B2231" t="s">
        <v>587</v>
      </c>
      <c r="C2231" s="9" t="s">
        <v>932</v>
      </c>
      <c r="D2231" s="9">
        <v>12</v>
      </c>
      <c r="E2231" s="9" t="s">
        <v>1804</v>
      </c>
      <c r="F2231" t="s">
        <v>233</v>
      </c>
      <c r="G2231" t="s">
        <v>112</v>
      </c>
      <c r="H2231" t="s">
        <v>1146</v>
      </c>
    </row>
    <row r="2232" spans="1:8" x14ac:dyDescent="0.3">
      <c r="A2232" s="6">
        <v>27</v>
      </c>
      <c r="B2232" t="s">
        <v>587</v>
      </c>
      <c r="C2232" s="9" t="s">
        <v>932</v>
      </c>
      <c r="D2232" s="9">
        <v>17</v>
      </c>
      <c r="E2232" s="9" t="s">
        <v>1804</v>
      </c>
      <c r="F2232" t="s">
        <v>591</v>
      </c>
      <c r="G2232" t="s">
        <v>235</v>
      </c>
      <c r="H2232" t="s">
        <v>1049</v>
      </c>
    </row>
    <row r="2233" spans="1:8" x14ac:dyDescent="0.3">
      <c r="A2233" s="6">
        <v>27</v>
      </c>
      <c r="B2233" t="s">
        <v>587</v>
      </c>
      <c r="C2233" s="9" t="s">
        <v>932</v>
      </c>
      <c r="D2233" s="9">
        <v>15</v>
      </c>
      <c r="E2233" s="9" t="s">
        <v>1804</v>
      </c>
      <c r="F2233" t="s">
        <v>515</v>
      </c>
      <c r="G2233" t="s">
        <v>238</v>
      </c>
      <c r="H2233" t="s">
        <v>1064</v>
      </c>
    </row>
    <row r="2234" spans="1:8" x14ac:dyDescent="0.3">
      <c r="A2234" s="6">
        <v>27</v>
      </c>
      <c r="B2234" t="s">
        <v>587</v>
      </c>
      <c r="C2234" s="9" t="s">
        <v>932</v>
      </c>
      <c r="D2234" s="9">
        <v>24</v>
      </c>
      <c r="E2234" s="9" t="s">
        <v>1804</v>
      </c>
      <c r="F2234" t="s">
        <v>237</v>
      </c>
      <c r="G2234" t="s">
        <v>238</v>
      </c>
      <c r="H2234" t="s">
        <v>1065</v>
      </c>
    </row>
    <row r="2235" spans="1:8" x14ac:dyDescent="0.3">
      <c r="A2235" s="6">
        <v>27</v>
      </c>
      <c r="B2235" t="s">
        <v>587</v>
      </c>
      <c r="C2235" s="9" t="s">
        <v>932</v>
      </c>
      <c r="D2235" s="9">
        <v>18</v>
      </c>
      <c r="E2235" s="9" t="s">
        <v>1804</v>
      </c>
      <c r="F2235" t="s">
        <v>246</v>
      </c>
      <c r="G2235" t="s">
        <v>51</v>
      </c>
      <c r="H2235" t="s">
        <v>1596</v>
      </c>
    </row>
    <row r="2236" spans="1:8" x14ac:dyDescent="0.3">
      <c r="A2236" s="6">
        <v>27</v>
      </c>
      <c r="B2236" t="s">
        <v>587</v>
      </c>
      <c r="C2236" s="9" t="s">
        <v>932</v>
      </c>
      <c r="D2236" s="9">
        <v>12</v>
      </c>
      <c r="E2236" s="9" t="s">
        <v>1804</v>
      </c>
      <c r="F2236" t="s">
        <v>252</v>
      </c>
      <c r="G2236" t="s">
        <v>253</v>
      </c>
      <c r="H2236" t="s">
        <v>1635</v>
      </c>
    </row>
    <row r="2237" spans="1:8" x14ac:dyDescent="0.3">
      <c r="A2237" s="6">
        <v>27</v>
      </c>
      <c r="B2237" t="s">
        <v>587</v>
      </c>
      <c r="C2237" s="9" t="s">
        <v>932</v>
      </c>
      <c r="D2237" s="9">
        <v>18</v>
      </c>
      <c r="E2237" s="9" t="s">
        <v>1804</v>
      </c>
      <c r="F2237" t="s">
        <v>564</v>
      </c>
      <c r="G2237" t="s">
        <v>359</v>
      </c>
      <c r="H2237" t="s">
        <v>983</v>
      </c>
    </row>
    <row r="2238" spans="1:8" x14ac:dyDescent="0.3">
      <c r="A2238" s="6">
        <v>27</v>
      </c>
      <c r="B2238" t="s">
        <v>587</v>
      </c>
      <c r="C2238" s="9" t="s">
        <v>932</v>
      </c>
      <c r="D2238" s="9">
        <v>14</v>
      </c>
      <c r="E2238" s="9" t="s">
        <v>1804</v>
      </c>
      <c r="F2238" t="s">
        <v>262</v>
      </c>
      <c r="G2238" t="s">
        <v>263</v>
      </c>
      <c r="H2238" t="s">
        <v>989</v>
      </c>
    </row>
    <row r="2239" spans="1:8" x14ac:dyDescent="0.3">
      <c r="A2239" s="6">
        <v>27</v>
      </c>
      <c r="B2239" t="s">
        <v>587</v>
      </c>
      <c r="C2239" s="9" t="s">
        <v>1807</v>
      </c>
      <c r="D2239" s="9">
        <v>1350</v>
      </c>
      <c r="E2239" s="9" t="s">
        <v>1808</v>
      </c>
      <c r="F2239" t="s">
        <v>275</v>
      </c>
      <c r="G2239" t="s">
        <v>276</v>
      </c>
      <c r="H2239" t="s">
        <v>1012</v>
      </c>
    </row>
    <row r="2240" spans="1:8" x14ac:dyDescent="0.3">
      <c r="A2240" s="6">
        <v>27</v>
      </c>
      <c r="B2240" t="s">
        <v>587</v>
      </c>
      <c r="C2240" s="9" t="s">
        <v>1807</v>
      </c>
      <c r="D2240" s="9">
        <v>750</v>
      </c>
      <c r="E2240" s="9" t="s">
        <v>1808</v>
      </c>
      <c r="F2240" t="s">
        <v>592</v>
      </c>
      <c r="G2240" t="s">
        <v>593</v>
      </c>
      <c r="H2240" t="s">
        <v>1658</v>
      </c>
    </row>
    <row r="2241" spans="1:8" x14ac:dyDescent="0.3">
      <c r="A2241" s="6">
        <v>27</v>
      </c>
      <c r="B2241" t="s">
        <v>587</v>
      </c>
      <c r="C2241" s="9" t="s">
        <v>1807</v>
      </c>
      <c r="D2241" s="9">
        <v>1500</v>
      </c>
      <c r="E2241" s="9" t="s">
        <v>1808</v>
      </c>
      <c r="F2241" t="s">
        <v>452</v>
      </c>
      <c r="G2241" t="s">
        <v>454</v>
      </c>
      <c r="H2241" t="s">
        <v>1813</v>
      </c>
    </row>
    <row r="2242" spans="1:8" x14ac:dyDescent="0.3">
      <c r="A2242" s="6">
        <v>27</v>
      </c>
      <c r="B2242" t="s">
        <v>587</v>
      </c>
      <c r="C2242" s="9" t="s">
        <v>1807</v>
      </c>
      <c r="D2242" s="9">
        <v>1050</v>
      </c>
      <c r="E2242" s="9" t="s">
        <v>1808</v>
      </c>
      <c r="F2242" t="s">
        <v>291</v>
      </c>
      <c r="G2242" t="s">
        <v>292</v>
      </c>
      <c r="H2242" t="s">
        <v>1678</v>
      </c>
    </row>
    <row r="2243" spans="1:8" x14ac:dyDescent="0.3">
      <c r="A2243" s="6">
        <v>27</v>
      </c>
      <c r="B2243" t="s">
        <v>587</v>
      </c>
      <c r="C2243" s="9" t="s">
        <v>1807</v>
      </c>
      <c r="D2243" s="9">
        <v>320</v>
      </c>
      <c r="E2243" s="9" t="s">
        <v>1808</v>
      </c>
      <c r="F2243" t="s">
        <v>304</v>
      </c>
      <c r="G2243" t="s">
        <v>305</v>
      </c>
      <c r="H2243" t="s">
        <v>1785</v>
      </c>
    </row>
    <row r="2244" spans="1:8" x14ac:dyDescent="0.3">
      <c r="A2244" s="6">
        <v>27</v>
      </c>
      <c r="B2244" t="s">
        <v>587</v>
      </c>
      <c r="C2244" s="9" t="s">
        <v>1807</v>
      </c>
      <c r="D2244" s="9">
        <v>420</v>
      </c>
      <c r="E2244" s="9" t="s">
        <v>1808</v>
      </c>
      <c r="F2244" t="s">
        <v>68</v>
      </c>
      <c r="G2244" t="s">
        <v>69</v>
      </c>
      <c r="H2244" t="s">
        <v>1551</v>
      </c>
    </row>
    <row r="2245" spans="1:8" x14ac:dyDescent="0.3">
      <c r="A2245" s="6">
        <v>27</v>
      </c>
      <c r="B2245" t="s">
        <v>587</v>
      </c>
      <c r="C2245" s="9" t="s">
        <v>1807</v>
      </c>
      <c r="D2245" s="9">
        <v>420</v>
      </c>
      <c r="E2245" s="9" t="s">
        <v>1808</v>
      </c>
      <c r="F2245" t="s">
        <v>595</v>
      </c>
      <c r="G2245" t="s">
        <v>69</v>
      </c>
      <c r="H2245" t="s">
        <v>1557</v>
      </c>
    </row>
    <row r="2246" spans="1:8" x14ac:dyDescent="0.3">
      <c r="A2246" s="6">
        <v>27</v>
      </c>
      <c r="B2246" t="s">
        <v>587</v>
      </c>
      <c r="C2246" s="9" t="s">
        <v>1807</v>
      </c>
      <c r="D2246" s="9">
        <v>770</v>
      </c>
      <c r="E2246" s="9" t="s">
        <v>1808</v>
      </c>
      <c r="F2246" t="s">
        <v>71</v>
      </c>
      <c r="G2246" t="s">
        <v>72</v>
      </c>
      <c r="H2246" t="s">
        <v>1565</v>
      </c>
    </row>
    <row r="2247" spans="1:8" x14ac:dyDescent="0.3">
      <c r="A2247" s="6">
        <v>27</v>
      </c>
      <c r="B2247" t="s">
        <v>587</v>
      </c>
      <c r="C2247" s="9" t="s">
        <v>1807</v>
      </c>
      <c r="D2247" s="9">
        <v>518</v>
      </c>
      <c r="E2247" s="9" t="s">
        <v>1808</v>
      </c>
      <c r="F2247" t="s">
        <v>74</v>
      </c>
      <c r="G2247" t="s">
        <v>72</v>
      </c>
      <c r="H2247" t="s">
        <v>1566</v>
      </c>
    </row>
    <row r="2248" spans="1:8" x14ac:dyDescent="0.3">
      <c r="A2248" s="6">
        <v>27</v>
      </c>
      <c r="B2248" t="s">
        <v>587</v>
      </c>
      <c r="C2248" s="9" t="s">
        <v>1807</v>
      </c>
      <c r="D2248" s="9">
        <v>532</v>
      </c>
      <c r="E2248" s="9" t="s">
        <v>1808</v>
      </c>
      <c r="F2248" t="s">
        <v>596</v>
      </c>
      <c r="G2248" t="s">
        <v>72</v>
      </c>
      <c r="H2248" t="s">
        <v>1567</v>
      </c>
    </row>
    <row r="2249" spans="1:8" x14ac:dyDescent="0.3">
      <c r="A2249" s="6">
        <v>27</v>
      </c>
      <c r="B2249" t="s">
        <v>587</v>
      </c>
      <c r="C2249" s="9" t="s">
        <v>1807</v>
      </c>
      <c r="D2249" s="9">
        <v>398</v>
      </c>
      <c r="E2249" s="9" t="s">
        <v>1808</v>
      </c>
      <c r="F2249" t="s">
        <v>318</v>
      </c>
      <c r="G2249" t="s">
        <v>76</v>
      </c>
      <c r="H2249" t="s">
        <v>1578</v>
      </c>
    </row>
    <row r="2250" spans="1:8" x14ac:dyDescent="0.3">
      <c r="A2250" s="6">
        <v>27</v>
      </c>
      <c r="B2250" t="s">
        <v>587</v>
      </c>
      <c r="C2250" s="9" t="s">
        <v>1814</v>
      </c>
      <c r="D2250" s="9">
        <v>10000</v>
      </c>
      <c r="E2250" s="9" t="s">
        <v>1808</v>
      </c>
      <c r="F2250" t="s">
        <v>162</v>
      </c>
      <c r="G2250" t="s">
        <v>273</v>
      </c>
      <c r="H2250" t="s">
        <v>1816</v>
      </c>
    </row>
    <row r="2251" spans="1:8" x14ac:dyDescent="0.3">
      <c r="A2251" s="6">
        <v>27</v>
      </c>
      <c r="B2251" t="s">
        <v>587</v>
      </c>
      <c r="C2251" s="9" t="s">
        <v>1814</v>
      </c>
      <c r="D2251" s="9">
        <v>10000</v>
      </c>
      <c r="E2251" s="9" t="s">
        <v>1808</v>
      </c>
      <c r="F2251" t="s">
        <v>163</v>
      </c>
      <c r="G2251" t="s">
        <v>635</v>
      </c>
      <c r="H2251" t="s">
        <v>1817</v>
      </c>
    </row>
    <row r="2252" spans="1:8" x14ac:dyDescent="0.3">
      <c r="A2252" s="6">
        <v>27</v>
      </c>
      <c r="B2252" t="s">
        <v>587</v>
      </c>
      <c r="C2252" s="9" t="s">
        <v>1814</v>
      </c>
      <c r="D2252" s="9">
        <v>10000</v>
      </c>
      <c r="E2252" s="9" t="s">
        <v>1808</v>
      </c>
      <c r="F2252" t="s">
        <v>164</v>
      </c>
      <c r="G2252" t="s">
        <v>276</v>
      </c>
      <c r="H2252" t="s">
        <v>1832</v>
      </c>
    </row>
    <row r="2253" spans="1:8" x14ac:dyDescent="0.3">
      <c r="A2253" s="6">
        <v>27</v>
      </c>
      <c r="B2253" t="s">
        <v>587</v>
      </c>
      <c r="C2253" s="9" t="s">
        <v>1809</v>
      </c>
      <c r="D2253" s="9">
        <v>60</v>
      </c>
      <c r="E2253" s="9" t="s">
        <v>1804</v>
      </c>
      <c r="F2253" t="s">
        <v>78</v>
      </c>
      <c r="G2253" t="s">
        <v>1810</v>
      </c>
      <c r="H2253" t="s">
        <v>1811</v>
      </c>
    </row>
    <row r="2254" spans="1:8" x14ac:dyDescent="0.3">
      <c r="A2254" s="6">
        <v>27</v>
      </c>
      <c r="B2254" t="s">
        <v>587</v>
      </c>
      <c r="C2254" s="9" t="s">
        <v>963</v>
      </c>
      <c r="D2254" s="9">
        <v>64</v>
      </c>
      <c r="E2254" s="9" t="s">
        <v>1804</v>
      </c>
      <c r="F2254" t="s">
        <v>82</v>
      </c>
      <c r="G2254" t="s">
        <v>83</v>
      </c>
      <c r="H2254" t="s">
        <v>1340</v>
      </c>
    </row>
    <row r="2255" spans="1:8" x14ac:dyDescent="0.3">
      <c r="A2255" s="6">
        <v>27</v>
      </c>
      <c r="B2255" t="s">
        <v>587</v>
      </c>
      <c r="C2255" s="9" t="s">
        <v>963</v>
      </c>
      <c r="D2255" s="9">
        <v>88</v>
      </c>
      <c r="E2255" s="9" t="s">
        <v>1804</v>
      </c>
      <c r="F2255" t="s">
        <v>84</v>
      </c>
      <c r="G2255" t="s">
        <v>85</v>
      </c>
      <c r="H2255" t="s">
        <v>1342</v>
      </c>
    </row>
    <row r="2256" spans="1:8" x14ac:dyDescent="0.3">
      <c r="A2256" s="6">
        <v>27</v>
      </c>
      <c r="B2256" t="s">
        <v>587</v>
      </c>
      <c r="C2256" s="9" t="s">
        <v>963</v>
      </c>
      <c r="D2256" s="9">
        <v>70</v>
      </c>
      <c r="E2256" s="9" t="s">
        <v>1804</v>
      </c>
      <c r="F2256" t="s">
        <v>325</v>
      </c>
      <c r="G2256" t="s">
        <v>196</v>
      </c>
      <c r="H2256" t="s">
        <v>1344</v>
      </c>
    </row>
    <row r="2257" spans="1:8" x14ac:dyDescent="0.3">
      <c r="A2257" s="6">
        <v>27</v>
      </c>
      <c r="B2257" t="s">
        <v>587</v>
      </c>
      <c r="C2257" s="9" t="s">
        <v>963</v>
      </c>
      <c r="D2257" s="9">
        <v>70</v>
      </c>
      <c r="E2257" s="9" t="s">
        <v>1804</v>
      </c>
      <c r="F2257" t="s">
        <v>597</v>
      </c>
      <c r="G2257" t="s">
        <v>12</v>
      </c>
      <c r="H2257" t="s">
        <v>1348</v>
      </c>
    </row>
    <row r="2258" spans="1:8" x14ac:dyDescent="0.3">
      <c r="A2258" s="6">
        <v>27</v>
      </c>
      <c r="B2258" t="s">
        <v>587</v>
      </c>
      <c r="C2258" s="9" t="s">
        <v>963</v>
      </c>
      <c r="D2258" s="9">
        <v>73</v>
      </c>
      <c r="E2258" s="9" t="s">
        <v>1804</v>
      </c>
      <c r="F2258" t="s">
        <v>90</v>
      </c>
      <c r="G2258" t="s">
        <v>15</v>
      </c>
      <c r="H2258" t="s">
        <v>1351</v>
      </c>
    </row>
    <row r="2259" spans="1:8" x14ac:dyDescent="0.3">
      <c r="A2259" s="6">
        <v>27</v>
      </c>
      <c r="B2259" t="s">
        <v>587</v>
      </c>
      <c r="C2259" s="9" t="s">
        <v>963</v>
      </c>
      <c r="D2259" s="9">
        <v>77</v>
      </c>
      <c r="E2259" s="9" t="s">
        <v>1804</v>
      </c>
      <c r="F2259" t="s">
        <v>91</v>
      </c>
      <c r="G2259" t="s">
        <v>92</v>
      </c>
      <c r="H2259" t="s">
        <v>1353</v>
      </c>
    </row>
    <row r="2260" spans="1:8" x14ac:dyDescent="0.3">
      <c r="A2260" s="6">
        <v>27</v>
      </c>
      <c r="B2260" t="s">
        <v>587</v>
      </c>
      <c r="C2260" s="9" t="s">
        <v>963</v>
      </c>
      <c r="D2260" s="9">
        <v>76</v>
      </c>
      <c r="E2260" s="9" t="s">
        <v>1804</v>
      </c>
      <c r="F2260" t="s">
        <v>94</v>
      </c>
      <c r="G2260" t="s">
        <v>95</v>
      </c>
      <c r="H2260" t="s">
        <v>1355</v>
      </c>
    </row>
    <row r="2261" spans="1:8" x14ac:dyDescent="0.3">
      <c r="A2261" s="6">
        <v>27</v>
      </c>
      <c r="B2261" t="s">
        <v>587</v>
      </c>
      <c r="C2261" s="9" t="s">
        <v>963</v>
      </c>
      <c r="D2261" s="9">
        <v>72</v>
      </c>
      <c r="E2261" s="9" t="s">
        <v>1804</v>
      </c>
      <c r="F2261" t="s">
        <v>101</v>
      </c>
      <c r="G2261" t="s">
        <v>102</v>
      </c>
      <c r="H2261" t="s">
        <v>1365</v>
      </c>
    </row>
    <row r="2262" spans="1:8" x14ac:dyDescent="0.3">
      <c r="A2262" s="6">
        <v>27</v>
      </c>
      <c r="B2262" t="s">
        <v>587</v>
      </c>
      <c r="C2262" s="9" t="s">
        <v>963</v>
      </c>
      <c r="D2262" s="9">
        <v>60</v>
      </c>
      <c r="E2262" s="9" t="s">
        <v>1804</v>
      </c>
      <c r="F2262" t="s">
        <v>400</v>
      </c>
      <c r="G2262" t="s">
        <v>401</v>
      </c>
      <c r="H2262" t="s">
        <v>1185</v>
      </c>
    </row>
    <row r="2263" spans="1:8" x14ac:dyDescent="0.3">
      <c r="A2263" s="6">
        <v>27</v>
      </c>
      <c r="B2263" t="s">
        <v>587</v>
      </c>
      <c r="C2263" s="9" t="s">
        <v>963</v>
      </c>
      <c r="D2263" s="9">
        <v>63</v>
      </c>
      <c r="E2263" s="9" t="s">
        <v>1804</v>
      </c>
      <c r="F2263" t="s">
        <v>348</v>
      </c>
      <c r="G2263" t="s">
        <v>168</v>
      </c>
      <c r="H2263" t="s">
        <v>1533</v>
      </c>
    </row>
    <row r="2264" spans="1:8" x14ac:dyDescent="0.3">
      <c r="A2264" s="6">
        <v>27</v>
      </c>
      <c r="B2264" t="s">
        <v>587</v>
      </c>
      <c r="C2264" s="9" t="s">
        <v>963</v>
      </c>
      <c r="D2264" s="9">
        <v>60</v>
      </c>
      <c r="E2264" s="9" t="s">
        <v>1804</v>
      </c>
      <c r="F2264" t="s">
        <v>170</v>
      </c>
      <c r="G2264" t="s">
        <v>171</v>
      </c>
      <c r="H2264" t="s">
        <v>1535</v>
      </c>
    </row>
    <row r="2265" spans="1:8" x14ac:dyDescent="0.3">
      <c r="A2265" s="6">
        <v>27</v>
      </c>
      <c r="B2265" t="s">
        <v>587</v>
      </c>
      <c r="C2265" s="9" t="s">
        <v>963</v>
      </c>
      <c r="D2265" s="9">
        <v>63</v>
      </c>
      <c r="E2265" s="9" t="s">
        <v>1804</v>
      </c>
      <c r="F2265" t="s">
        <v>404</v>
      </c>
      <c r="G2265" t="s">
        <v>115</v>
      </c>
      <c r="H2265" t="s">
        <v>1536</v>
      </c>
    </row>
    <row r="2266" spans="1:8" x14ac:dyDescent="0.3">
      <c r="A2266" s="6">
        <v>27</v>
      </c>
      <c r="B2266" t="s">
        <v>587</v>
      </c>
      <c r="C2266" s="9" t="s">
        <v>963</v>
      </c>
      <c r="D2266" s="9">
        <v>60</v>
      </c>
      <c r="E2266" s="9" t="s">
        <v>1804</v>
      </c>
      <c r="F2266" t="s">
        <v>106</v>
      </c>
      <c r="G2266" t="s">
        <v>32</v>
      </c>
      <c r="H2266" t="s">
        <v>1537</v>
      </c>
    </row>
    <row r="2267" spans="1:8" x14ac:dyDescent="0.3">
      <c r="A2267" s="6">
        <v>27</v>
      </c>
      <c r="B2267" t="s">
        <v>587</v>
      </c>
      <c r="C2267" s="9" t="s">
        <v>963</v>
      </c>
      <c r="D2267" s="9">
        <v>60</v>
      </c>
      <c r="E2267" s="9" t="s">
        <v>1804</v>
      </c>
      <c r="F2267" t="s">
        <v>107</v>
      </c>
      <c r="G2267" t="s">
        <v>108</v>
      </c>
      <c r="H2267" t="s">
        <v>1140</v>
      </c>
    </row>
    <row r="2268" spans="1:8" x14ac:dyDescent="0.3">
      <c r="A2268" s="6">
        <v>27</v>
      </c>
      <c r="B2268" t="s">
        <v>587</v>
      </c>
      <c r="C2268" s="9" t="s">
        <v>963</v>
      </c>
      <c r="D2268" s="9">
        <v>63</v>
      </c>
      <c r="E2268" s="9" t="s">
        <v>1804</v>
      </c>
      <c r="F2268" t="s">
        <v>598</v>
      </c>
      <c r="G2268" t="s">
        <v>38</v>
      </c>
      <c r="H2268" t="s">
        <v>1142</v>
      </c>
    </row>
    <row r="2269" spans="1:8" x14ac:dyDescent="0.3">
      <c r="A2269" s="6">
        <v>27</v>
      </c>
      <c r="B2269" t="s">
        <v>587</v>
      </c>
      <c r="C2269" s="9" t="s">
        <v>963</v>
      </c>
      <c r="D2269" s="9">
        <v>60</v>
      </c>
      <c r="E2269" s="9" t="s">
        <v>1804</v>
      </c>
      <c r="F2269" t="s">
        <v>114</v>
      </c>
      <c r="G2269" t="s">
        <v>115</v>
      </c>
      <c r="H2269" t="s">
        <v>1121</v>
      </c>
    </row>
    <row r="2270" spans="1:8" x14ac:dyDescent="0.3">
      <c r="A2270" s="6">
        <v>27</v>
      </c>
      <c r="B2270" t="s">
        <v>587</v>
      </c>
      <c r="C2270" s="9" t="s">
        <v>963</v>
      </c>
      <c r="D2270" s="9">
        <v>64</v>
      </c>
      <c r="E2270" s="9" t="s">
        <v>1804</v>
      </c>
      <c r="F2270" t="s">
        <v>583</v>
      </c>
      <c r="G2270" t="s">
        <v>238</v>
      </c>
      <c r="H2270" t="s">
        <v>1122</v>
      </c>
    </row>
    <row r="2271" spans="1:8" x14ac:dyDescent="0.3">
      <c r="A2271" s="6">
        <v>27</v>
      </c>
      <c r="B2271" t="s">
        <v>587</v>
      </c>
      <c r="C2271" s="9" t="s">
        <v>963</v>
      </c>
      <c r="D2271" s="9">
        <v>60</v>
      </c>
      <c r="E2271" s="9" t="s">
        <v>1804</v>
      </c>
      <c r="F2271" t="s">
        <v>120</v>
      </c>
      <c r="G2271" t="s">
        <v>51</v>
      </c>
      <c r="H2271" t="s">
        <v>1590</v>
      </c>
    </row>
    <row r="2272" spans="1:8" x14ac:dyDescent="0.3">
      <c r="A2272" s="6">
        <v>27</v>
      </c>
      <c r="B2272" t="s">
        <v>587</v>
      </c>
      <c r="C2272" s="9" t="s">
        <v>963</v>
      </c>
      <c r="D2272" s="9">
        <v>60</v>
      </c>
      <c r="E2272" s="9" t="s">
        <v>1804</v>
      </c>
      <c r="F2272" t="s">
        <v>358</v>
      </c>
      <c r="G2272" t="s">
        <v>359</v>
      </c>
      <c r="H2272" t="s">
        <v>1021</v>
      </c>
    </row>
    <row r="2273" spans="1:8" x14ac:dyDescent="0.3">
      <c r="A2273" s="6">
        <v>27</v>
      </c>
      <c r="B2273" t="s">
        <v>587</v>
      </c>
      <c r="C2273" s="9" t="s">
        <v>963</v>
      </c>
      <c r="D2273" s="9">
        <v>62</v>
      </c>
      <c r="E2273" s="9" t="s">
        <v>1804</v>
      </c>
      <c r="F2273" t="s">
        <v>405</v>
      </c>
      <c r="G2273" t="s">
        <v>260</v>
      </c>
      <c r="H2273" t="s">
        <v>1022</v>
      </c>
    </row>
    <row r="2274" spans="1:8" x14ac:dyDescent="0.3">
      <c r="A2274" s="6">
        <v>27</v>
      </c>
      <c r="B2274" t="s">
        <v>587</v>
      </c>
      <c r="C2274" s="9" t="s">
        <v>963</v>
      </c>
      <c r="D2274" s="9">
        <v>64</v>
      </c>
      <c r="E2274" s="9" t="s">
        <v>1804</v>
      </c>
      <c r="F2274" t="s">
        <v>372</v>
      </c>
      <c r="G2274" t="s">
        <v>312</v>
      </c>
      <c r="H2274" t="s">
        <v>973</v>
      </c>
    </row>
    <row r="2275" spans="1:8" x14ac:dyDescent="0.3">
      <c r="A2275" s="6">
        <v>27</v>
      </c>
      <c r="B2275" t="s">
        <v>587</v>
      </c>
      <c r="C2275" s="9" t="s">
        <v>963</v>
      </c>
      <c r="D2275" s="9">
        <v>64</v>
      </c>
      <c r="E2275" s="9" t="s">
        <v>1804</v>
      </c>
      <c r="F2275" t="s">
        <v>125</v>
      </c>
      <c r="G2275" t="s">
        <v>126</v>
      </c>
      <c r="H2275" t="s">
        <v>1581</v>
      </c>
    </row>
    <row r="2276" spans="1:8" x14ac:dyDescent="0.3">
      <c r="A2276" s="6">
        <v>27</v>
      </c>
      <c r="B2276" t="s">
        <v>587</v>
      </c>
      <c r="C2276" s="9" t="s">
        <v>963</v>
      </c>
      <c r="D2276" s="9">
        <v>60</v>
      </c>
      <c r="E2276" s="9" t="s">
        <v>1804</v>
      </c>
      <c r="F2276" t="s">
        <v>486</v>
      </c>
      <c r="G2276" t="s">
        <v>487</v>
      </c>
      <c r="H2276" t="s">
        <v>1196</v>
      </c>
    </row>
    <row r="2277" spans="1:8" x14ac:dyDescent="0.3">
      <c r="A2277" s="6">
        <v>27</v>
      </c>
      <c r="B2277" t="s">
        <v>587</v>
      </c>
      <c r="C2277" s="9" t="s">
        <v>963</v>
      </c>
      <c r="D2277" s="9">
        <v>64</v>
      </c>
      <c r="E2277" s="9" t="s">
        <v>1804</v>
      </c>
      <c r="F2277" t="s">
        <v>374</v>
      </c>
      <c r="G2277" t="s">
        <v>129</v>
      </c>
      <c r="H2277" t="s">
        <v>1582</v>
      </c>
    </row>
    <row r="2278" spans="1:8" x14ac:dyDescent="0.3">
      <c r="A2278" s="6">
        <v>27</v>
      </c>
      <c r="B2278" t="s">
        <v>587</v>
      </c>
      <c r="C2278" s="9" t="s">
        <v>963</v>
      </c>
      <c r="D2278" s="9">
        <v>60</v>
      </c>
      <c r="E2278" s="9" t="s">
        <v>1804</v>
      </c>
      <c r="F2278" t="s">
        <v>128</v>
      </c>
      <c r="G2278" t="s">
        <v>129</v>
      </c>
      <c r="H2278" t="s">
        <v>1582</v>
      </c>
    </row>
    <row r="2279" spans="1:8" x14ac:dyDescent="0.3">
      <c r="A2279" s="6">
        <v>28</v>
      </c>
      <c r="B2279" t="s">
        <v>529</v>
      </c>
      <c r="C2279" s="9" t="s">
        <v>932</v>
      </c>
      <c r="D2279" s="9">
        <v>12</v>
      </c>
      <c r="E2279" s="9" t="s">
        <v>1804</v>
      </c>
      <c r="F2279" t="s">
        <v>530</v>
      </c>
      <c r="G2279" t="s">
        <v>531</v>
      </c>
      <c r="H2279" t="s">
        <v>938</v>
      </c>
    </row>
    <row r="2280" spans="1:8" x14ac:dyDescent="0.3">
      <c r="A2280" s="6">
        <v>28</v>
      </c>
      <c r="B2280" t="s">
        <v>529</v>
      </c>
      <c r="C2280" s="9" t="s">
        <v>932</v>
      </c>
      <c r="D2280" s="9">
        <v>18</v>
      </c>
      <c r="E2280" s="9" t="s">
        <v>1804</v>
      </c>
      <c r="F2280" t="s">
        <v>533</v>
      </c>
      <c r="G2280" t="s">
        <v>531</v>
      </c>
      <c r="H2280" t="s">
        <v>939</v>
      </c>
    </row>
    <row r="2281" spans="1:8" x14ac:dyDescent="0.3">
      <c r="A2281" s="6">
        <v>28</v>
      </c>
      <c r="B2281" t="s">
        <v>529</v>
      </c>
      <c r="C2281" s="9" t="s">
        <v>932</v>
      </c>
      <c r="D2281" s="9">
        <v>30</v>
      </c>
      <c r="E2281" s="9" t="s">
        <v>1804</v>
      </c>
      <c r="F2281" t="s">
        <v>534</v>
      </c>
      <c r="G2281" t="s">
        <v>531</v>
      </c>
      <c r="H2281" t="s">
        <v>940</v>
      </c>
    </row>
    <row r="2282" spans="1:8" x14ac:dyDescent="0.3">
      <c r="A2282" s="6">
        <v>28</v>
      </c>
      <c r="B2282" t="s">
        <v>529</v>
      </c>
      <c r="C2282" s="9" t="s">
        <v>932</v>
      </c>
      <c r="D2282" s="9">
        <v>30</v>
      </c>
      <c r="E2282" s="9" t="s">
        <v>1804</v>
      </c>
      <c r="F2282" t="s">
        <v>146</v>
      </c>
      <c r="G2282" t="s">
        <v>147</v>
      </c>
      <c r="H2282" t="s">
        <v>1377</v>
      </c>
    </row>
    <row r="2283" spans="1:8" x14ac:dyDescent="0.3">
      <c r="A2283" s="6">
        <v>28</v>
      </c>
      <c r="B2283" t="s">
        <v>529</v>
      </c>
      <c r="C2283" s="9" t="s">
        <v>932</v>
      </c>
      <c r="D2283" s="9">
        <v>15</v>
      </c>
      <c r="E2283" s="9" t="s">
        <v>1804</v>
      </c>
      <c r="F2283" t="s">
        <v>149</v>
      </c>
      <c r="G2283" t="s">
        <v>147</v>
      </c>
      <c r="H2283" t="s">
        <v>1378</v>
      </c>
    </row>
    <row r="2284" spans="1:8" x14ac:dyDescent="0.3">
      <c r="A2284" s="6">
        <v>28</v>
      </c>
      <c r="B2284" t="s">
        <v>529</v>
      </c>
      <c r="C2284" s="9" t="s">
        <v>932</v>
      </c>
      <c r="D2284" s="9">
        <v>30</v>
      </c>
      <c r="E2284" s="9" t="s">
        <v>1804</v>
      </c>
      <c r="F2284" t="s">
        <v>176</v>
      </c>
      <c r="G2284" t="s">
        <v>177</v>
      </c>
      <c r="H2284" t="s">
        <v>1381</v>
      </c>
    </row>
    <row r="2285" spans="1:8" x14ac:dyDescent="0.3">
      <c r="A2285" s="6">
        <v>28</v>
      </c>
      <c r="B2285" t="s">
        <v>529</v>
      </c>
      <c r="C2285" s="9" t="s">
        <v>932</v>
      </c>
      <c r="D2285" s="9">
        <v>18</v>
      </c>
      <c r="E2285" s="9" t="s">
        <v>1804</v>
      </c>
      <c r="F2285" t="s">
        <v>535</v>
      </c>
      <c r="G2285" t="s">
        <v>177</v>
      </c>
      <c r="H2285" t="s">
        <v>1383</v>
      </c>
    </row>
    <row r="2286" spans="1:8" x14ac:dyDescent="0.3">
      <c r="A2286" s="6">
        <v>28</v>
      </c>
      <c r="B2286" t="s">
        <v>529</v>
      </c>
      <c r="C2286" s="9" t="s">
        <v>932</v>
      </c>
      <c r="D2286" s="9">
        <v>24</v>
      </c>
      <c r="E2286" s="9" t="s">
        <v>1804</v>
      </c>
      <c r="F2286" t="s">
        <v>536</v>
      </c>
      <c r="G2286" t="s">
        <v>537</v>
      </c>
      <c r="H2286" t="s">
        <v>1384</v>
      </c>
    </row>
    <row r="2287" spans="1:8" x14ac:dyDescent="0.3">
      <c r="A2287" s="6">
        <v>28</v>
      </c>
      <c r="B2287" t="s">
        <v>529</v>
      </c>
      <c r="C2287" s="9" t="s">
        <v>932</v>
      </c>
      <c r="D2287" s="9">
        <v>30</v>
      </c>
      <c r="E2287" s="9" t="s">
        <v>1804</v>
      </c>
      <c r="F2287" t="s">
        <v>192</v>
      </c>
      <c r="G2287" t="s">
        <v>193</v>
      </c>
      <c r="H2287" t="s">
        <v>1252</v>
      </c>
    </row>
    <row r="2288" spans="1:8" x14ac:dyDescent="0.3">
      <c r="A2288" s="6">
        <v>28</v>
      </c>
      <c r="B2288" t="s">
        <v>529</v>
      </c>
      <c r="C2288" s="9" t="s">
        <v>1806</v>
      </c>
      <c r="D2288" s="9">
        <v>9</v>
      </c>
      <c r="E2288" s="9" t="s">
        <v>1804</v>
      </c>
      <c r="F2288" t="s">
        <v>501</v>
      </c>
      <c r="G2288" t="s">
        <v>613</v>
      </c>
      <c r="H2288" t="s">
        <v>1343</v>
      </c>
    </row>
    <row r="2289" spans="1:8" x14ac:dyDescent="0.3">
      <c r="A2289" s="6">
        <v>28</v>
      </c>
      <c r="B2289" t="s">
        <v>529</v>
      </c>
      <c r="C2289" s="9" t="s">
        <v>932</v>
      </c>
      <c r="D2289" s="9">
        <v>37</v>
      </c>
      <c r="E2289" s="9" t="s">
        <v>1804</v>
      </c>
      <c r="F2289" t="s">
        <v>198</v>
      </c>
      <c r="G2289" t="s">
        <v>196</v>
      </c>
      <c r="H2289" t="s">
        <v>1267</v>
      </c>
    </row>
    <row r="2290" spans="1:8" x14ac:dyDescent="0.3">
      <c r="A2290" s="6">
        <v>28</v>
      </c>
      <c r="B2290" t="s">
        <v>529</v>
      </c>
      <c r="C2290" s="9" t="s">
        <v>1806</v>
      </c>
      <c r="D2290" s="9">
        <v>9</v>
      </c>
      <c r="E2290" s="9" t="s">
        <v>1804</v>
      </c>
      <c r="F2290" t="s">
        <v>539</v>
      </c>
      <c r="G2290" t="s">
        <v>329</v>
      </c>
      <c r="H2290" t="s">
        <v>1350</v>
      </c>
    </row>
    <row r="2291" spans="1:8" x14ac:dyDescent="0.3">
      <c r="A2291" s="6">
        <v>28</v>
      </c>
      <c r="B2291" t="s">
        <v>529</v>
      </c>
      <c r="C2291" s="9" t="s">
        <v>932</v>
      </c>
      <c r="D2291" s="9">
        <v>42</v>
      </c>
      <c r="E2291" s="9" t="s">
        <v>1804</v>
      </c>
      <c r="F2291" t="s">
        <v>14</v>
      </c>
      <c r="G2291" t="s">
        <v>15</v>
      </c>
      <c r="H2291" t="s">
        <v>1290</v>
      </c>
    </row>
    <row r="2292" spans="1:8" x14ac:dyDescent="0.3">
      <c r="A2292" s="6">
        <v>28</v>
      </c>
      <c r="B2292" t="s">
        <v>529</v>
      </c>
      <c r="C2292" s="9" t="s">
        <v>932</v>
      </c>
      <c r="D2292" s="9">
        <v>12</v>
      </c>
      <c r="E2292" s="9" t="s">
        <v>1804</v>
      </c>
      <c r="F2292" t="s">
        <v>204</v>
      </c>
      <c r="G2292" t="s">
        <v>15</v>
      </c>
      <c r="H2292" t="s">
        <v>1292</v>
      </c>
    </row>
    <row r="2293" spans="1:8" x14ac:dyDescent="0.3">
      <c r="A2293" s="6">
        <v>28</v>
      </c>
      <c r="B2293" t="s">
        <v>529</v>
      </c>
      <c r="C2293" s="9" t="s">
        <v>1806</v>
      </c>
      <c r="D2293" s="9">
        <v>9</v>
      </c>
      <c r="E2293" s="9" t="s">
        <v>1804</v>
      </c>
      <c r="F2293" t="s">
        <v>540</v>
      </c>
      <c r="G2293" t="s">
        <v>92</v>
      </c>
      <c r="H2293" t="s">
        <v>1353</v>
      </c>
    </row>
    <row r="2294" spans="1:8" x14ac:dyDescent="0.3">
      <c r="A2294" s="6">
        <v>28</v>
      </c>
      <c r="B2294" t="s">
        <v>529</v>
      </c>
      <c r="C2294" s="9" t="s">
        <v>1806</v>
      </c>
      <c r="D2294" s="9">
        <v>9</v>
      </c>
      <c r="E2294" s="9" t="s">
        <v>1804</v>
      </c>
      <c r="F2294" t="s">
        <v>22</v>
      </c>
      <c r="G2294" t="s">
        <v>99</v>
      </c>
      <c r="H2294" t="s">
        <v>1357</v>
      </c>
    </row>
    <row r="2295" spans="1:8" x14ac:dyDescent="0.3">
      <c r="A2295" s="6">
        <v>28</v>
      </c>
      <c r="B2295" t="s">
        <v>529</v>
      </c>
      <c r="C2295" s="9" t="s">
        <v>932</v>
      </c>
      <c r="D2295" s="9">
        <v>18</v>
      </c>
      <c r="E2295" s="9" t="s">
        <v>1804</v>
      </c>
      <c r="F2295" t="s">
        <v>217</v>
      </c>
      <c r="G2295" t="s">
        <v>168</v>
      </c>
      <c r="H2295" t="s">
        <v>1442</v>
      </c>
    </row>
    <row r="2296" spans="1:8" x14ac:dyDescent="0.3">
      <c r="A2296" s="6">
        <v>28</v>
      </c>
      <c r="B2296" t="s">
        <v>529</v>
      </c>
      <c r="C2296" s="9" t="s">
        <v>932</v>
      </c>
      <c r="D2296" s="9">
        <v>27</v>
      </c>
      <c r="E2296" s="9" t="s">
        <v>1804</v>
      </c>
      <c r="F2296" t="s">
        <v>218</v>
      </c>
      <c r="G2296" t="s">
        <v>168</v>
      </c>
      <c r="H2296" t="s">
        <v>1443</v>
      </c>
    </row>
    <row r="2297" spans="1:8" x14ac:dyDescent="0.3">
      <c r="A2297" s="6">
        <v>28</v>
      </c>
      <c r="B2297" t="s">
        <v>529</v>
      </c>
      <c r="C2297" s="9" t="s">
        <v>932</v>
      </c>
      <c r="D2297" s="9">
        <v>18</v>
      </c>
      <c r="E2297" s="9" t="s">
        <v>1804</v>
      </c>
      <c r="F2297" t="s">
        <v>389</v>
      </c>
      <c r="G2297" t="s">
        <v>171</v>
      </c>
      <c r="H2297" t="s">
        <v>1447</v>
      </c>
    </row>
    <row r="2298" spans="1:8" x14ac:dyDescent="0.3">
      <c r="A2298" s="6">
        <v>28</v>
      </c>
      <c r="B2298" t="s">
        <v>529</v>
      </c>
      <c r="C2298" s="9" t="s">
        <v>932</v>
      </c>
      <c r="D2298" s="9">
        <v>33</v>
      </c>
      <c r="E2298" s="9" t="s">
        <v>1804</v>
      </c>
      <c r="F2298" t="s">
        <v>390</v>
      </c>
      <c r="G2298" t="s">
        <v>391</v>
      </c>
      <c r="H2298" t="s">
        <v>1449</v>
      </c>
    </row>
    <row r="2299" spans="1:8" x14ac:dyDescent="0.3">
      <c r="A2299" s="6">
        <v>28</v>
      </c>
      <c r="B2299" t="s">
        <v>529</v>
      </c>
      <c r="C2299" s="9" t="s">
        <v>932</v>
      </c>
      <c r="D2299" s="9">
        <v>24</v>
      </c>
      <c r="E2299" s="9" t="s">
        <v>1804</v>
      </c>
      <c r="F2299" t="s">
        <v>31</v>
      </c>
      <c r="G2299" t="s">
        <v>32</v>
      </c>
      <c r="H2299" t="s">
        <v>1483</v>
      </c>
    </row>
    <row r="2300" spans="1:8" x14ac:dyDescent="0.3">
      <c r="A2300" s="6">
        <v>28</v>
      </c>
      <c r="B2300" t="s">
        <v>529</v>
      </c>
      <c r="C2300" s="9" t="s">
        <v>932</v>
      </c>
      <c r="D2300" s="9">
        <v>32</v>
      </c>
      <c r="E2300" s="9" t="s">
        <v>1804</v>
      </c>
      <c r="F2300" t="s">
        <v>219</v>
      </c>
      <c r="G2300" t="s">
        <v>32</v>
      </c>
      <c r="H2300" t="s">
        <v>1484</v>
      </c>
    </row>
    <row r="2301" spans="1:8" x14ac:dyDescent="0.3">
      <c r="A2301" s="6">
        <v>28</v>
      </c>
      <c r="B2301" t="s">
        <v>529</v>
      </c>
      <c r="C2301" s="9" t="s">
        <v>932</v>
      </c>
      <c r="D2301" s="9">
        <v>21</v>
      </c>
      <c r="E2301" s="9" t="s">
        <v>1804</v>
      </c>
      <c r="F2301" t="s">
        <v>34</v>
      </c>
      <c r="G2301" t="s">
        <v>32</v>
      </c>
      <c r="H2301" t="s">
        <v>1485</v>
      </c>
    </row>
    <row r="2302" spans="1:8" x14ac:dyDescent="0.3">
      <c r="A2302" s="6">
        <v>28</v>
      </c>
      <c r="B2302" t="s">
        <v>529</v>
      </c>
      <c r="C2302" s="9" t="s">
        <v>932</v>
      </c>
      <c r="D2302" s="9">
        <v>36</v>
      </c>
      <c r="E2302" s="9" t="s">
        <v>1804</v>
      </c>
      <c r="F2302" t="s">
        <v>541</v>
      </c>
      <c r="G2302" t="s">
        <v>32</v>
      </c>
      <c r="H2302" t="s">
        <v>1486</v>
      </c>
    </row>
    <row r="2303" spans="1:8" x14ac:dyDescent="0.3">
      <c r="A2303" s="6">
        <v>28</v>
      </c>
      <c r="B2303" t="s">
        <v>529</v>
      </c>
      <c r="C2303" s="9" t="s">
        <v>932</v>
      </c>
      <c r="D2303" s="9">
        <v>24</v>
      </c>
      <c r="E2303" s="9" t="s">
        <v>1804</v>
      </c>
      <c r="F2303" t="s">
        <v>542</v>
      </c>
      <c r="G2303" t="s">
        <v>32</v>
      </c>
      <c r="H2303" t="s">
        <v>1487</v>
      </c>
    </row>
    <row r="2304" spans="1:8" x14ac:dyDescent="0.3">
      <c r="A2304" s="6">
        <v>28</v>
      </c>
      <c r="B2304" t="s">
        <v>529</v>
      </c>
      <c r="C2304" s="9" t="s">
        <v>932</v>
      </c>
      <c r="D2304" s="9">
        <v>30</v>
      </c>
      <c r="E2304" s="9" t="s">
        <v>1804</v>
      </c>
      <c r="F2304" t="s">
        <v>35</v>
      </c>
      <c r="G2304" t="s">
        <v>32</v>
      </c>
      <c r="H2304" t="s">
        <v>1489</v>
      </c>
    </row>
    <row r="2305" spans="1:8" x14ac:dyDescent="0.3">
      <c r="A2305" s="6">
        <v>28</v>
      </c>
      <c r="B2305" t="s">
        <v>529</v>
      </c>
      <c r="C2305" s="9" t="s">
        <v>932</v>
      </c>
      <c r="D2305" s="9">
        <v>32</v>
      </c>
      <c r="E2305" s="9" t="s">
        <v>1804</v>
      </c>
      <c r="F2305" t="s">
        <v>221</v>
      </c>
      <c r="G2305" t="s">
        <v>32</v>
      </c>
      <c r="H2305" t="s">
        <v>1490</v>
      </c>
    </row>
    <row r="2306" spans="1:8" x14ac:dyDescent="0.3">
      <c r="A2306" s="6">
        <v>28</v>
      </c>
      <c r="B2306" t="s">
        <v>529</v>
      </c>
      <c r="C2306" s="9" t="s">
        <v>932</v>
      </c>
      <c r="D2306" s="9">
        <v>21</v>
      </c>
      <c r="E2306" s="9" t="s">
        <v>1804</v>
      </c>
      <c r="F2306" t="s">
        <v>36</v>
      </c>
      <c r="G2306" t="s">
        <v>32</v>
      </c>
      <c r="H2306" t="s">
        <v>1492</v>
      </c>
    </row>
    <row r="2307" spans="1:8" x14ac:dyDescent="0.3">
      <c r="A2307" s="6">
        <v>28</v>
      </c>
      <c r="B2307" t="s">
        <v>529</v>
      </c>
      <c r="C2307" s="9" t="s">
        <v>932</v>
      </c>
      <c r="D2307" s="9">
        <v>24</v>
      </c>
      <c r="E2307" s="9" t="s">
        <v>1804</v>
      </c>
      <c r="F2307" t="s">
        <v>543</v>
      </c>
      <c r="G2307" t="s">
        <v>32</v>
      </c>
      <c r="H2307" t="s">
        <v>1493</v>
      </c>
    </row>
    <row r="2308" spans="1:8" x14ac:dyDescent="0.3">
      <c r="A2308" s="6">
        <v>28</v>
      </c>
      <c r="B2308" t="s">
        <v>529</v>
      </c>
      <c r="C2308" s="9" t="s">
        <v>932</v>
      </c>
      <c r="D2308" s="9">
        <v>34</v>
      </c>
      <c r="E2308" s="9" t="s">
        <v>1804</v>
      </c>
      <c r="F2308" t="s">
        <v>422</v>
      </c>
      <c r="G2308" t="s">
        <v>423</v>
      </c>
      <c r="H2308" t="s">
        <v>1149</v>
      </c>
    </row>
    <row r="2309" spans="1:8" x14ac:dyDescent="0.3">
      <c r="A2309" s="6">
        <v>28</v>
      </c>
      <c r="B2309" t="s">
        <v>529</v>
      </c>
      <c r="C2309" s="9" t="s">
        <v>932</v>
      </c>
      <c r="D2309" s="9">
        <v>12</v>
      </c>
      <c r="E2309" s="9" t="s">
        <v>1804</v>
      </c>
      <c r="F2309" t="s">
        <v>153</v>
      </c>
      <c r="G2309" t="s">
        <v>108</v>
      </c>
      <c r="H2309" t="s">
        <v>1150</v>
      </c>
    </row>
    <row r="2310" spans="1:8" x14ac:dyDescent="0.3">
      <c r="A2310" s="6">
        <v>28</v>
      </c>
      <c r="B2310" t="s">
        <v>529</v>
      </c>
      <c r="C2310" s="9" t="s">
        <v>932</v>
      </c>
      <c r="D2310" s="9">
        <v>18</v>
      </c>
      <c r="E2310" s="9" t="s">
        <v>1804</v>
      </c>
      <c r="F2310" t="s">
        <v>154</v>
      </c>
      <c r="G2310" t="s">
        <v>108</v>
      </c>
      <c r="H2310" t="s">
        <v>1151</v>
      </c>
    </row>
    <row r="2311" spans="1:8" x14ac:dyDescent="0.3">
      <c r="A2311" s="6">
        <v>28</v>
      </c>
      <c r="B2311" t="s">
        <v>529</v>
      </c>
      <c r="C2311" s="9" t="s">
        <v>932</v>
      </c>
      <c r="D2311" s="9">
        <v>27</v>
      </c>
      <c r="E2311" s="9" t="s">
        <v>1804</v>
      </c>
      <c r="F2311" t="s">
        <v>37</v>
      </c>
      <c r="G2311" t="s">
        <v>38</v>
      </c>
      <c r="H2311" t="s">
        <v>1164</v>
      </c>
    </row>
    <row r="2312" spans="1:8" x14ac:dyDescent="0.3">
      <c r="A2312" s="6">
        <v>28</v>
      </c>
      <c r="B2312" t="s">
        <v>529</v>
      </c>
      <c r="C2312" s="9" t="s">
        <v>932</v>
      </c>
      <c r="D2312" s="9">
        <v>12</v>
      </c>
      <c r="E2312" s="9" t="s">
        <v>1804</v>
      </c>
      <c r="F2312" t="s">
        <v>226</v>
      </c>
      <c r="G2312" t="s">
        <v>38</v>
      </c>
      <c r="H2312" t="s">
        <v>1165</v>
      </c>
    </row>
    <row r="2313" spans="1:8" x14ac:dyDescent="0.3">
      <c r="A2313" s="6">
        <v>28</v>
      </c>
      <c r="B2313" t="s">
        <v>529</v>
      </c>
      <c r="C2313" s="9" t="s">
        <v>932</v>
      </c>
      <c r="D2313" s="9">
        <v>18</v>
      </c>
      <c r="E2313" s="9" t="s">
        <v>1804</v>
      </c>
      <c r="F2313" t="s">
        <v>227</v>
      </c>
      <c r="G2313" t="s">
        <v>41</v>
      </c>
      <c r="H2313" t="s">
        <v>1167</v>
      </c>
    </row>
    <row r="2314" spans="1:8" x14ac:dyDescent="0.3">
      <c r="A2314" s="6">
        <v>28</v>
      </c>
      <c r="B2314" t="s">
        <v>529</v>
      </c>
      <c r="C2314" s="9" t="s">
        <v>932</v>
      </c>
      <c r="D2314" s="9">
        <v>12</v>
      </c>
      <c r="E2314" s="9" t="s">
        <v>1804</v>
      </c>
      <c r="F2314" t="s">
        <v>228</v>
      </c>
      <c r="G2314" t="s">
        <v>41</v>
      </c>
      <c r="H2314" t="s">
        <v>1168</v>
      </c>
    </row>
    <row r="2315" spans="1:8" x14ac:dyDescent="0.3">
      <c r="A2315" s="6">
        <v>28</v>
      </c>
      <c r="B2315" t="s">
        <v>529</v>
      </c>
      <c r="C2315" s="9" t="s">
        <v>932</v>
      </c>
      <c r="D2315" s="9">
        <v>27</v>
      </c>
      <c r="E2315" s="9" t="s">
        <v>1804</v>
      </c>
      <c r="F2315" t="s">
        <v>40</v>
      </c>
      <c r="G2315" t="s">
        <v>41</v>
      </c>
      <c r="H2315" t="s">
        <v>1169</v>
      </c>
    </row>
    <row r="2316" spans="1:8" x14ac:dyDescent="0.3">
      <c r="A2316" s="6">
        <v>28</v>
      </c>
      <c r="B2316" t="s">
        <v>529</v>
      </c>
      <c r="C2316" s="9" t="s">
        <v>932</v>
      </c>
      <c r="D2316" s="9">
        <v>18</v>
      </c>
      <c r="E2316" s="9" t="s">
        <v>1804</v>
      </c>
      <c r="F2316" t="s">
        <v>229</v>
      </c>
      <c r="G2316" t="s">
        <v>230</v>
      </c>
      <c r="H2316" t="s">
        <v>1170</v>
      </c>
    </row>
    <row r="2317" spans="1:8" x14ac:dyDescent="0.3">
      <c r="A2317" s="6">
        <v>28</v>
      </c>
      <c r="B2317" t="s">
        <v>529</v>
      </c>
      <c r="C2317" s="9" t="s">
        <v>932</v>
      </c>
      <c r="D2317" s="9">
        <v>24</v>
      </c>
      <c r="E2317" s="9" t="s">
        <v>1804</v>
      </c>
      <c r="F2317" t="s">
        <v>232</v>
      </c>
      <c r="G2317" t="s">
        <v>144</v>
      </c>
      <c r="H2317" t="s">
        <v>1171</v>
      </c>
    </row>
    <row r="2318" spans="1:8" x14ac:dyDescent="0.3">
      <c r="A2318" s="6">
        <v>28</v>
      </c>
      <c r="B2318" t="s">
        <v>529</v>
      </c>
      <c r="C2318" s="9" t="s">
        <v>932</v>
      </c>
      <c r="D2318" s="9">
        <v>12</v>
      </c>
      <c r="E2318" s="9" t="s">
        <v>1804</v>
      </c>
      <c r="F2318" t="s">
        <v>233</v>
      </c>
      <c r="G2318" t="s">
        <v>112</v>
      </c>
      <c r="H2318" t="s">
        <v>1146</v>
      </c>
    </row>
    <row r="2319" spans="1:8" x14ac:dyDescent="0.3">
      <c r="A2319" s="6">
        <v>28</v>
      </c>
      <c r="B2319" t="s">
        <v>529</v>
      </c>
      <c r="C2319" s="9" t="s">
        <v>932</v>
      </c>
      <c r="D2319" s="9">
        <v>24</v>
      </c>
      <c r="E2319" s="9" t="s">
        <v>1804</v>
      </c>
      <c r="F2319" t="s">
        <v>544</v>
      </c>
      <c r="G2319" t="s">
        <v>545</v>
      </c>
      <c r="H2319" t="s">
        <v>1042</v>
      </c>
    </row>
    <row r="2320" spans="1:8" x14ac:dyDescent="0.3">
      <c r="A2320" s="6">
        <v>28</v>
      </c>
      <c r="B2320" t="s">
        <v>529</v>
      </c>
      <c r="C2320" s="9" t="s">
        <v>932</v>
      </c>
      <c r="D2320" s="9">
        <v>18</v>
      </c>
      <c r="E2320" s="9" t="s">
        <v>1804</v>
      </c>
      <c r="F2320" t="s">
        <v>547</v>
      </c>
      <c r="G2320" t="s">
        <v>548</v>
      </c>
      <c r="H2320" t="s">
        <v>1043</v>
      </c>
    </row>
    <row r="2321" spans="1:8" x14ac:dyDescent="0.3">
      <c r="A2321" s="6">
        <v>28</v>
      </c>
      <c r="B2321" t="s">
        <v>529</v>
      </c>
      <c r="C2321" s="9" t="s">
        <v>932</v>
      </c>
      <c r="D2321" s="9">
        <v>12</v>
      </c>
      <c r="E2321" s="9" t="s">
        <v>1804</v>
      </c>
      <c r="F2321" t="s">
        <v>511</v>
      </c>
      <c r="G2321" t="s">
        <v>235</v>
      </c>
      <c r="H2321" t="s">
        <v>1046</v>
      </c>
    </row>
    <row r="2322" spans="1:8" x14ac:dyDescent="0.3">
      <c r="A2322" s="6">
        <v>28</v>
      </c>
      <c r="B2322" t="s">
        <v>529</v>
      </c>
      <c r="C2322" s="9" t="s">
        <v>932</v>
      </c>
      <c r="D2322" s="9">
        <v>12</v>
      </c>
      <c r="E2322" s="9" t="s">
        <v>1804</v>
      </c>
      <c r="F2322" t="s">
        <v>234</v>
      </c>
      <c r="G2322" t="s">
        <v>235</v>
      </c>
      <c r="H2322" t="s">
        <v>1047</v>
      </c>
    </row>
    <row r="2323" spans="1:8" x14ac:dyDescent="0.3">
      <c r="A2323" s="6">
        <v>28</v>
      </c>
      <c r="B2323" t="s">
        <v>529</v>
      </c>
      <c r="C2323" s="9" t="s">
        <v>932</v>
      </c>
      <c r="D2323" s="9">
        <v>15</v>
      </c>
      <c r="E2323" s="9" t="s">
        <v>1804</v>
      </c>
      <c r="F2323" t="s">
        <v>43</v>
      </c>
      <c r="G2323" t="s">
        <v>44</v>
      </c>
      <c r="H2323" t="s">
        <v>1050</v>
      </c>
    </row>
    <row r="2324" spans="1:8" x14ac:dyDescent="0.3">
      <c r="A2324" s="6">
        <v>28</v>
      </c>
      <c r="B2324" t="s">
        <v>529</v>
      </c>
      <c r="C2324" s="9" t="s">
        <v>932</v>
      </c>
      <c r="D2324" s="9">
        <v>24</v>
      </c>
      <c r="E2324" s="9" t="s">
        <v>1804</v>
      </c>
      <c r="F2324" t="s">
        <v>427</v>
      </c>
      <c r="G2324" t="s">
        <v>428</v>
      </c>
      <c r="H2324" t="s">
        <v>1054</v>
      </c>
    </row>
    <row r="2325" spans="1:8" x14ac:dyDescent="0.3">
      <c r="A2325" s="6">
        <v>28</v>
      </c>
      <c r="B2325" t="s">
        <v>529</v>
      </c>
      <c r="C2325" s="9" t="s">
        <v>932</v>
      </c>
      <c r="D2325" s="9">
        <v>12</v>
      </c>
      <c r="E2325" s="9" t="s">
        <v>1804</v>
      </c>
      <c r="F2325" t="s">
        <v>550</v>
      </c>
      <c r="G2325" t="s">
        <v>551</v>
      </c>
      <c r="H2325" t="s">
        <v>1059</v>
      </c>
    </row>
    <row r="2326" spans="1:8" x14ac:dyDescent="0.3">
      <c r="A2326" s="6">
        <v>28</v>
      </c>
      <c r="B2326" t="s">
        <v>529</v>
      </c>
      <c r="C2326" s="9" t="s">
        <v>932</v>
      </c>
      <c r="D2326" s="9">
        <v>9</v>
      </c>
      <c r="E2326" s="9" t="s">
        <v>1804</v>
      </c>
      <c r="F2326" t="s">
        <v>512</v>
      </c>
      <c r="G2326" t="s">
        <v>513</v>
      </c>
      <c r="H2326" t="s">
        <v>1531</v>
      </c>
    </row>
    <row r="2327" spans="1:8" x14ac:dyDescent="0.3">
      <c r="A2327" s="6">
        <v>28</v>
      </c>
      <c r="B2327" t="s">
        <v>529</v>
      </c>
      <c r="C2327" s="9" t="s">
        <v>932</v>
      </c>
      <c r="D2327" s="9">
        <v>15</v>
      </c>
      <c r="E2327" s="9" t="s">
        <v>1804</v>
      </c>
      <c r="F2327" t="s">
        <v>515</v>
      </c>
      <c r="G2327" t="s">
        <v>238</v>
      </c>
      <c r="H2327" t="s">
        <v>1064</v>
      </c>
    </row>
    <row r="2328" spans="1:8" x14ac:dyDescent="0.3">
      <c r="A2328" s="6">
        <v>28</v>
      </c>
      <c r="B2328" t="s">
        <v>529</v>
      </c>
      <c r="C2328" s="9" t="s">
        <v>932</v>
      </c>
      <c r="D2328" s="9">
        <v>24</v>
      </c>
      <c r="E2328" s="9" t="s">
        <v>1804</v>
      </c>
      <c r="F2328" t="s">
        <v>237</v>
      </c>
      <c r="G2328" t="s">
        <v>238</v>
      </c>
      <c r="H2328" t="s">
        <v>1065</v>
      </c>
    </row>
    <row r="2329" spans="1:8" x14ac:dyDescent="0.3">
      <c r="A2329" s="6">
        <v>28</v>
      </c>
      <c r="B2329" t="s">
        <v>529</v>
      </c>
      <c r="C2329" s="9" t="s">
        <v>932</v>
      </c>
      <c r="D2329" s="9">
        <v>24</v>
      </c>
      <c r="E2329" s="9" t="s">
        <v>1804</v>
      </c>
      <c r="F2329" t="s">
        <v>553</v>
      </c>
      <c r="G2329" t="s">
        <v>238</v>
      </c>
      <c r="H2329" t="s">
        <v>1066</v>
      </c>
    </row>
    <row r="2330" spans="1:8" x14ac:dyDescent="0.3">
      <c r="A2330" s="6">
        <v>28</v>
      </c>
      <c r="B2330" t="s">
        <v>529</v>
      </c>
      <c r="C2330" s="9" t="s">
        <v>932</v>
      </c>
      <c r="D2330" s="9">
        <v>35</v>
      </c>
      <c r="E2330" s="9" t="s">
        <v>1804</v>
      </c>
      <c r="F2330" t="s">
        <v>433</v>
      </c>
      <c r="G2330" t="s">
        <v>434</v>
      </c>
      <c r="H2330" t="s">
        <v>1404</v>
      </c>
    </row>
    <row r="2331" spans="1:8" x14ac:dyDescent="0.3">
      <c r="A2331" s="6">
        <v>28</v>
      </c>
      <c r="B2331" t="s">
        <v>529</v>
      </c>
      <c r="C2331" s="9" t="s">
        <v>932</v>
      </c>
      <c r="D2331" s="9">
        <v>12</v>
      </c>
      <c r="E2331" s="9" t="s">
        <v>1804</v>
      </c>
      <c r="F2331" t="s">
        <v>554</v>
      </c>
      <c r="G2331" t="s">
        <v>434</v>
      </c>
      <c r="H2331" t="s">
        <v>1407</v>
      </c>
    </row>
    <row r="2332" spans="1:8" x14ac:dyDescent="0.3">
      <c r="A2332" s="6">
        <v>28</v>
      </c>
      <c r="B2332" t="s">
        <v>529</v>
      </c>
      <c r="C2332" s="9" t="s">
        <v>932</v>
      </c>
      <c r="D2332" s="9">
        <v>18</v>
      </c>
      <c r="E2332" s="9" t="s">
        <v>1804</v>
      </c>
      <c r="F2332" t="s">
        <v>555</v>
      </c>
      <c r="G2332" t="s">
        <v>434</v>
      </c>
      <c r="H2332" t="s">
        <v>1408</v>
      </c>
    </row>
    <row r="2333" spans="1:8" x14ac:dyDescent="0.3">
      <c r="A2333" s="6">
        <v>28</v>
      </c>
      <c r="B2333" t="s">
        <v>529</v>
      </c>
      <c r="C2333" s="9" t="s">
        <v>932</v>
      </c>
      <c r="D2333" s="9">
        <v>35</v>
      </c>
      <c r="E2333" s="9" t="s">
        <v>1804</v>
      </c>
      <c r="F2333" t="s">
        <v>46</v>
      </c>
      <c r="G2333" t="s">
        <v>47</v>
      </c>
      <c r="H2333" t="s">
        <v>1409</v>
      </c>
    </row>
    <row r="2334" spans="1:8" x14ac:dyDescent="0.3">
      <c r="A2334" s="6">
        <v>28</v>
      </c>
      <c r="B2334" t="s">
        <v>529</v>
      </c>
      <c r="C2334" s="9" t="s">
        <v>932</v>
      </c>
      <c r="D2334" s="9">
        <v>12</v>
      </c>
      <c r="E2334" s="9" t="s">
        <v>1804</v>
      </c>
      <c r="F2334" t="s">
        <v>49</v>
      </c>
      <c r="G2334" t="s">
        <v>47</v>
      </c>
      <c r="H2334" t="s">
        <v>1410</v>
      </c>
    </row>
    <row r="2335" spans="1:8" x14ac:dyDescent="0.3">
      <c r="A2335" s="6">
        <v>28</v>
      </c>
      <c r="B2335" t="s">
        <v>529</v>
      </c>
      <c r="C2335" s="9" t="s">
        <v>932</v>
      </c>
      <c r="D2335" s="9">
        <v>18</v>
      </c>
      <c r="E2335" s="9" t="s">
        <v>1804</v>
      </c>
      <c r="F2335" t="s">
        <v>155</v>
      </c>
      <c r="G2335" t="s">
        <v>118</v>
      </c>
      <c r="H2335" t="s">
        <v>1415</v>
      </c>
    </row>
    <row r="2336" spans="1:8" x14ac:dyDescent="0.3">
      <c r="A2336" s="6">
        <v>28</v>
      </c>
      <c r="B2336" t="s">
        <v>529</v>
      </c>
      <c r="C2336" s="9" t="s">
        <v>932</v>
      </c>
      <c r="D2336" s="9">
        <v>12</v>
      </c>
      <c r="E2336" s="9" t="s">
        <v>1804</v>
      </c>
      <c r="F2336" t="s">
        <v>50</v>
      </c>
      <c r="G2336" t="s">
        <v>51</v>
      </c>
      <c r="H2336" t="s">
        <v>1598</v>
      </c>
    </row>
    <row r="2337" spans="1:8" x14ac:dyDescent="0.3">
      <c r="A2337" s="6">
        <v>28</v>
      </c>
      <c r="B2337" t="s">
        <v>529</v>
      </c>
      <c r="C2337" s="9" t="s">
        <v>932</v>
      </c>
      <c r="D2337" s="9">
        <v>31</v>
      </c>
      <c r="E2337" s="9" t="s">
        <v>1804</v>
      </c>
      <c r="F2337" t="s">
        <v>556</v>
      </c>
      <c r="G2337" t="s">
        <v>54</v>
      </c>
      <c r="H2337" t="s">
        <v>1601</v>
      </c>
    </row>
    <row r="2338" spans="1:8" x14ac:dyDescent="0.3">
      <c r="A2338" s="6">
        <v>28</v>
      </c>
      <c r="B2338" t="s">
        <v>529</v>
      </c>
      <c r="C2338" s="9" t="s">
        <v>932</v>
      </c>
      <c r="D2338" s="9">
        <v>14</v>
      </c>
      <c r="E2338" s="9" t="s">
        <v>1804</v>
      </c>
      <c r="F2338" t="s">
        <v>557</v>
      </c>
      <c r="G2338" t="s">
        <v>54</v>
      </c>
      <c r="H2338" t="s">
        <v>1602</v>
      </c>
    </row>
    <row r="2339" spans="1:8" x14ac:dyDescent="0.3">
      <c r="A2339" s="6">
        <v>28</v>
      </c>
      <c r="B2339" t="s">
        <v>529</v>
      </c>
      <c r="C2339" s="9" t="s">
        <v>932</v>
      </c>
      <c r="D2339" s="9">
        <v>12</v>
      </c>
      <c r="E2339" s="9" t="s">
        <v>1804</v>
      </c>
      <c r="F2339" t="s">
        <v>558</v>
      </c>
      <c r="G2339" t="s">
        <v>559</v>
      </c>
      <c r="H2339" t="s">
        <v>1610</v>
      </c>
    </row>
    <row r="2340" spans="1:8" x14ac:dyDescent="0.3">
      <c r="A2340" s="6">
        <v>28</v>
      </c>
      <c r="B2340" t="s">
        <v>529</v>
      </c>
      <c r="C2340" s="9" t="s">
        <v>932</v>
      </c>
      <c r="D2340" s="9">
        <v>12</v>
      </c>
      <c r="E2340" s="9" t="s">
        <v>1804</v>
      </c>
      <c r="F2340" t="s">
        <v>561</v>
      </c>
      <c r="G2340" t="s">
        <v>562</v>
      </c>
      <c r="H2340" t="s">
        <v>1622</v>
      </c>
    </row>
    <row r="2341" spans="1:8" x14ac:dyDescent="0.3">
      <c r="A2341" s="6">
        <v>28</v>
      </c>
      <c r="B2341" t="s">
        <v>529</v>
      </c>
      <c r="C2341" s="9" t="s">
        <v>932</v>
      </c>
      <c r="D2341" s="9">
        <v>18</v>
      </c>
      <c r="E2341" s="9" t="s">
        <v>1804</v>
      </c>
      <c r="F2341" t="s">
        <v>564</v>
      </c>
      <c r="G2341" t="s">
        <v>359</v>
      </c>
      <c r="H2341" t="s">
        <v>983</v>
      </c>
    </row>
    <row r="2342" spans="1:8" x14ac:dyDescent="0.3">
      <c r="A2342" s="6">
        <v>28</v>
      </c>
      <c r="B2342" t="s">
        <v>529</v>
      </c>
      <c r="C2342" s="9" t="s">
        <v>932</v>
      </c>
      <c r="D2342" s="9">
        <v>22</v>
      </c>
      <c r="E2342" s="9" t="s">
        <v>1804</v>
      </c>
      <c r="F2342" t="s">
        <v>259</v>
      </c>
      <c r="G2342" t="s">
        <v>260</v>
      </c>
      <c r="H2342" t="s">
        <v>986</v>
      </c>
    </row>
    <row r="2343" spans="1:8" x14ac:dyDescent="0.3">
      <c r="A2343" s="6">
        <v>28</v>
      </c>
      <c r="B2343" t="s">
        <v>529</v>
      </c>
      <c r="C2343" s="9" t="s">
        <v>932</v>
      </c>
      <c r="D2343" s="9">
        <v>14</v>
      </c>
      <c r="E2343" s="9" t="s">
        <v>1804</v>
      </c>
      <c r="F2343" t="s">
        <v>262</v>
      </c>
      <c r="G2343" t="s">
        <v>263</v>
      </c>
      <c r="H2343" t="s">
        <v>989</v>
      </c>
    </row>
    <row r="2344" spans="1:8" x14ac:dyDescent="0.3">
      <c r="A2344" s="6">
        <v>28</v>
      </c>
      <c r="B2344" t="s">
        <v>529</v>
      </c>
      <c r="C2344" s="9" t="s">
        <v>932</v>
      </c>
      <c r="D2344" s="9">
        <v>19</v>
      </c>
      <c r="E2344" s="9" t="s">
        <v>1804</v>
      </c>
      <c r="F2344" t="s">
        <v>265</v>
      </c>
      <c r="G2344" t="s">
        <v>266</v>
      </c>
      <c r="H2344" t="s">
        <v>1337</v>
      </c>
    </row>
    <row r="2345" spans="1:8" x14ac:dyDescent="0.3">
      <c r="A2345" s="6">
        <v>28</v>
      </c>
      <c r="B2345" t="s">
        <v>529</v>
      </c>
      <c r="C2345" s="9" t="s">
        <v>932</v>
      </c>
      <c r="D2345" s="9">
        <v>15</v>
      </c>
      <c r="E2345" s="9" t="s">
        <v>1804</v>
      </c>
      <c r="F2345" t="s">
        <v>565</v>
      </c>
      <c r="G2345" t="s">
        <v>60</v>
      </c>
      <c r="H2345" t="s">
        <v>1077</v>
      </c>
    </row>
    <row r="2346" spans="1:8" x14ac:dyDescent="0.3">
      <c r="A2346" s="6">
        <v>28</v>
      </c>
      <c r="B2346" t="s">
        <v>529</v>
      </c>
      <c r="C2346" s="9" t="s">
        <v>932</v>
      </c>
      <c r="D2346" s="9">
        <v>15</v>
      </c>
      <c r="E2346" s="9" t="s">
        <v>1804</v>
      </c>
      <c r="F2346" t="s">
        <v>59</v>
      </c>
      <c r="G2346" t="s">
        <v>60</v>
      </c>
      <c r="H2346" t="s">
        <v>1078</v>
      </c>
    </row>
    <row r="2347" spans="1:8" x14ac:dyDescent="0.3">
      <c r="A2347" s="6">
        <v>28</v>
      </c>
      <c r="B2347" t="s">
        <v>529</v>
      </c>
      <c r="C2347" s="9" t="s">
        <v>932</v>
      </c>
      <c r="D2347" s="9">
        <v>24</v>
      </c>
      <c r="E2347" s="9" t="s">
        <v>1804</v>
      </c>
      <c r="F2347" t="s">
        <v>566</v>
      </c>
      <c r="G2347" t="s">
        <v>60</v>
      </c>
      <c r="H2347" t="s">
        <v>1081</v>
      </c>
    </row>
    <row r="2348" spans="1:8" x14ac:dyDescent="0.3">
      <c r="A2348" s="6">
        <v>28</v>
      </c>
      <c r="B2348" t="s">
        <v>529</v>
      </c>
      <c r="C2348" s="9" t="s">
        <v>932</v>
      </c>
      <c r="D2348" s="9">
        <v>17</v>
      </c>
      <c r="E2348" s="9" t="s">
        <v>1804</v>
      </c>
      <c r="F2348" t="s">
        <v>307</v>
      </c>
      <c r="G2348" t="s">
        <v>122</v>
      </c>
      <c r="H2348" t="s">
        <v>1098</v>
      </c>
    </row>
    <row r="2349" spans="1:8" x14ac:dyDescent="0.3">
      <c r="A2349" s="6">
        <v>28</v>
      </c>
      <c r="B2349" t="s">
        <v>529</v>
      </c>
      <c r="C2349" s="9" t="s">
        <v>932</v>
      </c>
      <c r="D2349" s="9">
        <v>24</v>
      </c>
      <c r="E2349" s="9" t="s">
        <v>1804</v>
      </c>
      <c r="F2349" t="s">
        <v>567</v>
      </c>
      <c r="G2349" t="s">
        <v>63</v>
      </c>
      <c r="H2349" t="s">
        <v>1099</v>
      </c>
    </row>
    <row r="2350" spans="1:8" x14ac:dyDescent="0.3">
      <c r="A2350" s="6">
        <v>28</v>
      </c>
      <c r="B2350" t="s">
        <v>529</v>
      </c>
      <c r="C2350" s="9" t="s">
        <v>932</v>
      </c>
      <c r="D2350" s="9">
        <v>15</v>
      </c>
      <c r="E2350" s="9" t="s">
        <v>1804</v>
      </c>
      <c r="F2350" t="s">
        <v>62</v>
      </c>
      <c r="G2350" t="s">
        <v>63</v>
      </c>
      <c r="H2350" t="s">
        <v>1103</v>
      </c>
    </row>
    <row r="2351" spans="1:8" x14ac:dyDescent="0.3">
      <c r="A2351" s="6">
        <v>28</v>
      </c>
      <c r="B2351" t="s">
        <v>529</v>
      </c>
      <c r="C2351" s="9" t="s">
        <v>932</v>
      </c>
      <c r="D2351" s="9">
        <v>24</v>
      </c>
      <c r="E2351" s="9" t="s">
        <v>1804</v>
      </c>
      <c r="F2351" t="s">
        <v>568</v>
      </c>
      <c r="G2351" t="s">
        <v>479</v>
      </c>
      <c r="H2351" t="s">
        <v>1111</v>
      </c>
    </row>
    <row r="2352" spans="1:8" x14ac:dyDescent="0.3">
      <c r="A2352" s="6">
        <v>28</v>
      </c>
      <c r="B2352" t="s">
        <v>529</v>
      </c>
      <c r="C2352" s="9" t="s">
        <v>932</v>
      </c>
      <c r="D2352" s="9">
        <v>12</v>
      </c>
      <c r="E2352" s="9" t="s">
        <v>1804</v>
      </c>
      <c r="F2352" t="s">
        <v>569</v>
      </c>
      <c r="G2352" t="s">
        <v>479</v>
      </c>
      <c r="H2352" t="s">
        <v>1112</v>
      </c>
    </row>
    <row r="2353" spans="1:8" x14ac:dyDescent="0.3">
      <c r="A2353" s="6">
        <v>28</v>
      </c>
      <c r="B2353" t="s">
        <v>529</v>
      </c>
      <c r="C2353" s="9" t="s">
        <v>932</v>
      </c>
      <c r="D2353" s="9">
        <v>9</v>
      </c>
      <c r="E2353" s="9" t="s">
        <v>1804</v>
      </c>
      <c r="F2353" t="s">
        <v>570</v>
      </c>
      <c r="G2353" t="s">
        <v>368</v>
      </c>
      <c r="H2353" t="s">
        <v>1681</v>
      </c>
    </row>
    <row r="2354" spans="1:8" x14ac:dyDescent="0.3">
      <c r="A2354" s="6">
        <v>28</v>
      </c>
      <c r="B2354" t="s">
        <v>529</v>
      </c>
      <c r="C2354" s="9" t="s">
        <v>932</v>
      </c>
      <c r="D2354" s="9">
        <v>18</v>
      </c>
      <c r="E2354" s="9" t="s">
        <v>1804</v>
      </c>
      <c r="F2354" t="s">
        <v>571</v>
      </c>
      <c r="G2354" t="s">
        <v>572</v>
      </c>
      <c r="H2354" t="s">
        <v>1019</v>
      </c>
    </row>
    <row r="2355" spans="1:8" x14ac:dyDescent="0.3">
      <c r="A2355" s="6">
        <v>28</v>
      </c>
      <c r="B2355" t="s">
        <v>529</v>
      </c>
      <c r="C2355" s="9" t="s">
        <v>1807</v>
      </c>
      <c r="D2355" s="9">
        <v>420</v>
      </c>
      <c r="E2355" s="9" t="s">
        <v>1808</v>
      </c>
      <c r="F2355" t="s">
        <v>68</v>
      </c>
      <c r="G2355" t="s">
        <v>69</v>
      </c>
      <c r="H2355" t="s">
        <v>1551</v>
      </c>
    </row>
    <row r="2356" spans="1:8" x14ac:dyDescent="0.3">
      <c r="A2356" s="6">
        <v>28</v>
      </c>
      <c r="B2356" t="s">
        <v>529</v>
      </c>
      <c r="C2356" s="9" t="s">
        <v>932</v>
      </c>
      <c r="D2356" s="9">
        <v>24</v>
      </c>
      <c r="E2356" s="9" t="s">
        <v>1804</v>
      </c>
      <c r="F2356" t="s">
        <v>316</v>
      </c>
      <c r="G2356" t="s">
        <v>129</v>
      </c>
      <c r="H2356" t="s">
        <v>1562</v>
      </c>
    </row>
    <row r="2357" spans="1:8" x14ac:dyDescent="0.3">
      <c r="A2357" s="6">
        <v>28</v>
      </c>
      <c r="B2357" t="s">
        <v>529</v>
      </c>
      <c r="C2357" s="9" t="s">
        <v>932</v>
      </c>
      <c r="D2357" s="9">
        <v>9</v>
      </c>
      <c r="E2357" s="9" t="s">
        <v>1804</v>
      </c>
      <c r="F2357" t="s">
        <v>574</v>
      </c>
      <c r="G2357" t="s">
        <v>129</v>
      </c>
      <c r="H2357" t="s">
        <v>1563</v>
      </c>
    </row>
    <row r="2358" spans="1:8" x14ac:dyDescent="0.3">
      <c r="A2358" s="6">
        <v>28</v>
      </c>
      <c r="B2358" t="s">
        <v>529</v>
      </c>
      <c r="C2358" s="9" t="s">
        <v>1807</v>
      </c>
      <c r="D2358" s="9">
        <v>770</v>
      </c>
      <c r="E2358" s="9" t="s">
        <v>1808</v>
      </c>
      <c r="F2358" t="s">
        <v>71</v>
      </c>
      <c r="G2358" t="s">
        <v>72</v>
      </c>
      <c r="H2358" t="s">
        <v>1565</v>
      </c>
    </row>
    <row r="2359" spans="1:8" x14ac:dyDescent="0.3">
      <c r="A2359" s="6">
        <v>28</v>
      </c>
      <c r="B2359" t="s">
        <v>529</v>
      </c>
      <c r="C2359" s="9" t="s">
        <v>1807</v>
      </c>
      <c r="D2359" s="9">
        <v>518</v>
      </c>
      <c r="E2359" s="9" t="s">
        <v>1808</v>
      </c>
      <c r="F2359" t="s">
        <v>74</v>
      </c>
      <c r="G2359" t="s">
        <v>72</v>
      </c>
      <c r="H2359" t="s">
        <v>1566</v>
      </c>
    </row>
    <row r="2360" spans="1:8" x14ac:dyDescent="0.3">
      <c r="A2360" s="6">
        <v>28</v>
      </c>
      <c r="B2360" t="s">
        <v>529</v>
      </c>
      <c r="C2360" s="9" t="s">
        <v>932</v>
      </c>
      <c r="D2360" s="9">
        <v>15</v>
      </c>
      <c r="E2360" s="9" t="s">
        <v>1804</v>
      </c>
      <c r="F2360" t="s">
        <v>575</v>
      </c>
      <c r="G2360" t="s">
        <v>576</v>
      </c>
      <c r="H2360" t="s">
        <v>1574</v>
      </c>
    </row>
    <row r="2361" spans="1:8" x14ac:dyDescent="0.3">
      <c r="A2361" s="6">
        <v>28</v>
      </c>
      <c r="B2361" t="s">
        <v>529</v>
      </c>
      <c r="C2361" s="9" t="s">
        <v>932</v>
      </c>
      <c r="D2361" s="9">
        <v>12</v>
      </c>
      <c r="E2361" s="9" t="s">
        <v>1804</v>
      </c>
      <c r="F2361" t="s">
        <v>578</v>
      </c>
      <c r="G2361" t="s">
        <v>376</v>
      </c>
      <c r="H2361" t="s">
        <v>1577</v>
      </c>
    </row>
    <row r="2362" spans="1:8" x14ac:dyDescent="0.3">
      <c r="A2362" s="6">
        <v>28</v>
      </c>
      <c r="B2362" t="s">
        <v>529</v>
      </c>
      <c r="C2362" s="9" t="s">
        <v>1807</v>
      </c>
      <c r="D2362" s="9">
        <v>398</v>
      </c>
      <c r="E2362" s="9" t="s">
        <v>1808</v>
      </c>
      <c r="F2362" t="s">
        <v>318</v>
      </c>
      <c r="G2362" t="s">
        <v>76</v>
      </c>
      <c r="H2362" t="s">
        <v>1578</v>
      </c>
    </row>
    <row r="2363" spans="1:8" x14ac:dyDescent="0.3">
      <c r="A2363" s="6">
        <v>28</v>
      </c>
      <c r="B2363" t="s">
        <v>529</v>
      </c>
      <c r="C2363" s="9" t="s">
        <v>1807</v>
      </c>
      <c r="D2363" s="9">
        <v>698</v>
      </c>
      <c r="E2363" s="9" t="s">
        <v>1808</v>
      </c>
      <c r="F2363" t="s">
        <v>485</v>
      </c>
      <c r="G2363" t="s">
        <v>76</v>
      </c>
      <c r="H2363" t="s">
        <v>1579</v>
      </c>
    </row>
    <row r="2364" spans="1:8" x14ac:dyDescent="0.3">
      <c r="A2364" s="6">
        <v>28</v>
      </c>
      <c r="B2364" t="s">
        <v>529</v>
      </c>
      <c r="C2364" s="9" t="s">
        <v>1809</v>
      </c>
      <c r="D2364" s="9">
        <v>60</v>
      </c>
      <c r="E2364" s="9" t="s">
        <v>1804</v>
      </c>
      <c r="F2364" t="s">
        <v>78</v>
      </c>
      <c r="G2364" t="s">
        <v>1810</v>
      </c>
      <c r="H2364" t="s">
        <v>1811</v>
      </c>
    </row>
    <row r="2365" spans="1:8" x14ac:dyDescent="0.3">
      <c r="A2365" s="6">
        <v>28</v>
      </c>
      <c r="B2365" t="s">
        <v>529</v>
      </c>
      <c r="C2365" s="9" t="s">
        <v>963</v>
      </c>
      <c r="D2365" s="9">
        <v>60</v>
      </c>
      <c r="E2365" s="9" t="s">
        <v>1804</v>
      </c>
      <c r="F2365" t="s">
        <v>579</v>
      </c>
      <c r="G2365" t="s">
        <v>531</v>
      </c>
      <c r="H2365" t="s">
        <v>967</v>
      </c>
    </row>
    <row r="2366" spans="1:8" x14ac:dyDescent="0.3">
      <c r="A2366" s="6">
        <v>28</v>
      </c>
      <c r="B2366" t="s">
        <v>529</v>
      </c>
      <c r="C2366" s="9" t="s">
        <v>963</v>
      </c>
      <c r="D2366" s="9">
        <v>64</v>
      </c>
      <c r="E2366" s="9" t="s">
        <v>1804</v>
      </c>
      <c r="F2366" t="s">
        <v>166</v>
      </c>
      <c r="G2366" t="s">
        <v>80</v>
      </c>
      <c r="H2366" t="s">
        <v>1416</v>
      </c>
    </row>
    <row r="2367" spans="1:8" x14ac:dyDescent="0.3">
      <c r="A2367" s="6">
        <v>28</v>
      </c>
      <c r="B2367" t="s">
        <v>529</v>
      </c>
      <c r="C2367" s="9" t="s">
        <v>963</v>
      </c>
      <c r="D2367" s="9">
        <v>60</v>
      </c>
      <c r="E2367" s="9" t="s">
        <v>1804</v>
      </c>
      <c r="F2367" t="s">
        <v>79</v>
      </c>
      <c r="G2367" t="s">
        <v>80</v>
      </c>
      <c r="H2367" t="s">
        <v>1416</v>
      </c>
    </row>
    <row r="2368" spans="1:8" x14ac:dyDescent="0.3">
      <c r="A2368" s="6">
        <v>28</v>
      </c>
      <c r="B2368" t="s">
        <v>529</v>
      </c>
      <c r="C2368" s="9" t="s">
        <v>963</v>
      </c>
      <c r="D2368" s="9">
        <v>64</v>
      </c>
      <c r="E2368" s="9" t="s">
        <v>1804</v>
      </c>
      <c r="F2368" t="s">
        <v>580</v>
      </c>
      <c r="G2368" t="s">
        <v>177</v>
      </c>
      <c r="H2368" t="s">
        <v>1385</v>
      </c>
    </row>
    <row r="2369" spans="1:8" x14ac:dyDescent="0.3">
      <c r="A2369" s="6">
        <v>28</v>
      </c>
      <c r="B2369" t="s">
        <v>529</v>
      </c>
      <c r="C2369" s="9" t="s">
        <v>963</v>
      </c>
      <c r="D2369" s="9">
        <v>61</v>
      </c>
      <c r="E2369" s="9" t="s">
        <v>1804</v>
      </c>
      <c r="F2369" t="s">
        <v>324</v>
      </c>
      <c r="G2369" t="s">
        <v>193</v>
      </c>
      <c r="H2369" t="s">
        <v>1339</v>
      </c>
    </row>
    <row r="2370" spans="1:8" x14ac:dyDescent="0.3">
      <c r="A2370" s="6">
        <v>28</v>
      </c>
      <c r="B2370" t="s">
        <v>529</v>
      </c>
      <c r="C2370" s="9" t="s">
        <v>963</v>
      </c>
      <c r="D2370" s="9">
        <v>88</v>
      </c>
      <c r="E2370" s="9" t="s">
        <v>1804</v>
      </c>
      <c r="F2370" t="s">
        <v>84</v>
      </c>
      <c r="G2370" t="s">
        <v>85</v>
      </c>
      <c r="H2370" t="s">
        <v>1342</v>
      </c>
    </row>
    <row r="2371" spans="1:8" x14ac:dyDescent="0.3">
      <c r="A2371" s="6">
        <v>28</v>
      </c>
      <c r="B2371" t="s">
        <v>529</v>
      </c>
      <c r="C2371" s="9" t="s">
        <v>963</v>
      </c>
      <c r="D2371" s="9">
        <v>70</v>
      </c>
      <c r="E2371" s="9" t="s">
        <v>1804</v>
      </c>
      <c r="F2371" t="s">
        <v>325</v>
      </c>
      <c r="G2371" t="s">
        <v>196</v>
      </c>
      <c r="H2371" t="s">
        <v>1344</v>
      </c>
    </row>
    <row r="2372" spans="1:8" x14ac:dyDescent="0.3">
      <c r="A2372" s="6">
        <v>28</v>
      </c>
      <c r="B2372" t="s">
        <v>529</v>
      </c>
      <c r="C2372" s="9" t="s">
        <v>963</v>
      </c>
      <c r="D2372" s="9">
        <v>77</v>
      </c>
      <c r="E2372" s="9" t="s">
        <v>1804</v>
      </c>
      <c r="F2372" t="s">
        <v>328</v>
      </c>
      <c r="G2372" t="s">
        <v>329</v>
      </c>
      <c r="H2372" t="s">
        <v>1350</v>
      </c>
    </row>
    <row r="2373" spans="1:8" x14ac:dyDescent="0.3">
      <c r="A2373" s="6">
        <v>28</v>
      </c>
      <c r="B2373" t="s">
        <v>529</v>
      </c>
      <c r="C2373" s="9" t="s">
        <v>963</v>
      </c>
      <c r="D2373" s="9">
        <v>73</v>
      </c>
      <c r="E2373" s="9" t="s">
        <v>1804</v>
      </c>
      <c r="F2373" t="s">
        <v>90</v>
      </c>
      <c r="G2373" t="s">
        <v>15</v>
      </c>
      <c r="H2373" t="s">
        <v>1351</v>
      </c>
    </row>
    <row r="2374" spans="1:8" x14ac:dyDescent="0.3">
      <c r="A2374" s="6">
        <v>28</v>
      </c>
      <c r="B2374" t="s">
        <v>529</v>
      </c>
      <c r="C2374" s="9" t="s">
        <v>963</v>
      </c>
      <c r="D2374" s="9">
        <v>77</v>
      </c>
      <c r="E2374" s="9" t="s">
        <v>1804</v>
      </c>
      <c r="F2374" t="s">
        <v>91</v>
      </c>
      <c r="G2374" t="s">
        <v>92</v>
      </c>
      <c r="H2374" t="s">
        <v>1353</v>
      </c>
    </row>
    <row r="2375" spans="1:8" x14ac:dyDescent="0.3">
      <c r="A2375" s="6">
        <v>28</v>
      </c>
      <c r="B2375" t="s">
        <v>529</v>
      </c>
      <c r="C2375" s="9" t="s">
        <v>963</v>
      </c>
      <c r="D2375" s="9">
        <v>76</v>
      </c>
      <c r="E2375" s="9" t="s">
        <v>1804</v>
      </c>
      <c r="F2375" t="s">
        <v>94</v>
      </c>
      <c r="G2375" t="s">
        <v>95</v>
      </c>
      <c r="H2375" t="s">
        <v>1355</v>
      </c>
    </row>
    <row r="2376" spans="1:8" x14ac:dyDescent="0.3">
      <c r="A2376" s="6">
        <v>28</v>
      </c>
      <c r="B2376" t="s">
        <v>529</v>
      </c>
      <c r="C2376" s="9" t="s">
        <v>963</v>
      </c>
      <c r="D2376" s="9">
        <v>77</v>
      </c>
      <c r="E2376" s="9" t="s">
        <v>1804</v>
      </c>
      <c r="F2376" t="s">
        <v>98</v>
      </c>
      <c r="G2376" t="s">
        <v>99</v>
      </c>
      <c r="H2376" t="s">
        <v>1357</v>
      </c>
    </row>
    <row r="2377" spans="1:8" x14ac:dyDescent="0.3">
      <c r="A2377" s="6">
        <v>28</v>
      </c>
      <c r="B2377" t="s">
        <v>529</v>
      </c>
      <c r="C2377" s="9" t="s">
        <v>963</v>
      </c>
      <c r="D2377" s="9">
        <v>72</v>
      </c>
      <c r="E2377" s="9" t="s">
        <v>1804</v>
      </c>
      <c r="F2377" t="s">
        <v>101</v>
      </c>
      <c r="G2377" t="s">
        <v>102</v>
      </c>
      <c r="H2377" t="s">
        <v>1365</v>
      </c>
    </row>
    <row r="2378" spans="1:8" x14ac:dyDescent="0.3">
      <c r="A2378" s="6">
        <v>28</v>
      </c>
      <c r="B2378" t="s">
        <v>529</v>
      </c>
      <c r="C2378" s="9" t="s">
        <v>963</v>
      </c>
      <c r="D2378" s="9">
        <v>60</v>
      </c>
      <c r="E2378" s="9" t="s">
        <v>1804</v>
      </c>
      <c r="F2378" t="s">
        <v>167</v>
      </c>
      <c r="G2378" t="s">
        <v>168</v>
      </c>
      <c r="H2378" t="s">
        <v>1533</v>
      </c>
    </row>
    <row r="2379" spans="1:8" x14ac:dyDescent="0.3">
      <c r="A2379" s="6">
        <v>28</v>
      </c>
      <c r="B2379" t="s">
        <v>529</v>
      </c>
      <c r="C2379" s="9" t="s">
        <v>963</v>
      </c>
      <c r="D2379" s="9">
        <v>60</v>
      </c>
      <c r="E2379" s="9" t="s">
        <v>1804</v>
      </c>
      <c r="F2379" t="s">
        <v>170</v>
      </c>
      <c r="G2379" t="s">
        <v>171</v>
      </c>
      <c r="H2379" t="s">
        <v>1535</v>
      </c>
    </row>
    <row r="2380" spans="1:8" x14ac:dyDescent="0.3">
      <c r="A2380" s="6">
        <v>28</v>
      </c>
      <c r="B2380" t="s">
        <v>529</v>
      </c>
      <c r="C2380" s="9" t="s">
        <v>963</v>
      </c>
      <c r="D2380" s="9">
        <v>60</v>
      </c>
      <c r="E2380" s="9" t="s">
        <v>1804</v>
      </c>
      <c r="F2380" t="s">
        <v>106</v>
      </c>
      <c r="G2380" t="s">
        <v>32</v>
      </c>
      <c r="H2380" t="s">
        <v>1537</v>
      </c>
    </row>
    <row r="2381" spans="1:8" x14ac:dyDescent="0.3">
      <c r="A2381" s="6">
        <v>28</v>
      </c>
      <c r="B2381" t="s">
        <v>529</v>
      </c>
      <c r="C2381" s="9" t="s">
        <v>963</v>
      </c>
      <c r="D2381" s="9">
        <v>60</v>
      </c>
      <c r="E2381" s="9" t="s">
        <v>1804</v>
      </c>
      <c r="F2381" t="s">
        <v>107</v>
      </c>
      <c r="G2381" t="s">
        <v>108</v>
      </c>
      <c r="H2381" t="s">
        <v>1140</v>
      </c>
    </row>
    <row r="2382" spans="1:8" x14ac:dyDescent="0.3">
      <c r="A2382" s="6">
        <v>28</v>
      </c>
      <c r="B2382" t="s">
        <v>529</v>
      </c>
      <c r="C2382" s="9" t="s">
        <v>963</v>
      </c>
      <c r="D2382" s="9">
        <v>60</v>
      </c>
      <c r="E2382" s="9" t="s">
        <v>1804</v>
      </c>
      <c r="F2382" t="s">
        <v>351</v>
      </c>
      <c r="G2382" t="s">
        <v>38</v>
      </c>
      <c r="H2382" t="s">
        <v>1142</v>
      </c>
    </row>
    <row r="2383" spans="1:8" x14ac:dyDescent="0.3">
      <c r="A2383" s="6">
        <v>28</v>
      </c>
      <c r="B2383" t="s">
        <v>529</v>
      </c>
      <c r="C2383" s="9" t="s">
        <v>963</v>
      </c>
      <c r="D2383" s="9">
        <v>60</v>
      </c>
      <c r="E2383" s="9" t="s">
        <v>1804</v>
      </c>
      <c r="F2383" t="s">
        <v>528</v>
      </c>
      <c r="G2383" t="s">
        <v>38</v>
      </c>
      <c r="H2383" t="s">
        <v>1143</v>
      </c>
    </row>
    <row r="2384" spans="1:8" x14ac:dyDescent="0.3">
      <c r="A2384" s="6">
        <v>28</v>
      </c>
      <c r="B2384" t="s">
        <v>529</v>
      </c>
      <c r="C2384" s="9" t="s">
        <v>963</v>
      </c>
      <c r="D2384" s="9">
        <v>60</v>
      </c>
      <c r="E2384" s="9" t="s">
        <v>1804</v>
      </c>
      <c r="F2384" t="s">
        <v>110</v>
      </c>
      <c r="G2384" t="s">
        <v>41</v>
      </c>
      <c r="H2384" t="s">
        <v>1144</v>
      </c>
    </row>
    <row r="2385" spans="1:8" x14ac:dyDescent="0.3">
      <c r="A2385" s="6">
        <v>28</v>
      </c>
      <c r="B2385" t="s">
        <v>529</v>
      </c>
      <c r="C2385" s="9" t="s">
        <v>963</v>
      </c>
      <c r="D2385" s="9">
        <v>60</v>
      </c>
      <c r="E2385" s="9" t="s">
        <v>1804</v>
      </c>
      <c r="F2385" t="s">
        <v>581</v>
      </c>
      <c r="G2385" t="s">
        <v>180</v>
      </c>
      <c r="H2385" t="s">
        <v>1148</v>
      </c>
    </row>
    <row r="2386" spans="1:8" x14ac:dyDescent="0.3">
      <c r="A2386" s="6">
        <v>28</v>
      </c>
      <c r="B2386" t="s">
        <v>529</v>
      </c>
      <c r="C2386" s="9" t="s">
        <v>963</v>
      </c>
      <c r="D2386" s="9">
        <v>60</v>
      </c>
      <c r="E2386" s="9" t="s">
        <v>1804</v>
      </c>
      <c r="F2386" t="s">
        <v>582</v>
      </c>
      <c r="G2386" t="s">
        <v>548</v>
      </c>
      <c r="H2386" t="s">
        <v>1116</v>
      </c>
    </row>
    <row r="2387" spans="1:8" x14ac:dyDescent="0.3">
      <c r="A2387" s="6">
        <v>28</v>
      </c>
      <c r="B2387" t="s">
        <v>529</v>
      </c>
      <c r="C2387" s="9" t="s">
        <v>963</v>
      </c>
      <c r="D2387" s="9">
        <v>64</v>
      </c>
      <c r="E2387" s="9" t="s">
        <v>1804</v>
      </c>
      <c r="F2387" t="s">
        <v>356</v>
      </c>
      <c r="G2387" t="s">
        <v>115</v>
      </c>
      <c r="H2387" t="s">
        <v>1121</v>
      </c>
    </row>
    <row r="2388" spans="1:8" x14ac:dyDescent="0.3">
      <c r="A2388" s="6">
        <v>28</v>
      </c>
      <c r="B2388" t="s">
        <v>529</v>
      </c>
      <c r="C2388" s="9" t="s">
        <v>963</v>
      </c>
      <c r="D2388" s="9">
        <v>60</v>
      </c>
      <c r="E2388" s="9" t="s">
        <v>1804</v>
      </c>
      <c r="F2388" t="s">
        <v>114</v>
      </c>
      <c r="G2388" t="s">
        <v>115</v>
      </c>
      <c r="H2388" t="s">
        <v>1121</v>
      </c>
    </row>
    <row r="2389" spans="1:8" x14ac:dyDescent="0.3">
      <c r="A2389" s="6">
        <v>28</v>
      </c>
      <c r="B2389" t="s">
        <v>529</v>
      </c>
      <c r="C2389" s="9" t="s">
        <v>963</v>
      </c>
      <c r="D2389" s="9">
        <v>64</v>
      </c>
      <c r="E2389" s="9" t="s">
        <v>1804</v>
      </c>
      <c r="F2389" t="s">
        <v>583</v>
      </c>
      <c r="G2389" t="s">
        <v>238</v>
      </c>
      <c r="H2389" t="s">
        <v>1122</v>
      </c>
    </row>
    <row r="2390" spans="1:8" x14ac:dyDescent="0.3">
      <c r="A2390" s="6">
        <v>28</v>
      </c>
      <c r="B2390" t="s">
        <v>529</v>
      </c>
      <c r="C2390" s="9" t="s">
        <v>963</v>
      </c>
      <c r="D2390" s="9">
        <v>60</v>
      </c>
      <c r="E2390" s="9" t="s">
        <v>1804</v>
      </c>
      <c r="F2390" t="s">
        <v>584</v>
      </c>
      <c r="G2390" t="s">
        <v>434</v>
      </c>
      <c r="H2390" t="s">
        <v>1418</v>
      </c>
    </row>
    <row r="2391" spans="1:8" x14ac:dyDescent="0.3">
      <c r="A2391" s="6">
        <v>28</v>
      </c>
      <c r="B2391" t="s">
        <v>529</v>
      </c>
      <c r="C2391" s="9" t="s">
        <v>963</v>
      </c>
      <c r="D2391" s="9">
        <v>64</v>
      </c>
      <c r="E2391" s="9" t="s">
        <v>1804</v>
      </c>
      <c r="F2391" t="s">
        <v>173</v>
      </c>
      <c r="G2391" t="s">
        <v>118</v>
      </c>
      <c r="H2391" t="s">
        <v>1419</v>
      </c>
    </row>
    <row r="2392" spans="1:8" x14ac:dyDescent="0.3">
      <c r="A2392" s="6">
        <v>28</v>
      </c>
      <c r="B2392" t="s">
        <v>529</v>
      </c>
      <c r="C2392" s="9" t="s">
        <v>963</v>
      </c>
      <c r="D2392" s="9">
        <v>60</v>
      </c>
      <c r="E2392" s="9" t="s">
        <v>1804</v>
      </c>
      <c r="F2392" t="s">
        <v>117</v>
      </c>
      <c r="G2392" t="s">
        <v>118</v>
      </c>
      <c r="H2392" t="s">
        <v>1419</v>
      </c>
    </row>
    <row r="2393" spans="1:8" x14ac:dyDescent="0.3">
      <c r="A2393" s="6">
        <v>28</v>
      </c>
      <c r="B2393" t="s">
        <v>529</v>
      </c>
      <c r="C2393" s="9" t="s">
        <v>963</v>
      </c>
      <c r="D2393" s="9">
        <v>68</v>
      </c>
      <c r="E2393" s="9" t="s">
        <v>1804</v>
      </c>
      <c r="F2393" t="s">
        <v>468</v>
      </c>
      <c r="G2393" t="s">
        <v>54</v>
      </c>
      <c r="H2393" t="s">
        <v>1682</v>
      </c>
    </row>
    <row r="2394" spans="1:8" x14ac:dyDescent="0.3">
      <c r="A2394" s="6">
        <v>28</v>
      </c>
      <c r="B2394" t="s">
        <v>529</v>
      </c>
      <c r="C2394" s="9" t="s">
        <v>963</v>
      </c>
      <c r="D2394" s="9">
        <v>60</v>
      </c>
      <c r="E2394" s="9" t="s">
        <v>1804</v>
      </c>
      <c r="F2394" t="s">
        <v>585</v>
      </c>
      <c r="G2394" t="s">
        <v>54</v>
      </c>
      <c r="H2394" t="s">
        <v>1217</v>
      </c>
    </row>
    <row r="2395" spans="1:8" x14ac:dyDescent="0.3">
      <c r="A2395" s="6">
        <v>28</v>
      </c>
      <c r="B2395" t="s">
        <v>529</v>
      </c>
      <c r="C2395" s="9" t="s">
        <v>963</v>
      </c>
      <c r="D2395" s="9">
        <v>60</v>
      </c>
      <c r="E2395" s="9" t="s">
        <v>1804</v>
      </c>
      <c r="F2395" t="s">
        <v>358</v>
      </c>
      <c r="G2395" t="s">
        <v>359</v>
      </c>
      <c r="H2395" t="s">
        <v>1021</v>
      </c>
    </row>
    <row r="2396" spans="1:8" x14ac:dyDescent="0.3">
      <c r="A2396" s="6">
        <v>28</v>
      </c>
      <c r="B2396" t="s">
        <v>529</v>
      </c>
      <c r="C2396" s="9" t="s">
        <v>963</v>
      </c>
      <c r="D2396" s="9">
        <v>62</v>
      </c>
      <c r="E2396" s="9" t="s">
        <v>1804</v>
      </c>
      <c r="F2396" t="s">
        <v>405</v>
      </c>
      <c r="G2396" t="s">
        <v>260</v>
      </c>
      <c r="H2396" t="s">
        <v>1022</v>
      </c>
    </row>
    <row r="2397" spans="1:8" x14ac:dyDescent="0.3">
      <c r="A2397" s="6">
        <v>28</v>
      </c>
      <c r="B2397" t="s">
        <v>529</v>
      </c>
      <c r="C2397" s="9" t="s">
        <v>963</v>
      </c>
      <c r="D2397" s="9">
        <v>64</v>
      </c>
      <c r="E2397" s="9" t="s">
        <v>1804</v>
      </c>
      <c r="F2397" t="s">
        <v>121</v>
      </c>
      <c r="G2397" t="s">
        <v>122</v>
      </c>
      <c r="H2397" t="s">
        <v>1125</v>
      </c>
    </row>
    <row r="2398" spans="1:8" x14ac:dyDescent="0.3">
      <c r="A2398" s="6">
        <v>28</v>
      </c>
      <c r="B2398" t="s">
        <v>529</v>
      </c>
      <c r="C2398" s="9" t="s">
        <v>963</v>
      </c>
      <c r="D2398" s="9">
        <v>64</v>
      </c>
      <c r="E2398" s="9" t="s">
        <v>1804</v>
      </c>
      <c r="F2398" t="s">
        <v>586</v>
      </c>
      <c r="G2398" t="s">
        <v>63</v>
      </c>
      <c r="H2398" t="s">
        <v>1126</v>
      </c>
    </row>
    <row r="2399" spans="1:8" x14ac:dyDescent="0.3">
      <c r="A2399" s="6">
        <v>28</v>
      </c>
      <c r="B2399" t="s">
        <v>529</v>
      </c>
      <c r="C2399" s="9" t="s">
        <v>963</v>
      </c>
      <c r="D2399" s="9">
        <v>64</v>
      </c>
      <c r="E2399" s="9" t="s">
        <v>1804</v>
      </c>
      <c r="F2399" t="s">
        <v>478</v>
      </c>
      <c r="G2399" t="s">
        <v>479</v>
      </c>
      <c r="H2399" t="s">
        <v>1128</v>
      </c>
    </row>
    <row r="2400" spans="1:8" x14ac:dyDescent="0.3">
      <c r="A2400" s="6">
        <v>28</v>
      </c>
      <c r="B2400" t="s">
        <v>529</v>
      </c>
      <c r="C2400" s="9" t="s">
        <v>963</v>
      </c>
      <c r="D2400" s="9">
        <v>60</v>
      </c>
      <c r="E2400" s="9" t="s">
        <v>1804</v>
      </c>
      <c r="F2400" t="s">
        <v>367</v>
      </c>
      <c r="G2400" t="s">
        <v>368</v>
      </c>
      <c r="H2400" t="s">
        <v>1688</v>
      </c>
    </row>
    <row r="2401" spans="1:8" x14ac:dyDescent="0.3">
      <c r="A2401" s="6">
        <v>28</v>
      </c>
      <c r="B2401" t="s">
        <v>529</v>
      </c>
      <c r="C2401" s="9" t="s">
        <v>963</v>
      </c>
      <c r="D2401" s="9">
        <v>63</v>
      </c>
      <c r="E2401" s="9" t="s">
        <v>1804</v>
      </c>
      <c r="F2401" t="s">
        <v>124</v>
      </c>
      <c r="G2401" t="s">
        <v>572</v>
      </c>
      <c r="H2401" t="s">
        <v>1024</v>
      </c>
    </row>
    <row r="2402" spans="1:8" x14ac:dyDescent="0.3">
      <c r="A2402" s="6">
        <v>28</v>
      </c>
      <c r="B2402" t="s">
        <v>529</v>
      </c>
      <c r="C2402" s="9" t="s">
        <v>963</v>
      </c>
      <c r="D2402" s="9">
        <v>64</v>
      </c>
      <c r="E2402" s="9" t="s">
        <v>1804</v>
      </c>
      <c r="F2402" t="s">
        <v>125</v>
      </c>
      <c r="G2402" t="s">
        <v>126</v>
      </c>
      <c r="H2402" t="s">
        <v>1581</v>
      </c>
    </row>
    <row r="2403" spans="1:8" x14ac:dyDescent="0.3">
      <c r="A2403" s="6">
        <v>28</v>
      </c>
      <c r="B2403" t="s">
        <v>529</v>
      </c>
      <c r="C2403" s="9" t="s">
        <v>963</v>
      </c>
      <c r="D2403" s="9">
        <v>60</v>
      </c>
      <c r="E2403" s="9" t="s">
        <v>1804</v>
      </c>
      <c r="F2403" t="s">
        <v>128</v>
      </c>
      <c r="G2403" t="s">
        <v>129</v>
      </c>
      <c r="H2403" t="s">
        <v>1582</v>
      </c>
    </row>
    <row r="2404" spans="1:8" x14ac:dyDescent="0.3">
      <c r="A2404" s="6">
        <v>28</v>
      </c>
      <c r="B2404" t="s">
        <v>529</v>
      </c>
      <c r="C2404" s="9" t="s">
        <v>963</v>
      </c>
      <c r="D2404" s="9">
        <v>60</v>
      </c>
      <c r="E2404" s="9" t="s">
        <v>1804</v>
      </c>
      <c r="F2404" t="s">
        <v>375</v>
      </c>
      <c r="G2404" t="s">
        <v>376</v>
      </c>
      <c r="H2404" t="s">
        <v>1586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8" style="25" bestFit="1" customWidth="1"/>
    <col min="9" max="9" width="24.33203125" style="17" customWidth="1"/>
    <col min="10" max="10" width="26.33203125" style="17" customWidth="1"/>
    <col min="11" max="12" width="34.88671875" style="17" customWidth="1"/>
    <col min="13" max="16384" width="8.88671875" style="17"/>
  </cols>
  <sheetData>
    <row r="1" spans="1:12" s="27" customFormat="1" ht="81"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2218</v>
      </c>
      <c r="I2" s="15" t="s">
        <v>2151</v>
      </c>
      <c r="J2" s="15" t="s">
        <v>2152</v>
      </c>
      <c r="K2" s="15" t="s">
        <v>5</v>
      </c>
      <c r="L2" s="15" t="s">
        <v>2153</v>
      </c>
    </row>
    <row r="3" spans="1:12" x14ac:dyDescent="0.3">
      <c r="A3" s="33">
        <v>5</v>
      </c>
      <c r="B3" s="33" t="s">
        <v>2154</v>
      </c>
      <c r="C3" s="34" t="s">
        <v>408</v>
      </c>
      <c r="D3" s="51" t="s">
        <v>143</v>
      </c>
      <c r="E3" s="61" t="str">
        <f>IFERROR(VLOOKUP(D3,'Master List'!D:H,2,FALSE),"NA")</f>
        <v>520701</v>
      </c>
      <c r="F3" s="62" t="str">
        <f>IFERROR(VLOOKUP(D3,'Master List'!D:H,3,FALSE),"NA")</f>
        <v>520701</v>
      </c>
      <c r="G3" s="58" t="str">
        <f>IFERROR(VLOOKUP(D3,'Master List'!D:H,4,FALSE),"NA")</f>
        <v>520701</v>
      </c>
      <c r="H3" s="39" t="str">
        <f>IFERROR(VLOOKUP(D3,'Master List'!D:H,5,FALSE),"NA")</f>
        <v>Entrepreneurship/Entrepreneurial Studies.</v>
      </c>
      <c r="I3" s="19"/>
      <c r="J3" s="20"/>
      <c r="K3" s="20"/>
      <c r="L3" s="21"/>
    </row>
    <row r="4" spans="1:12" x14ac:dyDescent="0.3">
      <c r="A4" s="33">
        <v>5</v>
      </c>
      <c r="B4" s="33" t="s">
        <v>2154</v>
      </c>
      <c r="C4" s="34" t="s">
        <v>408</v>
      </c>
      <c r="D4" s="51" t="s">
        <v>176</v>
      </c>
      <c r="E4" s="61" t="str">
        <f>IFERROR(VLOOKUP(D4,'Master List'!D:H,2,FALSE),"NA")</f>
        <v>520905</v>
      </c>
      <c r="F4" s="62" t="str">
        <f>IFERROR(VLOOKUP(D4,'Master List'!D:H,3,FALSE),"NA")</f>
        <v>520905</v>
      </c>
      <c r="G4" s="58" t="str">
        <f>IFERROR(VLOOKUP(D4,'Master List'!D:H,4,FALSE),"NA")</f>
        <v>520905</v>
      </c>
      <c r="H4" s="39" t="str">
        <f>IFERROR(VLOOKUP(D4,'Master List'!D:H,5,FALSE),"NA")</f>
        <v>Restaurant/Food Services Management.</v>
      </c>
      <c r="I4" s="19"/>
      <c r="J4" s="20"/>
      <c r="K4" s="20"/>
      <c r="L4" s="21"/>
    </row>
    <row r="5" spans="1:12" x14ac:dyDescent="0.3">
      <c r="A5" s="33">
        <v>5</v>
      </c>
      <c r="B5" s="33" t="s">
        <v>2154</v>
      </c>
      <c r="C5" s="34" t="s">
        <v>408</v>
      </c>
      <c r="D5" s="51" t="s">
        <v>10</v>
      </c>
      <c r="E5" s="61" t="str">
        <f>IFERROR(VLOOKUP(D5,'Master List'!D:H,2,FALSE),"NA")</f>
        <v>510601</v>
      </c>
      <c r="F5" s="62" t="str">
        <f>IFERROR(VLOOKUP(D5,'Master List'!D:H,3,FALSE),"NA")</f>
        <v>510601</v>
      </c>
      <c r="G5" s="58" t="str">
        <f>IFERROR(VLOOKUP(D5,'Master List'!D:H,4,FALSE),"NA")</f>
        <v>510601</v>
      </c>
      <c r="H5" s="39" t="str">
        <f>IFERROR(VLOOKUP(D5,'Master List'!D:H,5,FALSE),"NA")</f>
        <v>Dental Assisting/Assistant.</v>
      </c>
      <c r="I5" s="19"/>
      <c r="J5" s="20"/>
      <c r="K5" s="20"/>
      <c r="L5" s="21"/>
    </row>
    <row r="6" spans="1:12" x14ac:dyDescent="0.3">
      <c r="A6" s="33">
        <v>5</v>
      </c>
      <c r="B6" s="33" t="s">
        <v>2154</v>
      </c>
      <c r="C6" s="34" t="s">
        <v>408</v>
      </c>
      <c r="D6" s="51" t="s">
        <v>198</v>
      </c>
      <c r="E6" s="61" t="str">
        <f>IFERROR(VLOOKUP(D6,'Master List'!D:H,2,FALSE),"NA")</f>
        <v>510707</v>
      </c>
      <c r="F6" s="62" t="str">
        <f>IFERROR(VLOOKUP(D6,'Master List'!D:H,3,FALSE),"NA")</f>
        <v>510707</v>
      </c>
      <c r="G6" s="58">
        <f>IFERROR(VLOOKUP(D6,'Master List'!D:H,4,FALSE),"NA")</f>
        <v>510714</v>
      </c>
      <c r="H6" s="39" t="str">
        <f>IFERROR(VLOOKUP(D6,'Master List'!D:H,5,FALSE),"NA")</f>
        <v>Medical Insurance Specialist/Medical Biller</v>
      </c>
      <c r="I6" s="19"/>
      <c r="J6" s="20"/>
      <c r="K6" s="20"/>
      <c r="L6" s="21"/>
    </row>
    <row r="7" spans="1:12" x14ac:dyDescent="0.3">
      <c r="A7" s="33">
        <v>5</v>
      </c>
      <c r="B7" s="33" t="s">
        <v>2154</v>
      </c>
      <c r="C7" s="34" t="s">
        <v>408</v>
      </c>
      <c r="D7" s="51" t="s">
        <v>409</v>
      </c>
      <c r="E7" s="61" t="str">
        <f>IFERROR(VLOOKUP(D7,'Master List'!D:H,2,FALSE),"NA")</f>
        <v>NA</v>
      </c>
      <c r="F7" s="62" t="str">
        <f>IFERROR(VLOOKUP(D7,'Master List'!D:H,3,FALSE),"NA")</f>
        <v>NA</v>
      </c>
      <c r="G7" s="58" t="str">
        <f>IFERROR(VLOOKUP(D7,'Master List'!D:H,4,FALSE),"NA")</f>
        <v>NA</v>
      </c>
      <c r="H7" s="39" t="str">
        <f>IFERROR(VLOOKUP(D7,'Master List'!D:H,5,FALSE),"NA")</f>
        <v>NA</v>
      </c>
      <c r="I7" s="19"/>
      <c r="J7" s="20"/>
      <c r="K7" s="20"/>
      <c r="L7" s="21"/>
    </row>
    <row r="8" spans="1:12" x14ac:dyDescent="0.3">
      <c r="A8" s="33">
        <v>5</v>
      </c>
      <c r="B8" s="33" t="s">
        <v>2154</v>
      </c>
      <c r="C8" s="34" t="s">
        <v>408</v>
      </c>
      <c r="D8" s="51" t="s">
        <v>199</v>
      </c>
      <c r="E8" s="61" t="str">
        <f>IFERROR(VLOOKUP(D8,'Master List'!D:H,2,FALSE),"NA")</f>
        <v>510801</v>
      </c>
      <c r="F8" s="62" t="str">
        <f>IFERROR(VLOOKUP(D8,'Master List'!D:H,3,FALSE),"NA")</f>
        <v>510801</v>
      </c>
      <c r="G8" s="58" t="str">
        <f>IFERROR(VLOOKUP(D8,'Master List'!D:H,4,FALSE),"NA")</f>
        <v>510801</v>
      </c>
      <c r="H8" s="39" t="str">
        <f>IFERROR(VLOOKUP(D8,'Master List'!D:H,5,FALSE),"NA")</f>
        <v>Medical/Clinical Assistant.</v>
      </c>
      <c r="I8" s="19"/>
      <c r="J8" s="20"/>
      <c r="K8" s="20"/>
      <c r="L8" s="21"/>
    </row>
    <row r="9" spans="1:12" x14ac:dyDescent="0.3">
      <c r="A9" s="33">
        <v>5</v>
      </c>
      <c r="B9" s="33" t="s">
        <v>2154</v>
      </c>
      <c r="C9" s="34" t="s">
        <v>408</v>
      </c>
      <c r="D9" s="51" t="s">
        <v>14</v>
      </c>
      <c r="E9" s="61" t="str">
        <f>IFERROR(VLOOKUP(D9,'Master List'!D:H,2,FALSE),"NA")</f>
        <v>510904</v>
      </c>
      <c r="F9" s="62" t="str">
        <f>IFERROR(VLOOKUP(D9,'Master List'!D:H,3,FALSE),"NA")</f>
        <v>510904</v>
      </c>
      <c r="G9" s="58" t="str">
        <f>IFERROR(VLOOKUP(D9,'Master List'!D:H,4,FALSE),"NA")</f>
        <v>510904</v>
      </c>
      <c r="H9" s="39" t="str">
        <f>IFERROR(VLOOKUP(D9,'Master List'!D:H,5,FALSE),"NA")</f>
        <v>Emergency Medical Technology/Technician (EMT Paramedic).</v>
      </c>
      <c r="I9" s="19"/>
      <c r="J9" s="20"/>
      <c r="K9" s="20"/>
      <c r="L9" s="21"/>
    </row>
    <row r="10" spans="1:12" x14ac:dyDescent="0.3">
      <c r="A10" s="33">
        <v>5</v>
      </c>
      <c r="B10" s="33" t="s">
        <v>2154</v>
      </c>
      <c r="C10" s="34" t="s">
        <v>408</v>
      </c>
      <c r="D10" s="51" t="s">
        <v>17</v>
      </c>
      <c r="E10" s="61" t="str">
        <f>IFERROR(VLOOKUP(D10,'Master List'!D:H,2,FALSE),"NA")</f>
        <v>510904</v>
      </c>
      <c r="F10" s="62" t="str">
        <f>IFERROR(VLOOKUP(D10,'Master List'!D:H,3,FALSE),"NA")</f>
        <v>510904</v>
      </c>
      <c r="G10" s="58" t="str">
        <f>IFERROR(VLOOKUP(D10,'Master List'!D:H,4,FALSE),"NA")</f>
        <v>510904</v>
      </c>
      <c r="H10" s="39" t="str">
        <f>IFERROR(VLOOKUP(D10,'Master List'!D:H,5,FALSE),"NA")</f>
        <v>Emergency Medical Technology/Technician (EMT Paramedic).</v>
      </c>
      <c r="I10" s="19"/>
      <c r="J10" s="20"/>
      <c r="K10" s="20"/>
      <c r="L10" s="21"/>
    </row>
    <row r="11" spans="1:12" x14ac:dyDescent="0.3">
      <c r="A11" s="33">
        <v>5</v>
      </c>
      <c r="B11" s="33" t="s">
        <v>2154</v>
      </c>
      <c r="C11" s="34" t="s">
        <v>408</v>
      </c>
      <c r="D11" s="51" t="s">
        <v>207</v>
      </c>
      <c r="E11" s="61" t="str">
        <f>IFERROR(VLOOKUP(D11,'Master List'!D:H,2,FALSE),"NA")</f>
        <v>510909</v>
      </c>
      <c r="F11" s="62" t="str">
        <f>IFERROR(VLOOKUP(D11,'Master List'!D:H,3,FALSE),"NA")</f>
        <v>510909</v>
      </c>
      <c r="G11" s="58" t="str">
        <f>IFERROR(VLOOKUP(D11,'Master List'!D:H,4,FALSE),"NA")</f>
        <v>510909</v>
      </c>
      <c r="H11" s="39" t="str">
        <f>IFERROR(VLOOKUP(D11,'Master List'!D:H,5,FALSE),"NA")</f>
        <v>Surgical Technology/Technologist.</v>
      </c>
      <c r="I11" s="19"/>
      <c r="J11" s="20"/>
      <c r="K11" s="20"/>
      <c r="L11" s="21"/>
    </row>
    <row r="12" spans="1:12" x14ac:dyDescent="0.3">
      <c r="A12" s="33">
        <v>5</v>
      </c>
      <c r="B12" s="33" t="s">
        <v>2154</v>
      </c>
      <c r="C12" s="34" t="s">
        <v>408</v>
      </c>
      <c r="D12" s="51" t="s">
        <v>410</v>
      </c>
      <c r="E12" s="61" t="str">
        <f>IFERROR(VLOOKUP(D12,'Master List'!D:H,2,FALSE),"NA")</f>
        <v>511009</v>
      </c>
      <c r="F12" s="62" t="str">
        <f>IFERROR(VLOOKUP(D12,'Master List'!D:H,3,FALSE),"NA")</f>
        <v>511009</v>
      </c>
      <c r="G12" s="58" t="str">
        <f>IFERROR(VLOOKUP(D12,'Master List'!D:H,4,FALSE),"NA")</f>
        <v>511009</v>
      </c>
      <c r="H12" s="39" t="str">
        <f>IFERROR(VLOOKUP(D12,'Master List'!D:H,5,FALSE),"NA")</f>
        <v>Phlebotomy Technician/Phlebotomist.</v>
      </c>
      <c r="I12" s="19"/>
      <c r="J12" s="20"/>
      <c r="K12" s="20"/>
      <c r="L12" s="21"/>
    </row>
    <row r="13" spans="1:12" x14ac:dyDescent="0.3">
      <c r="A13" s="33">
        <v>5</v>
      </c>
      <c r="B13" s="33" t="s">
        <v>2154</v>
      </c>
      <c r="C13" s="34" t="s">
        <v>408</v>
      </c>
      <c r="D13" s="51" t="s">
        <v>211</v>
      </c>
      <c r="E13" s="61" t="str">
        <f>IFERROR(VLOOKUP(D13,'Master List'!D:H,2,FALSE),"NA")</f>
        <v>513501</v>
      </c>
      <c r="F13" s="62" t="str">
        <f>IFERROR(VLOOKUP(D13,'Master List'!D:H,3,FALSE),"NA")</f>
        <v>513501</v>
      </c>
      <c r="G13" s="58" t="str">
        <f>IFERROR(VLOOKUP(D13,'Master List'!D:H,4,FALSE),"NA")</f>
        <v>513501</v>
      </c>
      <c r="H13" s="39" t="str">
        <f>IFERROR(VLOOKUP(D13,'Master List'!D:H,5,FALSE),"NA")</f>
        <v>Massage Therapy/Therapeutic Massage.</v>
      </c>
      <c r="I13" s="19"/>
      <c r="J13" s="20"/>
      <c r="K13" s="20"/>
      <c r="L13" s="21"/>
    </row>
    <row r="14" spans="1:12" x14ac:dyDescent="0.3">
      <c r="A14" s="33">
        <v>5</v>
      </c>
      <c r="B14" s="33" t="s">
        <v>2154</v>
      </c>
      <c r="C14" s="34" t="s">
        <v>408</v>
      </c>
      <c r="D14" s="51" t="s">
        <v>413</v>
      </c>
      <c r="E14" s="61" t="str">
        <f>IFERROR(VLOOKUP(D14,'Master List'!D:H,2,FALSE),"NA")</f>
        <v>513901</v>
      </c>
      <c r="F14" s="62" t="str">
        <f>IFERROR(VLOOKUP(D14,'Master List'!D:H,3,FALSE),"NA")</f>
        <v>513901</v>
      </c>
      <c r="G14" s="58" t="str">
        <f>IFERROR(VLOOKUP(D14,'Master List'!D:H,4,FALSE),"NA")</f>
        <v>513901</v>
      </c>
      <c r="H14" s="39" t="str">
        <f>IFERROR(VLOOKUP(D14,'Master List'!D:H,5,FALSE),"NA")</f>
        <v>Licensed Practical/Vocational Nurse Training.</v>
      </c>
      <c r="I14" s="19"/>
      <c r="J14" s="20"/>
      <c r="K14" s="20"/>
      <c r="L14" s="21"/>
    </row>
    <row r="15" spans="1:12" x14ac:dyDescent="0.3">
      <c r="A15" s="33">
        <v>5</v>
      </c>
      <c r="B15" s="33" t="s">
        <v>2154</v>
      </c>
      <c r="C15" s="34" t="s">
        <v>408</v>
      </c>
      <c r="D15" s="51" t="s">
        <v>25</v>
      </c>
      <c r="E15" s="61" t="str">
        <f>IFERROR(VLOOKUP(D15,'Master List'!D:H,2,FALSE),"NA")</f>
        <v>513902</v>
      </c>
      <c r="F15" s="62" t="str">
        <f>IFERROR(VLOOKUP(D15,'Master List'!D:H,3,FALSE),"NA")</f>
        <v>513902</v>
      </c>
      <c r="G15" s="58" t="str">
        <f>IFERROR(VLOOKUP(D15,'Master List'!D:H,4,FALSE),"NA")</f>
        <v>513902</v>
      </c>
      <c r="H15" s="39" t="str">
        <f>IFERROR(VLOOKUP(D15,'Master List'!D:H,5,FALSE),"NA")</f>
        <v>Nursing Assistant/Aide and Patient Care Assistant/Aide.</v>
      </c>
      <c r="I15" s="19"/>
      <c r="J15" s="20"/>
      <c r="K15" s="20"/>
      <c r="L15" s="21"/>
    </row>
    <row r="16" spans="1:12" x14ac:dyDescent="0.3">
      <c r="A16" s="33">
        <v>5</v>
      </c>
      <c r="B16" s="33" t="s">
        <v>2154</v>
      </c>
      <c r="C16" s="34" t="s">
        <v>408</v>
      </c>
      <c r="D16" s="51" t="s">
        <v>416</v>
      </c>
      <c r="E16" s="61" t="str">
        <f>IFERROR(VLOOKUP(D16,'Master List'!D:H,2,FALSE),"NA")</f>
        <v>120503</v>
      </c>
      <c r="F16" s="62" t="str">
        <f>IFERROR(VLOOKUP(D16,'Master List'!D:H,3,FALSE),"NA")</f>
        <v>120503</v>
      </c>
      <c r="G16" s="58" t="str">
        <f>IFERROR(VLOOKUP(D16,'Master List'!D:H,4,FALSE),"NA")</f>
        <v>120503</v>
      </c>
      <c r="H16" s="39" t="str">
        <f>IFERROR(VLOOKUP(D16,'Master List'!D:H,5,FALSE),"NA")</f>
        <v>Culinary Arts/Chef Training.</v>
      </c>
      <c r="I16" s="19"/>
      <c r="J16" s="20"/>
      <c r="K16" s="20"/>
      <c r="L16" s="21"/>
    </row>
    <row r="17" spans="1:12" x14ac:dyDescent="0.3">
      <c r="A17" s="33">
        <v>5</v>
      </c>
      <c r="B17" s="33" t="s">
        <v>2154</v>
      </c>
      <c r="C17" s="34" t="s">
        <v>408</v>
      </c>
      <c r="D17" s="51" t="s">
        <v>417</v>
      </c>
      <c r="E17" s="61" t="str">
        <f>IFERROR(VLOOKUP(D17,'Master List'!D:H,2,FALSE),"NA")</f>
        <v>500408</v>
      </c>
      <c r="F17" s="62" t="str">
        <f>IFERROR(VLOOKUP(D17,'Master List'!D:H,3,FALSE),"NA")</f>
        <v>500408</v>
      </c>
      <c r="G17" s="58" t="str">
        <f>IFERROR(VLOOKUP(D17,'Master List'!D:H,4,FALSE),"NA")</f>
        <v>500408</v>
      </c>
      <c r="H17" s="39" t="str">
        <f>IFERROR(VLOOKUP(D17,'Master List'!D:H,5,FALSE),"NA")</f>
        <v>Interior Design.</v>
      </c>
      <c r="I17" s="19"/>
      <c r="J17" s="20"/>
      <c r="K17" s="20"/>
      <c r="L17" s="21"/>
    </row>
    <row r="18" spans="1:12" x14ac:dyDescent="0.3">
      <c r="A18" s="33">
        <v>5</v>
      </c>
      <c r="B18" s="33" t="s">
        <v>2154</v>
      </c>
      <c r="C18" s="34" t="s">
        <v>408</v>
      </c>
      <c r="D18" s="51" t="s">
        <v>385</v>
      </c>
      <c r="E18" s="61" t="str">
        <f>IFERROR(VLOOKUP(D18,'Master List'!D:H,2,FALSE),"NA")</f>
        <v>511599</v>
      </c>
      <c r="F18" s="62" t="str">
        <f>IFERROR(VLOOKUP(D18,'Master List'!D:H,3,FALSE),"NA")</f>
        <v>511599</v>
      </c>
      <c r="G18" s="58">
        <f>IFERROR(VLOOKUP(D18,'Master List'!D:H,4,FALSE),"NA")</f>
        <v>511501</v>
      </c>
      <c r="H18" s="39" t="str">
        <f>IFERROR(VLOOKUP(D18,'Master List'!D:H,5,FALSE),"NA")</f>
        <v>Substance Abuse/Addiction Counseling</v>
      </c>
      <c r="I18" s="19"/>
      <c r="J18" s="20"/>
      <c r="K18" s="20"/>
      <c r="L18" s="21"/>
    </row>
    <row r="19" spans="1:12" x14ac:dyDescent="0.3">
      <c r="A19" s="33">
        <v>5</v>
      </c>
      <c r="B19" s="33" t="s">
        <v>2154</v>
      </c>
      <c r="C19" s="34" t="s">
        <v>408</v>
      </c>
      <c r="D19" s="51" t="s">
        <v>418</v>
      </c>
      <c r="E19" s="61" t="str">
        <f>IFERROR(VLOOKUP(D19,'Master List'!D:H,2,FALSE),"NA")</f>
        <v>110103</v>
      </c>
      <c r="F19" s="62" t="str">
        <f>IFERROR(VLOOKUP(D19,'Master List'!D:H,3,FALSE),"NA")</f>
        <v>110103</v>
      </c>
      <c r="G19" s="58" t="str">
        <f>IFERROR(VLOOKUP(D19,'Master List'!D:H,4,FALSE),"NA")</f>
        <v>110103</v>
      </c>
      <c r="H19" s="39" t="str">
        <f>IFERROR(VLOOKUP(D19,'Master List'!D:H,5,FALSE),"NA")</f>
        <v>Information Technology.</v>
      </c>
      <c r="I19" s="19"/>
      <c r="J19" s="20"/>
      <c r="K19" s="20"/>
      <c r="L19" s="21"/>
    </row>
    <row r="20" spans="1:12" x14ac:dyDescent="0.3">
      <c r="A20" s="33">
        <v>5</v>
      </c>
      <c r="B20" s="33" t="s">
        <v>2154</v>
      </c>
      <c r="C20" s="34" t="s">
        <v>408</v>
      </c>
      <c r="D20" s="51" t="s">
        <v>217</v>
      </c>
      <c r="E20" s="61" t="str">
        <f>IFERROR(VLOOKUP(D20,'Master List'!D:H,2,FALSE),"NA")</f>
        <v>110103</v>
      </c>
      <c r="F20" s="62" t="str">
        <f>IFERROR(VLOOKUP(D20,'Master List'!D:H,3,FALSE),"NA")</f>
        <v>110103</v>
      </c>
      <c r="G20" s="58" t="str">
        <f>IFERROR(VLOOKUP(D20,'Master List'!D:H,4,FALSE),"NA")</f>
        <v>110103</v>
      </c>
      <c r="H20" s="39" t="str">
        <f>IFERROR(VLOOKUP(D20,'Master List'!D:H,5,FALSE),"NA")</f>
        <v>Information Technology.</v>
      </c>
      <c r="I20" s="19"/>
      <c r="J20" s="20"/>
      <c r="K20" s="20"/>
      <c r="L20" s="21"/>
    </row>
    <row r="21" spans="1:12" x14ac:dyDescent="0.3">
      <c r="A21" s="33">
        <v>5</v>
      </c>
      <c r="B21" s="33" t="s">
        <v>2154</v>
      </c>
      <c r="C21" s="34" t="s">
        <v>408</v>
      </c>
      <c r="D21" s="51" t="s">
        <v>218</v>
      </c>
      <c r="E21" s="61" t="str">
        <f>IFERROR(VLOOKUP(D21,'Master List'!D:H,2,FALSE),"NA")</f>
        <v>110103</v>
      </c>
      <c r="F21" s="62" t="str">
        <f>IFERROR(VLOOKUP(D21,'Master List'!D:H,3,FALSE),"NA")</f>
        <v>110103</v>
      </c>
      <c r="G21" s="58" t="str">
        <f>IFERROR(VLOOKUP(D21,'Master List'!D:H,4,FALSE),"NA")</f>
        <v>110103</v>
      </c>
      <c r="H21" s="39" t="str">
        <f>IFERROR(VLOOKUP(D21,'Master List'!D:H,5,FALSE),"NA")</f>
        <v>Information Technology.</v>
      </c>
      <c r="I21" s="19"/>
      <c r="J21" s="20"/>
      <c r="K21" s="20"/>
      <c r="L21" s="21"/>
    </row>
    <row r="22" spans="1:12" x14ac:dyDescent="0.3">
      <c r="A22" s="33">
        <v>5</v>
      </c>
      <c r="B22" s="33" t="s">
        <v>2154</v>
      </c>
      <c r="C22" s="34" t="s">
        <v>408</v>
      </c>
      <c r="D22" s="51" t="s">
        <v>390</v>
      </c>
      <c r="E22" s="61" t="str">
        <f>IFERROR(VLOOKUP(D22,'Master List'!D:H,2,FALSE),"NA")</f>
        <v>110202</v>
      </c>
      <c r="F22" s="62" t="str">
        <f>IFERROR(VLOOKUP(D22,'Master List'!D:H,3,FALSE),"NA")</f>
        <v>110202</v>
      </c>
      <c r="G22" s="58" t="str">
        <f>IFERROR(VLOOKUP(D22,'Master List'!D:H,4,FALSE),"NA")</f>
        <v>110202</v>
      </c>
      <c r="H22" s="39" t="str">
        <f>IFERROR(VLOOKUP(D22,'Master List'!D:H,5,FALSE),"NA")</f>
        <v>Computer Programming, Specific Applications.</v>
      </c>
      <c r="I22" s="19"/>
      <c r="J22" s="20"/>
      <c r="K22" s="20"/>
      <c r="L22" s="21"/>
    </row>
    <row r="23" spans="1:12" x14ac:dyDescent="0.3">
      <c r="A23" s="33">
        <v>5</v>
      </c>
      <c r="B23" s="33" t="s">
        <v>2154</v>
      </c>
      <c r="C23" s="34" t="s">
        <v>408</v>
      </c>
      <c r="D23" s="51" t="s">
        <v>421</v>
      </c>
      <c r="E23" s="61" t="str">
        <f>IFERROR(VLOOKUP(D23,'Master List'!D:H,2,FALSE),"NA")</f>
        <v>110801</v>
      </c>
      <c r="F23" s="62" t="str">
        <f>IFERROR(VLOOKUP(D23,'Master List'!D:H,3,FALSE),"NA")</f>
        <v>110801</v>
      </c>
      <c r="G23" s="58" t="str">
        <f>IFERROR(VLOOKUP(D23,'Master List'!D:H,4,FALSE),"NA")</f>
        <v>110801</v>
      </c>
      <c r="H23" s="39" t="str">
        <f>IFERROR(VLOOKUP(D23,'Master List'!D:H,5,FALSE),"NA")</f>
        <v>Web Page, Digital/Multimedia and Information Resources Design.</v>
      </c>
      <c r="I23" s="19"/>
      <c r="J23" s="20"/>
      <c r="K23" s="20"/>
      <c r="L23" s="21"/>
    </row>
    <row r="24" spans="1:12" x14ac:dyDescent="0.3">
      <c r="A24" s="33">
        <v>5</v>
      </c>
      <c r="B24" s="33" t="s">
        <v>2154</v>
      </c>
      <c r="C24" s="34" t="s">
        <v>408</v>
      </c>
      <c r="D24" s="51" t="s">
        <v>31</v>
      </c>
      <c r="E24" s="61" t="str">
        <f>IFERROR(VLOOKUP(D24,'Master List'!D:H,2,FALSE),"NA")</f>
        <v>111001</v>
      </c>
      <c r="F24" s="62" t="str">
        <f>IFERROR(VLOOKUP(D24,'Master List'!D:H,3,FALSE),"NA")</f>
        <v>111001</v>
      </c>
      <c r="G24" s="58" t="str">
        <f>IFERROR(VLOOKUP(D24,'Master List'!D:H,4,FALSE),"NA")</f>
        <v>111001</v>
      </c>
      <c r="H24" s="39" t="str">
        <f>IFERROR(VLOOKUP(D24,'Master List'!D:H,5,FALSE),"NA")</f>
        <v>Network and System Administration/Administrator.</v>
      </c>
      <c r="I24" s="19"/>
      <c r="J24" s="20"/>
      <c r="K24" s="20"/>
      <c r="L24" s="21"/>
    </row>
    <row r="25" spans="1:12" x14ac:dyDescent="0.3">
      <c r="A25" s="33">
        <v>5</v>
      </c>
      <c r="B25" s="33" t="s">
        <v>2154</v>
      </c>
      <c r="C25" s="34" t="s">
        <v>408</v>
      </c>
      <c r="D25" s="51" t="s">
        <v>34</v>
      </c>
      <c r="E25" s="61" t="str">
        <f>IFERROR(VLOOKUP(D25,'Master List'!D:H,2,FALSE),"NA")</f>
        <v>111001</v>
      </c>
      <c r="F25" s="62" t="str">
        <f>IFERROR(VLOOKUP(D25,'Master List'!D:H,3,FALSE),"NA")</f>
        <v>111001</v>
      </c>
      <c r="G25" s="58" t="str">
        <f>IFERROR(VLOOKUP(D25,'Master List'!D:H,4,FALSE),"NA")</f>
        <v>111001</v>
      </c>
      <c r="H25" s="39" t="str">
        <f>IFERROR(VLOOKUP(D25,'Master List'!D:H,5,FALSE),"NA")</f>
        <v>Network and System Administration/Administrator.</v>
      </c>
      <c r="I25" s="19"/>
      <c r="J25" s="20"/>
      <c r="K25" s="20"/>
      <c r="L25" s="21"/>
    </row>
    <row r="26" spans="1:12" x14ac:dyDescent="0.3">
      <c r="A26" s="33">
        <v>5</v>
      </c>
      <c r="B26" s="33" t="s">
        <v>2154</v>
      </c>
      <c r="C26" s="34" t="s">
        <v>408</v>
      </c>
      <c r="D26" s="51" t="s">
        <v>36</v>
      </c>
      <c r="E26" s="61" t="str">
        <f>IFERROR(VLOOKUP(D26,'Master List'!D:H,2,FALSE),"NA")</f>
        <v>111001</v>
      </c>
      <c r="F26" s="62" t="str">
        <f>IFERROR(VLOOKUP(D26,'Master List'!D:H,3,FALSE),"NA")</f>
        <v>111001</v>
      </c>
      <c r="G26" s="58" t="str">
        <f>IFERROR(VLOOKUP(D26,'Master List'!D:H,4,FALSE),"NA")</f>
        <v>111001</v>
      </c>
      <c r="H26" s="39" t="str">
        <f>IFERROR(VLOOKUP(D26,'Master List'!D:H,5,FALSE),"NA")</f>
        <v>Network and System Administration/Administrator.</v>
      </c>
      <c r="I26" s="19"/>
      <c r="J26" s="20"/>
      <c r="K26" s="20"/>
      <c r="L26" s="21"/>
    </row>
    <row r="27" spans="1:12" x14ac:dyDescent="0.3">
      <c r="A27" s="33">
        <v>5</v>
      </c>
      <c r="B27" s="33" t="s">
        <v>2154</v>
      </c>
      <c r="C27" s="34" t="s">
        <v>408</v>
      </c>
      <c r="D27" s="51" t="s">
        <v>422</v>
      </c>
      <c r="E27" s="61" t="str">
        <f>IFERROR(VLOOKUP(D27,'Master List'!D:H,2,FALSE),"NA")</f>
        <v>510716</v>
      </c>
      <c r="F27" s="62" t="str">
        <f>IFERROR(VLOOKUP(D27,'Master List'!D:H,3,FALSE),"NA")</f>
        <v>510716</v>
      </c>
      <c r="G27" s="58">
        <f>IFERROR(VLOOKUP(D27,'Master List'!D:H,4,FALSE),"NA")</f>
        <v>510705</v>
      </c>
      <c r="H27" s="39" t="str">
        <f>IFERROR(VLOOKUP(D27,'Master List'!D:H,5,FALSE),"NA")</f>
        <v>Medical Office Management/Administration</v>
      </c>
      <c r="I27" s="19"/>
      <c r="J27" s="20"/>
      <c r="K27" s="20"/>
      <c r="L27" s="21"/>
    </row>
    <row r="28" spans="1:12" x14ac:dyDescent="0.3">
      <c r="A28" s="33">
        <v>5</v>
      </c>
      <c r="B28" s="33" t="s">
        <v>2154</v>
      </c>
      <c r="C28" s="34" t="s">
        <v>408</v>
      </c>
      <c r="D28" s="51" t="s">
        <v>154</v>
      </c>
      <c r="E28" s="61" t="str">
        <f>IFERROR(VLOOKUP(D28,'Master List'!D:H,2,FALSE),"NA")</f>
        <v>520201</v>
      </c>
      <c r="F28" s="62" t="str">
        <f>IFERROR(VLOOKUP(D28,'Master List'!D:H,3,FALSE),"NA")</f>
        <v>520201</v>
      </c>
      <c r="G28" s="58" t="str">
        <f>IFERROR(VLOOKUP(D28,'Master List'!D:H,4,FALSE),"NA")</f>
        <v>520201</v>
      </c>
      <c r="H28" s="39" t="str">
        <f>IFERROR(VLOOKUP(D28,'Master List'!D:H,5,FALSE),"NA")</f>
        <v>Business Administration and Management, General.</v>
      </c>
      <c r="I28" s="19"/>
      <c r="J28" s="20"/>
      <c r="K28" s="20"/>
      <c r="L28" s="21"/>
    </row>
    <row r="29" spans="1:12" x14ac:dyDescent="0.3">
      <c r="A29" s="33">
        <v>5</v>
      </c>
      <c r="B29" s="33" t="s">
        <v>2154</v>
      </c>
      <c r="C29" s="34" t="s">
        <v>408</v>
      </c>
      <c r="D29" s="51" t="s">
        <v>37</v>
      </c>
      <c r="E29" s="61" t="str">
        <f>IFERROR(VLOOKUP(D29,'Master List'!D:H,2,FALSE),"NA")</f>
        <v>520204</v>
      </c>
      <c r="F29" s="62" t="str">
        <f>IFERROR(VLOOKUP(D29,'Master List'!D:H,3,FALSE),"NA")</f>
        <v>520204</v>
      </c>
      <c r="G29" s="58" t="str">
        <f>IFERROR(VLOOKUP(D29,'Master List'!D:H,4,FALSE),"NA")</f>
        <v>520204</v>
      </c>
      <c r="H29" s="39" t="str">
        <f>IFERROR(VLOOKUP(D29,'Master List'!D:H,5,FALSE),"NA")</f>
        <v>Office Management and Supervision.</v>
      </c>
      <c r="I29" s="19"/>
      <c r="J29" s="20"/>
      <c r="K29" s="20"/>
      <c r="L29" s="21"/>
    </row>
    <row r="30" spans="1:12" x14ac:dyDescent="0.3">
      <c r="A30" s="33">
        <v>5</v>
      </c>
      <c r="B30" s="33" t="s">
        <v>2154</v>
      </c>
      <c r="C30" s="34" t="s">
        <v>408</v>
      </c>
      <c r="D30" s="51" t="s">
        <v>226</v>
      </c>
      <c r="E30" s="61" t="str">
        <f>IFERROR(VLOOKUP(D30,'Master List'!D:H,2,FALSE),"NA")</f>
        <v>520204</v>
      </c>
      <c r="F30" s="62" t="str">
        <f>IFERROR(VLOOKUP(D30,'Master List'!D:H,3,FALSE),"NA")</f>
        <v>520204</v>
      </c>
      <c r="G30" s="58" t="str">
        <f>IFERROR(VLOOKUP(D30,'Master List'!D:H,4,FALSE),"NA")</f>
        <v>520204</v>
      </c>
      <c r="H30" s="39" t="str">
        <f>IFERROR(VLOOKUP(D30,'Master List'!D:H,5,FALSE),"NA")</f>
        <v>Office Management and Supervision.</v>
      </c>
      <c r="I30" s="19"/>
      <c r="J30" s="20"/>
      <c r="K30" s="20"/>
      <c r="L30" s="21"/>
    </row>
    <row r="31" spans="1:12" x14ac:dyDescent="0.3">
      <c r="A31" s="33">
        <v>5</v>
      </c>
      <c r="B31" s="33" t="s">
        <v>2154</v>
      </c>
      <c r="C31" s="34" t="s">
        <v>408</v>
      </c>
      <c r="D31" s="51" t="s">
        <v>227</v>
      </c>
      <c r="E31" s="61" t="str">
        <f>IFERROR(VLOOKUP(D31,'Master List'!D:H,2,FALSE),"NA")</f>
        <v>520302</v>
      </c>
      <c r="F31" s="62" t="str">
        <f>IFERROR(VLOOKUP(D31,'Master List'!D:H,3,FALSE),"NA")</f>
        <v>520302</v>
      </c>
      <c r="G31" s="58" t="str">
        <f>IFERROR(VLOOKUP(D31,'Master List'!D:H,4,FALSE),"NA")</f>
        <v>520302</v>
      </c>
      <c r="H31" s="39" t="str">
        <f>IFERROR(VLOOKUP(D31,'Master List'!D:H,5,FALSE),"NA")</f>
        <v>Accounting Technology/Technician and Bookkeeping.</v>
      </c>
      <c r="I31" s="19"/>
      <c r="J31" s="20"/>
      <c r="K31" s="20"/>
      <c r="L31" s="21"/>
    </row>
    <row r="32" spans="1:12" x14ac:dyDescent="0.3">
      <c r="A32" s="33">
        <v>5</v>
      </c>
      <c r="B32" s="33" t="s">
        <v>2154</v>
      </c>
      <c r="C32" s="34" t="s">
        <v>408</v>
      </c>
      <c r="D32" s="51" t="s">
        <v>40</v>
      </c>
      <c r="E32" s="61" t="str">
        <f>IFERROR(VLOOKUP(D32,'Master List'!D:H,2,FALSE),"NA")</f>
        <v>520302</v>
      </c>
      <c r="F32" s="62" t="str">
        <f>IFERROR(VLOOKUP(D32,'Master List'!D:H,3,FALSE),"NA")</f>
        <v>520302</v>
      </c>
      <c r="G32" s="58" t="str">
        <f>IFERROR(VLOOKUP(D32,'Master List'!D:H,4,FALSE),"NA")</f>
        <v>520302</v>
      </c>
      <c r="H32" s="39" t="str">
        <f>IFERROR(VLOOKUP(D32,'Master List'!D:H,5,FALSE),"NA")</f>
        <v>Accounting Technology/Technician and Bookkeeping.</v>
      </c>
      <c r="I32" s="19"/>
      <c r="J32" s="20"/>
      <c r="K32" s="20"/>
      <c r="L32" s="21"/>
    </row>
    <row r="33" spans="1:12" x14ac:dyDescent="0.3">
      <c r="A33" s="33">
        <v>5</v>
      </c>
      <c r="B33" s="33" t="s">
        <v>2154</v>
      </c>
      <c r="C33" s="34" t="s">
        <v>408</v>
      </c>
      <c r="D33" s="51" t="s">
        <v>232</v>
      </c>
      <c r="E33" s="61" t="str">
        <f>IFERROR(VLOOKUP(D33,'Master List'!D:H,2,FALSE),"NA")</f>
        <v>520701</v>
      </c>
      <c r="F33" s="62" t="str">
        <f>IFERROR(VLOOKUP(D33,'Master List'!D:H,3,FALSE),"NA")</f>
        <v>520701</v>
      </c>
      <c r="G33" s="58" t="str">
        <f>IFERROR(VLOOKUP(D33,'Master List'!D:H,4,FALSE),"NA")</f>
        <v>520701</v>
      </c>
      <c r="H33" s="39" t="str">
        <f>IFERROR(VLOOKUP(D33,'Master List'!D:H,5,FALSE),"NA")</f>
        <v>Entrepreneurship/Entrepreneurial Studies.</v>
      </c>
      <c r="I33" s="19"/>
      <c r="J33" s="20"/>
      <c r="K33" s="20"/>
      <c r="L33" s="21"/>
    </row>
    <row r="34" spans="1:12" x14ac:dyDescent="0.3">
      <c r="A34" s="33">
        <v>5</v>
      </c>
      <c r="B34" s="33" t="s">
        <v>2154</v>
      </c>
      <c r="C34" s="34" t="s">
        <v>408</v>
      </c>
      <c r="D34" s="51" t="s">
        <v>426</v>
      </c>
      <c r="E34" s="61" t="str">
        <f>IFERROR(VLOOKUP(D34,'Master List'!D:H,2,FALSE),"NA")</f>
        <v>100105</v>
      </c>
      <c r="F34" s="62" t="str">
        <f>IFERROR(VLOOKUP(D34,'Master List'!D:H,3,FALSE),"NA")</f>
        <v>100105</v>
      </c>
      <c r="G34" s="58">
        <f>IFERROR(VLOOKUP(D34,'Master List'!D:H,4,FALSE),"NA")</f>
        <v>100202</v>
      </c>
      <c r="H34" s="39" t="str">
        <f>IFERROR(VLOOKUP(D34,'Master List'!D:H,5,FALSE),"NA")</f>
        <v xml:space="preserve"> Radio and Television Broadcasting Technology/Technician</v>
      </c>
      <c r="I34" s="19"/>
      <c r="J34" s="20"/>
      <c r="K34" s="20"/>
      <c r="L34" s="21"/>
    </row>
    <row r="35" spans="1:12" x14ac:dyDescent="0.3">
      <c r="A35" s="33">
        <v>5</v>
      </c>
      <c r="B35" s="33" t="s">
        <v>2154</v>
      </c>
      <c r="C35" s="34" t="s">
        <v>408</v>
      </c>
      <c r="D35" s="51" t="s">
        <v>427</v>
      </c>
      <c r="E35" s="61" t="str">
        <f>IFERROR(VLOOKUP(D35,'Master List'!D:H,2,FALSE),"NA")</f>
        <v>100202</v>
      </c>
      <c r="F35" s="62" t="str">
        <f>IFERROR(VLOOKUP(D35,'Master List'!D:H,3,FALSE),"NA")</f>
        <v>100202</v>
      </c>
      <c r="G35" s="58" t="str">
        <f>IFERROR(VLOOKUP(D35,'Master List'!D:H,4,FALSE),"NA")</f>
        <v>100202</v>
      </c>
      <c r="H35" s="39" t="str">
        <f>IFERROR(VLOOKUP(D35,'Master List'!D:H,5,FALSE),"NA")</f>
        <v>Radio and Television Broadcasting Technology/Technician.</v>
      </c>
      <c r="I35" s="19"/>
      <c r="J35" s="20"/>
      <c r="K35" s="20"/>
      <c r="L35" s="21"/>
    </row>
    <row r="36" spans="1:12" x14ac:dyDescent="0.3">
      <c r="A36" s="33">
        <v>5</v>
      </c>
      <c r="B36" s="33" t="s">
        <v>2154</v>
      </c>
      <c r="C36" s="34" t="s">
        <v>408</v>
      </c>
      <c r="D36" s="51" t="s">
        <v>240</v>
      </c>
      <c r="E36" s="61" t="str">
        <f>IFERROR(VLOOKUP(D36,'Master List'!D:H,2,FALSE),"NA")</f>
        <v>120401</v>
      </c>
      <c r="F36" s="62" t="str">
        <f>IFERROR(VLOOKUP(D36,'Master List'!D:H,3,FALSE),"NA")</f>
        <v>120401</v>
      </c>
      <c r="G36" s="58" t="str">
        <f>IFERROR(VLOOKUP(D36,'Master List'!D:H,4,FALSE),"NA")</f>
        <v>120401</v>
      </c>
      <c r="H36" s="39" t="str">
        <f>IFERROR(VLOOKUP(D36,'Master List'!D:H,5,FALSE),"NA")</f>
        <v>Cosmetology/Cosmetologist, General.</v>
      </c>
      <c r="I36" s="19"/>
      <c r="J36" s="20"/>
      <c r="K36" s="20"/>
      <c r="L36" s="21"/>
    </row>
    <row r="37" spans="1:12" x14ac:dyDescent="0.3">
      <c r="A37" s="33">
        <v>5</v>
      </c>
      <c r="B37" s="33" t="s">
        <v>2154</v>
      </c>
      <c r="C37" s="34" t="s">
        <v>408</v>
      </c>
      <c r="D37" s="51" t="s">
        <v>430</v>
      </c>
      <c r="E37" s="61" t="str">
        <f>IFERROR(VLOOKUP(D37,'Master List'!D:H,2,FALSE),"NA")</f>
        <v>120402</v>
      </c>
      <c r="F37" s="62" t="str">
        <f>IFERROR(VLOOKUP(D37,'Master List'!D:H,3,FALSE),"NA")</f>
        <v>120402</v>
      </c>
      <c r="G37" s="58" t="str">
        <f>IFERROR(VLOOKUP(D37,'Master List'!D:H,4,FALSE),"NA")</f>
        <v>120402</v>
      </c>
      <c r="H37" s="39" t="str">
        <f>IFERROR(VLOOKUP(D37,'Master List'!D:H,5,FALSE),"NA")</f>
        <v>Barbering/Barber.</v>
      </c>
      <c r="I37" s="19"/>
      <c r="J37" s="20"/>
      <c r="K37" s="20"/>
      <c r="L37" s="21"/>
    </row>
    <row r="38" spans="1:12" x14ac:dyDescent="0.3">
      <c r="A38" s="33">
        <v>5</v>
      </c>
      <c r="B38" s="33" t="s">
        <v>2154</v>
      </c>
      <c r="C38" s="34" t="s">
        <v>408</v>
      </c>
      <c r="D38" s="51" t="s">
        <v>433</v>
      </c>
      <c r="E38" s="61" t="str">
        <f>IFERROR(VLOOKUP(D38,'Master List'!D:H,2,FALSE),"NA")</f>
        <v>120501</v>
      </c>
      <c r="F38" s="62" t="str">
        <f>IFERROR(VLOOKUP(D38,'Master List'!D:H,3,FALSE),"NA")</f>
        <v>120501</v>
      </c>
      <c r="G38" s="58" t="str">
        <f>IFERROR(VLOOKUP(D38,'Master List'!D:H,4,FALSE),"NA")</f>
        <v>120501</v>
      </c>
      <c r="H38" s="39" t="str">
        <f>IFERROR(VLOOKUP(D38,'Master List'!D:H,5,FALSE),"NA")</f>
        <v>Baking and Pastry Arts/Baker/Pastry Chef.</v>
      </c>
      <c r="I38" s="19"/>
      <c r="J38" s="20"/>
      <c r="K38" s="20"/>
      <c r="L38" s="21"/>
    </row>
    <row r="39" spans="1:12" x14ac:dyDescent="0.3">
      <c r="A39" s="33">
        <v>5</v>
      </c>
      <c r="B39" s="33" t="s">
        <v>2154</v>
      </c>
      <c r="C39" s="34" t="s">
        <v>408</v>
      </c>
      <c r="D39" s="51" t="s">
        <v>46</v>
      </c>
      <c r="E39" s="61" t="str">
        <f>IFERROR(VLOOKUP(D39,'Master List'!D:H,2,FALSE),"NA")</f>
        <v>120503</v>
      </c>
      <c r="F39" s="62" t="str">
        <f>IFERROR(VLOOKUP(D39,'Master List'!D:H,3,FALSE),"NA")</f>
        <v>120503</v>
      </c>
      <c r="G39" s="58" t="str">
        <f>IFERROR(VLOOKUP(D39,'Master List'!D:H,4,FALSE),"NA")</f>
        <v>120503</v>
      </c>
      <c r="H39" s="39" t="str">
        <f>IFERROR(VLOOKUP(D39,'Master List'!D:H,5,FALSE),"NA")</f>
        <v>Culinary Arts/Chef Training.</v>
      </c>
      <c r="I39" s="19"/>
      <c r="J39" s="20"/>
      <c r="K39" s="20"/>
      <c r="L39" s="21"/>
    </row>
    <row r="40" spans="1:12" x14ac:dyDescent="0.3">
      <c r="A40" s="33">
        <v>5</v>
      </c>
      <c r="B40" s="33" t="s">
        <v>2154</v>
      </c>
      <c r="C40" s="34" t="s">
        <v>408</v>
      </c>
      <c r="D40" s="51" t="s">
        <v>246</v>
      </c>
      <c r="E40" s="61" t="str">
        <f>IFERROR(VLOOKUP(D40,'Master List'!D:H,2,FALSE),"NA")</f>
        <v>150000</v>
      </c>
      <c r="F40" s="62" t="str">
        <f>IFERROR(VLOOKUP(D40,'Master List'!D:H,3,FALSE),"NA")</f>
        <v>150000</v>
      </c>
      <c r="G40" s="58" t="str">
        <f>IFERROR(VLOOKUP(D40,'Master List'!D:H,4,FALSE),"NA")</f>
        <v>150000</v>
      </c>
      <c r="H40" s="39" t="str">
        <f>IFERROR(VLOOKUP(D40,'Master List'!D:H,5,FALSE),"NA")</f>
        <v>Engineering Technologies/Technicians, General.</v>
      </c>
      <c r="I40" s="19"/>
      <c r="J40" s="20"/>
      <c r="K40" s="20"/>
      <c r="L40" s="21"/>
    </row>
    <row r="41" spans="1:12" x14ac:dyDescent="0.3">
      <c r="A41" s="33">
        <v>5</v>
      </c>
      <c r="B41" s="33" t="s">
        <v>2154</v>
      </c>
      <c r="C41" s="34" t="s">
        <v>408</v>
      </c>
      <c r="D41" s="51" t="s">
        <v>248</v>
      </c>
      <c r="E41" s="61" t="str">
        <f>IFERROR(VLOOKUP(D41,'Master List'!D:H,2,FALSE),"NA")</f>
        <v>150501</v>
      </c>
      <c r="F41" s="62" t="str">
        <f>IFERROR(VLOOKUP(D41,'Master List'!D:H,3,FALSE),"NA")</f>
        <v>150501</v>
      </c>
      <c r="G41" s="58" t="str">
        <f>IFERROR(VLOOKUP(D41,'Master List'!D:H,4,FALSE),"NA")</f>
        <v>150501</v>
      </c>
      <c r="H41" s="39" t="str">
        <f>IFERROR(VLOOKUP(D41,'Master List'!D:H,5,FALSE),"NA")</f>
        <v>Heating, Ventilation, Air Conditioning and Refrigeration Engineering Technology/Technician.</v>
      </c>
      <c r="I41" s="19"/>
      <c r="J41" s="20"/>
      <c r="K41" s="20"/>
      <c r="L41" s="21"/>
    </row>
    <row r="42" spans="1:12" x14ac:dyDescent="0.3">
      <c r="A42" s="33">
        <v>5</v>
      </c>
      <c r="B42" s="33" t="s">
        <v>2154</v>
      </c>
      <c r="C42" s="34" t="s">
        <v>408</v>
      </c>
      <c r="D42" s="51" t="s">
        <v>251</v>
      </c>
      <c r="E42" s="61" t="str">
        <f>IFERROR(VLOOKUP(D42,'Master List'!D:H,2,FALSE),"NA")</f>
        <v>150501</v>
      </c>
      <c r="F42" s="62" t="str">
        <f>IFERROR(VLOOKUP(D42,'Master List'!D:H,3,FALSE),"NA")</f>
        <v>150501</v>
      </c>
      <c r="G42" s="58" t="str">
        <f>IFERROR(VLOOKUP(D42,'Master List'!D:H,4,FALSE),"NA")</f>
        <v>150501</v>
      </c>
      <c r="H42" s="39" t="str">
        <f>IFERROR(VLOOKUP(D42,'Master List'!D:H,5,FALSE),"NA")</f>
        <v>Heating, Ventilation, Air Conditioning and Refrigeration Engineering Technology/Technician.</v>
      </c>
      <c r="I42" s="19"/>
      <c r="J42" s="20"/>
      <c r="K42" s="20"/>
      <c r="L42" s="21"/>
    </row>
    <row r="43" spans="1:12" x14ac:dyDescent="0.3">
      <c r="A43" s="33">
        <v>5</v>
      </c>
      <c r="B43" s="33" t="s">
        <v>2154</v>
      </c>
      <c r="C43" s="34" t="s">
        <v>408</v>
      </c>
      <c r="D43" s="51" t="s">
        <v>259</v>
      </c>
      <c r="E43" s="61" t="str">
        <f>IFERROR(VLOOKUP(D43,'Master List'!D:H,2,FALSE),"NA")</f>
        <v>151301</v>
      </c>
      <c r="F43" s="62" t="str">
        <f>IFERROR(VLOOKUP(D43,'Master List'!D:H,3,FALSE),"NA")</f>
        <v>151301</v>
      </c>
      <c r="G43" s="58">
        <f>IFERROR(VLOOKUP(D43,'Master List'!D:H,4,FALSE),"NA")</f>
        <v>151302</v>
      </c>
      <c r="H43" s="39" t="str">
        <f>IFERROR(VLOOKUP(D43,'Master List'!D:H,5,FALSE),"NA")</f>
        <v>CAD/CADD Drafting and/or Design Technology/Technician</v>
      </c>
      <c r="I43" s="19"/>
      <c r="J43" s="20"/>
      <c r="K43" s="20"/>
      <c r="L43" s="21"/>
    </row>
    <row r="44" spans="1:12" x14ac:dyDescent="0.3">
      <c r="A44" s="33">
        <v>5</v>
      </c>
      <c r="B44" s="33" t="s">
        <v>2154</v>
      </c>
      <c r="C44" s="34" t="s">
        <v>408</v>
      </c>
      <c r="D44" s="51" t="s">
        <v>262</v>
      </c>
      <c r="E44" s="61" t="str">
        <f>IFERROR(VLOOKUP(D44,'Master List'!D:H,2,FALSE),"NA")</f>
        <v>151302</v>
      </c>
      <c r="F44" s="62" t="str">
        <f>IFERROR(VLOOKUP(D44,'Master List'!D:H,3,FALSE),"NA")</f>
        <v>151302</v>
      </c>
      <c r="G44" s="58" t="str">
        <f>IFERROR(VLOOKUP(D44,'Master List'!D:H,4,FALSE),"NA")</f>
        <v>151302</v>
      </c>
      <c r="H44" s="39" t="str">
        <f>IFERROR(VLOOKUP(D44,'Master List'!D:H,5,FALSE),"NA")</f>
        <v>CAD/CADD Drafting and/or Design Technology/Technician.</v>
      </c>
      <c r="I44" s="19"/>
      <c r="J44" s="20"/>
      <c r="K44" s="20"/>
      <c r="L44" s="21"/>
    </row>
    <row r="45" spans="1:12" x14ac:dyDescent="0.3">
      <c r="A45" s="33">
        <v>5</v>
      </c>
      <c r="B45" s="33" t="s">
        <v>2154</v>
      </c>
      <c r="C45" s="34" t="s">
        <v>408</v>
      </c>
      <c r="D45" s="51" t="s">
        <v>437</v>
      </c>
      <c r="E45" s="61" t="str">
        <f>IFERROR(VLOOKUP(D45,'Master List'!D:H,2,FALSE),"NA")</f>
        <v>151303</v>
      </c>
      <c r="F45" s="62" t="str">
        <f>IFERROR(VLOOKUP(D45,'Master List'!D:H,3,FALSE),"NA")</f>
        <v>151303</v>
      </c>
      <c r="G45" s="58" t="str">
        <f>IFERROR(VLOOKUP(D45,'Master List'!D:H,4,FALSE),"NA")</f>
        <v>151303</v>
      </c>
      <c r="H45" s="39" t="str">
        <f>IFERROR(VLOOKUP(D45,'Master List'!D:H,5,FALSE),"NA")</f>
        <v>Architectural Drafting and Architectural CAD/CADD.</v>
      </c>
      <c r="I45" s="19"/>
      <c r="J45" s="20"/>
      <c r="K45" s="20"/>
      <c r="L45" s="21"/>
    </row>
    <row r="46" spans="1:12" x14ac:dyDescent="0.3">
      <c r="A46" s="33">
        <v>5</v>
      </c>
      <c r="B46" s="33" t="s">
        <v>2154</v>
      </c>
      <c r="C46" s="34" t="s">
        <v>408</v>
      </c>
      <c r="D46" s="51" t="s">
        <v>440</v>
      </c>
      <c r="E46" s="61" t="str">
        <f>IFERROR(VLOOKUP(D46,'Master List'!D:H,2,FALSE),"NA")</f>
        <v>460415</v>
      </c>
      <c r="F46" s="62" t="str">
        <f>IFERROR(VLOOKUP(D46,'Master List'!D:H,3,FALSE),"NA")</f>
        <v>460415</v>
      </c>
      <c r="G46" s="58" t="str">
        <f>IFERROR(VLOOKUP(D46,'Master List'!D:H,4,FALSE),"NA")</f>
        <v>460415</v>
      </c>
      <c r="H46" s="39" t="str">
        <f>IFERROR(VLOOKUP(D46,'Master List'!D:H,5,FALSE),"NA")</f>
        <v>Building Construction Technology/Technician.</v>
      </c>
      <c r="I46" s="19"/>
      <c r="J46" s="20"/>
      <c r="K46" s="20"/>
      <c r="L46" s="21"/>
    </row>
    <row r="47" spans="1:12" x14ac:dyDescent="0.3">
      <c r="A47" s="33">
        <v>5</v>
      </c>
      <c r="B47" s="33" t="s">
        <v>2154</v>
      </c>
      <c r="C47" s="34" t="s">
        <v>408</v>
      </c>
      <c r="D47" s="51" t="s">
        <v>443</v>
      </c>
      <c r="E47" s="61" t="str">
        <f>IFERROR(VLOOKUP(D47,'Master List'!D:H,2,FALSE),"NA")</f>
        <v>470104</v>
      </c>
      <c r="F47" s="62" t="str">
        <f>IFERROR(VLOOKUP(D47,'Master List'!D:H,3,FALSE),"NA")</f>
        <v>470104</v>
      </c>
      <c r="G47" s="58" t="str">
        <f>IFERROR(VLOOKUP(D47,'Master List'!D:H,4,FALSE),"NA")</f>
        <v>470104</v>
      </c>
      <c r="H47" s="39" t="str">
        <f>IFERROR(VLOOKUP(D47,'Master List'!D:H,5,FALSE),"NA")</f>
        <v>Computer Installation and Repair Technology/Technician.</v>
      </c>
      <c r="I47" s="19"/>
      <c r="J47" s="20"/>
      <c r="K47" s="20"/>
      <c r="L47" s="21"/>
    </row>
    <row r="48" spans="1:12" x14ac:dyDescent="0.3">
      <c r="A48" s="33">
        <v>5</v>
      </c>
      <c r="B48" s="33" t="s">
        <v>2154</v>
      </c>
      <c r="C48" s="34" t="s">
        <v>408</v>
      </c>
      <c r="D48" s="51" t="s">
        <v>275</v>
      </c>
      <c r="E48" s="61" t="str">
        <f>IFERROR(VLOOKUP(D48,'Master List'!D:H,2,FALSE),"NA")</f>
        <v>470201</v>
      </c>
      <c r="F48" s="62" t="str">
        <f>IFERROR(VLOOKUP(D48,'Master List'!D:H,3,FALSE),"NA")</f>
        <v>470201</v>
      </c>
      <c r="G48" s="58" t="str">
        <f>IFERROR(VLOOKUP(D48,'Master List'!D:H,4,FALSE),"NA")</f>
        <v>470201</v>
      </c>
      <c r="H48" s="39" t="str">
        <f>IFERROR(VLOOKUP(D48,'Master List'!D:H,5,FALSE),"NA")</f>
        <v>Heating, Air Conditioning, Ventilation and Refrigeration Maintenance Technology/Technician.</v>
      </c>
      <c r="I48" s="19"/>
      <c r="J48" s="20"/>
      <c r="K48" s="20"/>
      <c r="L48" s="21"/>
    </row>
    <row r="49" spans="1:12" x14ac:dyDescent="0.3">
      <c r="A49" s="33">
        <v>5</v>
      </c>
      <c r="B49" s="33" t="s">
        <v>2154</v>
      </c>
      <c r="C49" s="34" t="s">
        <v>408</v>
      </c>
      <c r="D49" s="51" t="s">
        <v>446</v>
      </c>
      <c r="E49" s="61" t="str">
        <f>IFERROR(VLOOKUP(D49,'Master List'!D:H,2,FALSE),"NA")</f>
        <v>470603</v>
      </c>
      <c r="F49" s="62" t="str">
        <f>IFERROR(VLOOKUP(D49,'Master List'!D:H,3,FALSE),"NA")</f>
        <v>470603</v>
      </c>
      <c r="G49" s="58" t="str">
        <f>IFERROR(VLOOKUP(D49,'Master List'!D:H,4,FALSE),"NA")</f>
        <v>470603</v>
      </c>
      <c r="H49" s="39" t="str">
        <f>IFERROR(VLOOKUP(D49,'Master List'!D:H,5,FALSE),"NA")</f>
        <v>Autobody/Collision and Repair Technology/Technician.</v>
      </c>
      <c r="I49" s="19"/>
      <c r="J49" s="20"/>
      <c r="K49" s="20"/>
      <c r="L49" s="21"/>
    </row>
    <row r="50" spans="1:12" x14ac:dyDescent="0.3">
      <c r="A50" s="33">
        <v>5</v>
      </c>
      <c r="B50" s="33" t="s">
        <v>2154</v>
      </c>
      <c r="C50" s="34" t="s">
        <v>408</v>
      </c>
      <c r="D50" s="51" t="s">
        <v>449</v>
      </c>
      <c r="E50" s="61" t="str">
        <f>IFERROR(VLOOKUP(D50,'Master List'!D:H,2,FALSE),"NA")</f>
        <v>470604</v>
      </c>
      <c r="F50" s="62" t="str">
        <f>IFERROR(VLOOKUP(D50,'Master List'!D:H,3,FALSE),"NA")</f>
        <v>470604</v>
      </c>
      <c r="G50" s="58" t="str">
        <f>IFERROR(VLOOKUP(D50,'Master List'!D:H,4,FALSE),"NA")</f>
        <v>470604</v>
      </c>
      <c r="H50" s="39" t="str">
        <f>IFERROR(VLOOKUP(D50,'Master List'!D:H,5,FALSE),"NA")</f>
        <v>Automobile/Automotive Mechanics Technology/Technician.</v>
      </c>
      <c r="I50" s="19"/>
      <c r="J50" s="20"/>
      <c r="K50" s="20"/>
      <c r="L50" s="21"/>
    </row>
    <row r="51" spans="1:12" x14ac:dyDescent="0.3">
      <c r="A51" s="33">
        <v>5</v>
      </c>
      <c r="B51" s="33" t="s">
        <v>2154</v>
      </c>
      <c r="C51" s="34" t="s">
        <v>408</v>
      </c>
      <c r="D51" s="51" t="s">
        <v>452</v>
      </c>
      <c r="E51" s="61" t="str">
        <f>IFERROR(VLOOKUP(D51,'Master List'!D:H,2,FALSE),"NA")</f>
        <v>NA</v>
      </c>
      <c r="F51" s="62" t="str">
        <f>IFERROR(VLOOKUP(D51,'Master List'!D:H,3,FALSE),"NA")</f>
        <v>NA</v>
      </c>
      <c r="G51" s="58" t="str">
        <f>IFERROR(VLOOKUP(D51,'Master List'!D:H,4,FALSE),"NA")</f>
        <v>NA</v>
      </c>
      <c r="H51" s="39" t="str">
        <f>IFERROR(VLOOKUP(D51,'Master List'!D:H,5,FALSE),"NA")</f>
        <v>NA</v>
      </c>
      <c r="I51" s="19"/>
      <c r="J51" s="20"/>
      <c r="K51" s="20"/>
      <c r="L51" s="21"/>
    </row>
    <row r="52" spans="1:12" x14ac:dyDescent="0.3">
      <c r="A52" s="33">
        <v>5</v>
      </c>
      <c r="B52" s="33" t="s">
        <v>2154</v>
      </c>
      <c r="C52" s="34" t="s">
        <v>408</v>
      </c>
      <c r="D52" s="51" t="s">
        <v>453</v>
      </c>
      <c r="E52" s="61" t="str">
        <f>IFERROR(VLOOKUP(D52,'Master List'!D:H,2,FALSE),"NA")</f>
        <v>480503</v>
      </c>
      <c r="F52" s="62" t="str">
        <f>IFERROR(VLOOKUP(D52,'Master List'!D:H,3,FALSE),"NA")</f>
        <v>480503</v>
      </c>
      <c r="G52" s="58" t="str">
        <f>IFERROR(VLOOKUP(D52,'Master List'!D:H,4,FALSE),"NA")</f>
        <v>480503</v>
      </c>
      <c r="H52" s="39" t="str">
        <f>IFERROR(VLOOKUP(D52,'Master List'!D:H,5,FALSE),"NA")</f>
        <v>Machine Shop Technology/Assistant.</v>
      </c>
      <c r="I52" s="19"/>
      <c r="J52" s="20"/>
      <c r="K52" s="20"/>
      <c r="L52" s="21"/>
    </row>
    <row r="53" spans="1:12" x14ac:dyDescent="0.3">
      <c r="A53" s="33">
        <v>5</v>
      </c>
      <c r="B53" s="33" t="s">
        <v>2154</v>
      </c>
      <c r="C53" s="34" t="s">
        <v>408</v>
      </c>
      <c r="D53" s="51" t="s">
        <v>291</v>
      </c>
      <c r="E53" s="61" t="str">
        <f>IFERROR(VLOOKUP(D53,'Master List'!D:H,2,FALSE),"NA")</f>
        <v>480508</v>
      </c>
      <c r="F53" s="62" t="str">
        <f>IFERROR(VLOOKUP(D53,'Master List'!D:H,3,FALSE),"NA")</f>
        <v>480508</v>
      </c>
      <c r="G53" s="58" t="str">
        <f>IFERROR(VLOOKUP(D53,'Master List'!D:H,4,FALSE),"NA")</f>
        <v>480508</v>
      </c>
      <c r="H53" s="39" t="str">
        <f>IFERROR(VLOOKUP(D53,'Master List'!D:H,5,FALSE),"NA")</f>
        <v>Welding Technology/Welder.</v>
      </c>
      <c r="I53" s="19"/>
      <c r="J53" s="20"/>
      <c r="K53" s="20"/>
      <c r="L53" s="21"/>
    </row>
    <row r="54" spans="1:12" x14ac:dyDescent="0.3">
      <c r="A54" s="33">
        <v>5</v>
      </c>
      <c r="B54" s="33" t="s">
        <v>2154</v>
      </c>
      <c r="C54" s="34" t="s">
        <v>408</v>
      </c>
      <c r="D54" s="51" t="s">
        <v>456</v>
      </c>
      <c r="E54" s="61" t="str">
        <f>IFERROR(VLOOKUP(D54,'Master List'!D:H,2,FALSE),"NA")</f>
        <v>480508</v>
      </c>
      <c r="F54" s="62" t="str">
        <f>IFERROR(VLOOKUP(D54,'Master List'!D:H,3,FALSE),"NA")</f>
        <v>480508</v>
      </c>
      <c r="G54" s="58" t="str">
        <f>IFERROR(VLOOKUP(D54,'Master List'!D:H,4,FALSE),"NA")</f>
        <v>480508</v>
      </c>
      <c r="H54" s="39" t="str">
        <f>IFERROR(VLOOKUP(D54,'Master List'!D:H,5,FALSE),"NA")</f>
        <v>Welding Technology/Welder.</v>
      </c>
      <c r="I54" s="19"/>
      <c r="J54" s="20"/>
      <c r="K54" s="20"/>
      <c r="L54" s="21"/>
    </row>
    <row r="55" spans="1:12" x14ac:dyDescent="0.3">
      <c r="A55" s="33">
        <v>5</v>
      </c>
      <c r="B55" s="33" t="s">
        <v>2154</v>
      </c>
      <c r="C55" s="34" t="s">
        <v>408</v>
      </c>
      <c r="D55" s="51" t="s">
        <v>62</v>
      </c>
      <c r="E55" s="61" t="str">
        <f>IFERROR(VLOOKUP(D55,'Master List'!D:H,2,FALSE),"NA")</f>
        <v>500602</v>
      </c>
      <c r="F55" s="62" t="str">
        <f>IFERROR(VLOOKUP(D55,'Master List'!D:H,3,FALSE),"NA")</f>
        <v>500602</v>
      </c>
      <c r="G55" s="58">
        <f>IFERROR(VLOOKUP(D55,'Master List'!D:H,4,FALSE),"NA")</f>
        <v>100203</v>
      </c>
      <c r="H55" s="39" t="str">
        <f>IFERROR(VLOOKUP(D55,'Master List'!D:H,5,FALSE),"NA")</f>
        <v>Recording Arts Technology/Technician</v>
      </c>
      <c r="I55" s="19"/>
      <c r="J55" s="20"/>
      <c r="K55" s="20"/>
      <c r="L55" s="21"/>
    </row>
    <row r="56" spans="1:12" x14ac:dyDescent="0.3">
      <c r="A56" s="33">
        <v>5</v>
      </c>
      <c r="B56" s="33" t="s">
        <v>2154</v>
      </c>
      <c r="C56" s="34" t="s">
        <v>408</v>
      </c>
      <c r="D56" s="51" t="s">
        <v>68</v>
      </c>
      <c r="E56" s="61" t="str">
        <f>IFERROR(VLOOKUP(D56,'Master List'!D:H,2,FALSE),"NA")</f>
        <v>430102</v>
      </c>
      <c r="F56" s="62" t="str">
        <f>IFERROR(VLOOKUP(D56,'Master List'!D:H,3,FALSE),"NA")</f>
        <v>430102</v>
      </c>
      <c r="G56" s="58" t="str">
        <f>IFERROR(VLOOKUP(D56,'Master List'!D:H,4,FALSE),"NA")</f>
        <v>430102</v>
      </c>
      <c r="H56" s="39" t="str">
        <f>IFERROR(VLOOKUP(D56,'Master List'!D:H,5,FALSE),"NA")</f>
        <v>Corrections.</v>
      </c>
      <c r="I56" s="19"/>
      <c r="J56" s="20"/>
      <c r="K56" s="20"/>
      <c r="L56" s="21"/>
    </row>
    <row r="57" spans="1:12" x14ac:dyDescent="0.3">
      <c r="A57" s="33">
        <v>5</v>
      </c>
      <c r="B57" s="33" t="s">
        <v>2154</v>
      </c>
      <c r="C57" s="34" t="s">
        <v>408</v>
      </c>
      <c r="D57" s="51" t="s">
        <v>71</v>
      </c>
      <c r="E57" s="61" t="str">
        <f>IFERROR(VLOOKUP(D57,'Master List'!D:H,2,FALSE),"NA")</f>
        <v>430107</v>
      </c>
      <c r="F57" s="62" t="str">
        <f>IFERROR(VLOOKUP(D57,'Master List'!D:H,3,FALSE),"NA")</f>
        <v>430107</v>
      </c>
      <c r="G57" s="58" t="str">
        <f>IFERROR(VLOOKUP(D57,'Master List'!D:H,4,FALSE),"NA")</f>
        <v>430107</v>
      </c>
      <c r="H57" s="39" t="str">
        <f>IFERROR(VLOOKUP(D57,'Master List'!D:H,5,FALSE),"NA")</f>
        <v>Criminal Justice/Police Science.</v>
      </c>
      <c r="I57" s="19"/>
      <c r="J57" s="20"/>
      <c r="K57" s="20"/>
      <c r="L57" s="21"/>
    </row>
    <row r="58" spans="1:12" x14ac:dyDescent="0.3">
      <c r="A58" s="33">
        <v>5</v>
      </c>
      <c r="B58" s="33" t="s">
        <v>2154</v>
      </c>
      <c r="C58" s="34" t="s">
        <v>408</v>
      </c>
      <c r="D58" s="51" t="s">
        <v>318</v>
      </c>
      <c r="E58" s="61" t="str">
        <f>IFERROR(VLOOKUP(D58,'Master List'!D:H,2,FALSE),"NA")</f>
        <v>430203</v>
      </c>
      <c r="F58" s="62" t="str">
        <f>IFERROR(VLOOKUP(D58,'Master List'!D:H,3,FALSE),"NA")</f>
        <v>430203</v>
      </c>
      <c r="G58" s="58" t="str">
        <f>IFERROR(VLOOKUP(D58,'Master List'!D:H,4,FALSE),"NA")</f>
        <v>430203</v>
      </c>
      <c r="H58" s="39" t="str">
        <f>IFERROR(VLOOKUP(D58,'Master List'!D:H,5,FALSE),"NA")</f>
        <v>Fire Science/Fire-fighting.</v>
      </c>
      <c r="I58" s="19"/>
      <c r="J58" s="20"/>
      <c r="K58" s="20"/>
      <c r="L58" s="21"/>
    </row>
    <row r="59" spans="1:12" x14ac:dyDescent="0.3">
      <c r="A59" s="33">
        <v>5</v>
      </c>
      <c r="B59" s="33" t="s">
        <v>2154</v>
      </c>
      <c r="C59" s="34" t="s">
        <v>408</v>
      </c>
      <c r="D59" s="51" t="s">
        <v>79</v>
      </c>
      <c r="E59" s="61" t="str">
        <f>IFERROR(VLOOKUP(D59,'Master List'!D:H,2,FALSE),"NA")</f>
        <v>520901</v>
      </c>
      <c r="F59" s="62" t="str">
        <f>IFERROR(VLOOKUP(D59,'Master List'!D:H,3,FALSE),"NA")</f>
        <v>520901</v>
      </c>
      <c r="G59" s="58" t="str">
        <f>IFERROR(VLOOKUP(D59,'Master List'!D:H,4,FALSE),"NA")</f>
        <v>520901</v>
      </c>
      <c r="H59" s="39" t="str">
        <f>IFERROR(VLOOKUP(D59,'Master List'!D:H,5,FALSE),"NA")</f>
        <v>Hospitality Administration/Management, General.</v>
      </c>
      <c r="I59" s="19"/>
      <c r="J59" s="20"/>
      <c r="K59" s="20"/>
      <c r="L59" s="21"/>
    </row>
    <row r="60" spans="1:12" x14ac:dyDescent="0.3">
      <c r="A60" s="33">
        <v>5</v>
      </c>
      <c r="B60" s="33" t="s">
        <v>2154</v>
      </c>
      <c r="C60" s="34" t="s">
        <v>408</v>
      </c>
      <c r="D60" s="51" t="s">
        <v>82</v>
      </c>
      <c r="E60" s="61" t="str">
        <f>IFERROR(VLOOKUP(D60,'Master List'!D:H,2,FALSE),"NA")</f>
        <v>510000</v>
      </c>
      <c r="F60" s="62" t="str">
        <f>IFERROR(VLOOKUP(D60,'Master List'!D:H,3,FALSE),"NA")</f>
        <v>510000</v>
      </c>
      <c r="G60" s="58">
        <f>IFERROR(VLOOKUP(D60,'Master List'!D:H,4,FALSE),"NA")</f>
        <v>510909</v>
      </c>
      <c r="H60" s="39" t="str">
        <f>IFERROR(VLOOKUP(D60,'Master List'!D:H,5,FALSE),"NA")</f>
        <v>Surgical Technology/Technologist</v>
      </c>
      <c r="I60" s="19"/>
      <c r="J60" s="20"/>
      <c r="K60" s="20"/>
      <c r="L60" s="21"/>
    </row>
    <row r="61" spans="1:12" x14ac:dyDescent="0.3">
      <c r="A61" s="33">
        <v>5</v>
      </c>
      <c r="B61" s="33" t="s">
        <v>2154</v>
      </c>
      <c r="C61" s="34" t="s">
        <v>408</v>
      </c>
      <c r="D61" s="51" t="s">
        <v>84</v>
      </c>
      <c r="E61" s="61" t="str">
        <f>IFERROR(VLOOKUP(D61,'Master List'!D:H,2,FALSE),"NA")</f>
        <v>510602</v>
      </c>
      <c r="F61" s="62" t="str">
        <f>IFERROR(VLOOKUP(D61,'Master List'!D:H,3,FALSE),"NA")</f>
        <v>510602</v>
      </c>
      <c r="G61" s="58" t="str">
        <f>IFERROR(VLOOKUP(D61,'Master List'!D:H,4,FALSE),"NA")</f>
        <v>510602</v>
      </c>
      <c r="H61" s="39" t="str">
        <f>IFERROR(VLOOKUP(D61,'Master List'!D:H,5,FALSE),"NA")</f>
        <v>Dental Hygiene/Hygienist.</v>
      </c>
      <c r="I61" s="19"/>
      <c r="J61" s="20"/>
      <c r="K61" s="20"/>
      <c r="L61" s="21"/>
    </row>
    <row r="62" spans="1:12" x14ac:dyDescent="0.3">
      <c r="A62" s="33">
        <v>5</v>
      </c>
      <c r="B62" s="33" t="s">
        <v>2154</v>
      </c>
      <c r="C62" s="34" t="s">
        <v>408</v>
      </c>
      <c r="D62" s="51" t="s">
        <v>325</v>
      </c>
      <c r="E62" s="61" t="str">
        <f>IFERROR(VLOOKUP(D62,'Master List'!D:H,2,FALSE),"NA")</f>
        <v>510707</v>
      </c>
      <c r="F62" s="62" t="str">
        <f>IFERROR(VLOOKUP(D62,'Master List'!D:H,3,FALSE),"NA")</f>
        <v>510707</v>
      </c>
      <c r="G62" s="58" t="str">
        <f>IFERROR(VLOOKUP(D62,'Master List'!D:H,4,FALSE),"NA")</f>
        <v>510707</v>
      </c>
      <c r="H62" s="39" t="str">
        <f>IFERROR(VLOOKUP(D62,'Master List'!D:H,5,FALSE),"NA")</f>
        <v>Health Information/Medical Records Technology/Technician.</v>
      </c>
      <c r="I62" s="19"/>
      <c r="J62" s="20"/>
      <c r="K62" s="20"/>
      <c r="L62" s="21"/>
    </row>
    <row r="63" spans="1:12" x14ac:dyDescent="0.3">
      <c r="A63" s="33">
        <v>5</v>
      </c>
      <c r="B63" s="33" t="s">
        <v>2154</v>
      </c>
      <c r="C63" s="34" t="s">
        <v>408</v>
      </c>
      <c r="D63" s="51" t="s">
        <v>458</v>
      </c>
      <c r="E63" s="61" t="str">
        <f>IFERROR(VLOOKUP(D63,'Master List'!D:H,2,FALSE),"NA")</f>
        <v>510803</v>
      </c>
      <c r="F63" s="62" t="str">
        <f>IFERROR(VLOOKUP(D63,'Master List'!D:H,3,FALSE),"NA")</f>
        <v>510803</v>
      </c>
      <c r="G63" s="58" t="str">
        <f>IFERROR(VLOOKUP(D63,'Master List'!D:H,4,FALSE),"NA")</f>
        <v>510803</v>
      </c>
      <c r="H63" s="39" t="str">
        <f>IFERROR(VLOOKUP(D63,'Master List'!D:H,5,FALSE),"NA")</f>
        <v>Occupational Therapist Assistant.</v>
      </c>
      <c r="I63" s="19"/>
      <c r="J63" s="20"/>
      <c r="K63" s="20"/>
      <c r="L63" s="21"/>
    </row>
    <row r="64" spans="1:12" x14ac:dyDescent="0.3">
      <c r="A64" s="33">
        <v>5</v>
      </c>
      <c r="B64" s="33" t="s">
        <v>2154</v>
      </c>
      <c r="C64" s="34" t="s">
        <v>408</v>
      </c>
      <c r="D64" s="51" t="s">
        <v>87</v>
      </c>
      <c r="E64" s="61" t="str">
        <f>IFERROR(VLOOKUP(D64,'Master List'!D:H,2,FALSE),"NA")</f>
        <v>510806</v>
      </c>
      <c r="F64" s="62" t="str">
        <f>IFERROR(VLOOKUP(D64,'Master List'!D:H,3,FALSE),"NA")</f>
        <v>510806</v>
      </c>
      <c r="G64" s="58" t="str">
        <f>IFERROR(VLOOKUP(D64,'Master List'!D:H,4,FALSE),"NA")</f>
        <v>510806</v>
      </c>
      <c r="H64" s="39" t="str">
        <f>IFERROR(VLOOKUP(D64,'Master List'!D:H,5,FALSE),"NA")</f>
        <v>Physical Therapy Assistant.</v>
      </c>
      <c r="I64" s="19"/>
      <c r="J64" s="20"/>
      <c r="K64" s="20"/>
      <c r="L64" s="21"/>
    </row>
    <row r="65" spans="1:12" x14ac:dyDescent="0.3">
      <c r="A65" s="33">
        <v>5</v>
      </c>
      <c r="B65" s="33" t="s">
        <v>2154</v>
      </c>
      <c r="C65" s="34" t="s">
        <v>408</v>
      </c>
      <c r="D65" s="51" t="s">
        <v>90</v>
      </c>
      <c r="E65" s="61" t="str">
        <f>IFERROR(VLOOKUP(D65,'Master List'!D:H,2,FALSE),"NA")</f>
        <v>510904</v>
      </c>
      <c r="F65" s="62" t="str">
        <f>IFERROR(VLOOKUP(D65,'Master List'!D:H,3,FALSE),"NA")</f>
        <v>510904</v>
      </c>
      <c r="G65" s="58" t="str">
        <f>IFERROR(VLOOKUP(D65,'Master List'!D:H,4,FALSE),"NA")</f>
        <v>510904</v>
      </c>
      <c r="H65" s="39" t="str">
        <f>IFERROR(VLOOKUP(D65,'Master List'!D:H,5,FALSE),"NA")</f>
        <v>Emergency Medical Technology/Technician (EMT Paramedic).</v>
      </c>
      <c r="I65" s="19"/>
      <c r="J65" s="20"/>
      <c r="K65" s="20"/>
      <c r="L65" s="21"/>
    </row>
    <row r="66" spans="1:12" x14ac:dyDescent="0.3">
      <c r="A66" s="33">
        <v>5</v>
      </c>
      <c r="B66" s="33" t="s">
        <v>2154</v>
      </c>
      <c r="C66" s="34" t="s">
        <v>408</v>
      </c>
      <c r="D66" s="51" t="s">
        <v>91</v>
      </c>
      <c r="E66" s="61" t="str">
        <f>IFERROR(VLOOKUP(D66,'Master List'!D:H,2,FALSE),"NA")</f>
        <v>510907</v>
      </c>
      <c r="F66" s="62" t="str">
        <f>IFERROR(VLOOKUP(D66,'Master List'!D:H,3,FALSE),"NA")</f>
        <v>510907</v>
      </c>
      <c r="G66" s="58">
        <f>IFERROR(VLOOKUP(D66,'Master List'!D:H,4,FALSE),"NA")</f>
        <v>510911</v>
      </c>
      <c r="H66" s="39" t="str">
        <f>IFERROR(VLOOKUP(D66,'Master List'!D:H,5,FALSE),"NA")</f>
        <v>Radiologic Technology/Science - Radiographer</v>
      </c>
      <c r="I66" s="19"/>
      <c r="J66" s="20"/>
      <c r="K66" s="20"/>
      <c r="L66" s="21"/>
    </row>
    <row r="67" spans="1:12" x14ac:dyDescent="0.3">
      <c r="A67" s="33">
        <v>5</v>
      </c>
      <c r="B67" s="33" t="s">
        <v>2154</v>
      </c>
      <c r="C67" s="34" t="s">
        <v>408</v>
      </c>
      <c r="D67" s="51" t="s">
        <v>94</v>
      </c>
      <c r="E67" s="61" t="str">
        <f>IFERROR(VLOOKUP(D67,'Master List'!D:H,2,FALSE),"NA")</f>
        <v>510908</v>
      </c>
      <c r="F67" s="62" t="str">
        <f>IFERROR(VLOOKUP(D67,'Master List'!D:H,3,FALSE),"NA")</f>
        <v>510908</v>
      </c>
      <c r="G67" s="58" t="str">
        <f>IFERROR(VLOOKUP(D67,'Master List'!D:H,4,FALSE),"NA")</f>
        <v>510908</v>
      </c>
      <c r="H67" s="39" t="str">
        <f>IFERROR(VLOOKUP(D67,'Master List'!D:H,5,FALSE),"NA")</f>
        <v>Respiratory Care Therapy/Therapist.</v>
      </c>
      <c r="I67" s="19"/>
      <c r="J67" s="20"/>
      <c r="K67" s="20"/>
      <c r="L67" s="21"/>
    </row>
    <row r="68" spans="1:12" x14ac:dyDescent="0.3">
      <c r="A68" s="33">
        <v>5</v>
      </c>
      <c r="B68" s="33" t="s">
        <v>2154</v>
      </c>
      <c r="C68" s="34" t="s">
        <v>408</v>
      </c>
      <c r="D68" s="51" t="s">
        <v>461</v>
      </c>
      <c r="E68" s="61" t="str">
        <f>IFERROR(VLOOKUP(D68,'Master List'!D:H,2,FALSE),"NA")</f>
        <v>511801</v>
      </c>
      <c r="F68" s="62" t="str">
        <f>IFERROR(VLOOKUP(D68,'Master List'!D:H,3,FALSE),"NA")</f>
        <v>511801</v>
      </c>
      <c r="G68" s="58" t="str">
        <f>IFERROR(VLOOKUP(D68,'Master List'!D:H,4,FALSE),"NA")</f>
        <v>511801</v>
      </c>
      <c r="H68" s="39" t="str">
        <f>IFERROR(VLOOKUP(D68,'Master List'!D:H,5,FALSE),"NA")</f>
        <v>Opticianry/Ophthalmic Dispensing Optician.</v>
      </c>
      <c r="I68" s="19"/>
      <c r="J68" s="20"/>
      <c r="K68" s="20"/>
      <c r="L68" s="21"/>
    </row>
    <row r="69" spans="1:12" x14ac:dyDescent="0.3">
      <c r="A69" s="33">
        <v>5</v>
      </c>
      <c r="B69" s="33" t="s">
        <v>2154</v>
      </c>
      <c r="C69" s="34" t="s">
        <v>408</v>
      </c>
      <c r="D69" s="51" t="s">
        <v>101</v>
      </c>
      <c r="E69" s="61" t="str">
        <f>IFERROR(VLOOKUP(D69,'Master List'!D:H,2,FALSE),"NA")</f>
        <v>513801</v>
      </c>
      <c r="F69" s="62" t="str">
        <f>IFERROR(VLOOKUP(D69,'Master List'!D:H,3,FALSE),"NA")</f>
        <v>513801</v>
      </c>
      <c r="G69" s="58" t="str">
        <f>IFERROR(VLOOKUP(D69,'Master List'!D:H,4,FALSE),"NA")</f>
        <v>513801</v>
      </c>
      <c r="H69" s="39" t="str">
        <f>IFERROR(VLOOKUP(D69,'Master List'!D:H,5,FALSE),"NA")</f>
        <v>Registered Nursing/Registered Nurse.</v>
      </c>
      <c r="I69" s="19"/>
      <c r="J69" s="20"/>
      <c r="K69" s="20"/>
      <c r="L69" s="21"/>
    </row>
    <row r="70" spans="1:12" x14ac:dyDescent="0.3">
      <c r="A70" s="33">
        <v>5</v>
      </c>
      <c r="B70" s="33" t="s">
        <v>2154</v>
      </c>
      <c r="C70" s="34" t="s">
        <v>408</v>
      </c>
      <c r="D70" s="51" t="s">
        <v>400</v>
      </c>
      <c r="E70" s="61" t="str">
        <f>IFERROR(VLOOKUP(D70,'Master List'!D:H,2,FALSE),"NA")</f>
        <v>131210</v>
      </c>
      <c r="F70" s="62" t="str">
        <f>IFERROR(VLOOKUP(D70,'Master List'!D:H,3,FALSE),"NA")</f>
        <v>131210</v>
      </c>
      <c r="G70" s="58" t="str">
        <f>IFERROR(VLOOKUP(D70,'Master List'!D:H,4,FALSE),"NA")</f>
        <v>131210</v>
      </c>
      <c r="H70" s="39" t="str">
        <f>IFERROR(VLOOKUP(D70,'Master List'!D:H,5,FALSE),"NA")</f>
        <v>Early Childhood Education and Teaching.</v>
      </c>
      <c r="I70" s="19"/>
      <c r="J70" s="20"/>
      <c r="K70" s="20"/>
      <c r="L70" s="21"/>
    </row>
    <row r="71" spans="1:12" x14ac:dyDescent="0.3">
      <c r="A71" s="33">
        <v>5</v>
      </c>
      <c r="B71" s="33" t="s">
        <v>2154</v>
      </c>
      <c r="C71" s="34" t="s">
        <v>408</v>
      </c>
      <c r="D71" s="51" t="s">
        <v>345</v>
      </c>
      <c r="E71" s="61" t="str">
        <f>IFERROR(VLOOKUP(D71,'Master List'!D:H,2,FALSE),"NA")</f>
        <v>500408</v>
      </c>
      <c r="F71" s="62" t="str">
        <f>IFERROR(VLOOKUP(D71,'Master List'!D:H,3,FALSE),"NA")</f>
        <v>500408</v>
      </c>
      <c r="G71" s="58" t="str">
        <f>IFERROR(VLOOKUP(D71,'Master List'!D:H,4,FALSE),"NA")</f>
        <v>500408</v>
      </c>
      <c r="H71" s="39" t="str">
        <f>IFERROR(VLOOKUP(D71,'Master List'!D:H,5,FALSE),"NA")</f>
        <v>Interior Design.</v>
      </c>
      <c r="I71" s="19"/>
      <c r="J71" s="20"/>
      <c r="K71" s="20"/>
      <c r="L71" s="21"/>
    </row>
    <row r="72" spans="1:12" x14ac:dyDescent="0.3">
      <c r="A72" s="33">
        <v>5</v>
      </c>
      <c r="B72" s="33" t="s">
        <v>2154</v>
      </c>
      <c r="C72" s="34" t="s">
        <v>408</v>
      </c>
      <c r="D72" s="51" t="s">
        <v>403</v>
      </c>
      <c r="E72" s="61" t="str">
        <f>IFERROR(VLOOKUP(D72,'Master List'!D:H,2,FALSE),"NA")</f>
        <v>511599</v>
      </c>
      <c r="F72" s="62" t="str">
        <f>IFERROR(VLOOKUP(D72,'Master List'!D:H,3,FALSE),"NA")</f>
        <v>511599</v>
      </c>
      <c r="G72" s="58" t="str">
        <f>IFERROR(VLOOKUP(D72,'Master List'!D:H,4,FALSE),"NA")</f>
        <v>511599</v>
      </c>
      <c r="H72" s="39" t="str">
        <f>IFERROR(VLOOKUP(D72,'Master List'!D:H,5,FALSE),"NA")</f>
        <v>Mental and Social Health Services and Allied Professions, Other.</v>
      </c>
      <c r="I72" s="19"/>
      <c r="J72" s="20"/>
      <c r="K72" s="20"/>
      <c r="L72" s="21"/>
    </row>
    <row r="73" spans="1:12" x14ac:dyDescent="0.3">
      <c r="A73" s="33">
        <v>5</v>
      </c>
      <c r="B73" s="33" t="s">
        <v>2154</v>
      </c>
      <c r="C73" s="34" t="s">
        <v>408</v>
      </c>
      <c r="D73" s="51" t="s">
        <v>167</v>
      </c>
      <c r="E73" s="61" t="str">
        <f>IFERROR(VLOOKUP(D73,'Master List'!D:H,2,FALSE),"NA")</f>
        <v>110103</v>
      </c>
      <c r="F73" s="62" t="str">
        <f>IFERROR(VLOOKUP(D73,'Master List'!D:H,3,FALSE),"NA")</f>
        <v>110103</v>
      </c>
      <c r="G73" s="58" t="str">
        <f>IFERROR(VLOOKUP(D73,'Master List'!D:H,4,FALSE),"NA")</f>
        <v>110103</v>
      </c>
      <c r="H73" s="39" t="str">
        <f>IFERROR(VLOOKUP(D73,'Master List'!D:H,5,FALSE),"NA")</f>
        <v>Information Technology.</v>
      </c>
      <c r="I73" s="19"/>
      <c r="J73" s="20"/>
      <c r="K73" s="20"/>
      <c r="L73" s="21"/>
    </row>
    <row r="74" spans="1:12" x14ac:dyDescent="0.3">
      <c r="A74" s="33">
        <v>5</v>
      </c>
      <c r="B74" s="33" t="s">
        <v>2154</v>
      </c>
      <c r="C74" s="34" t="s">
        <v>408</v>
      </c>
      <c r="D74" s="51" t="s">
        <v>464</v>
      </c>
      <c r="E74" s="61" t="str">
        <f>IFERROR(VLOOKUP(D74,'Master List'!D:H,2,FALSE),"NA")</f>
        <v>110103</v>
      </c>
      <c r="F74" s="62" t="str">
        <f>IFERROR(VLOOKUP(D74,'Master List'!D:H,3,FALSE),"NA")</f>
        <v>110103</v>
      </c>
      <c r="G74" s="58">
        <f>IFERROR(VLOOKUP(D74,'Master List'!D:H,4,FALSE),"NA")</f>
        <v>110802</v>
      </c>
      <c r="H74" s="39" t="str">
        <f>IFERROR(VLOOKUP(D74,'Master List'!D:H,5,FALSE),"NA")</f>
        <v xml:space="preserve">Data Modeling/Warehousing and Database Administration. </v>
      </c>
      <c r="I74" s="19"/>
      <c r="J74" s="20"/>
      <c r="K74" s="20"/>
      <c r="L74" s="21"/>
    </row>
    <row r="75" spans="1:12" x14ac:dyDescent="0.3">
      <c r="A75" s="33">
        <v>5</v>
      </c>
      <c r="B75" s="33" t="s">
        <v>2154</v>
      </c>
      <c r="C75" s="34" t="s">
        <v>408</v>
      </c>
      <c r="D75" s="51" t="s">
        <v>170</v>
      </c>
      <c r="E75" s="61" t="str">
        <f>IFERROR(VLOOKUP(D75,'Master List'!D:H,2,FALSE),"NA")</f>
        <v>110201</v>
      </c>
      <c r="F75" s="62" t="str">
        <f>IFERROR(VLOOKUP(D75,'Master List'!D:H,3,FALSE),"NA")</f>
        <v>110201</v>
      </c>
      <c r="G75" s="58" t="str">
        <f>IFERROR(VLOOKUP(D75,'Master List'!D:H,4,FALSE),"NA")</f>
        <v>110201</v>
      </c>
      <c r="H75" s="39" t="str">
        <f>IFERROR(VLOOKUP(D75,'Master List'!D:H,5,FALSE),"NA")</f>
        <v>Computer Programming/Programmer, General.</v>
      </c>
      <c r="I75" s="19"/>
      <c r="J75" s="20"/>
      <c r="K75" s="20"/>
      <c r="L75" s="21"/>
    </row>
    <row r="76" spans="1:12" x14ac:dyDescent="0.3">
      <c r="A76" s="33">
        <v>5</v>
      </c>
      <c r="B76" s="33" t="s">
        <v>2154</v>
      </c>
      <c r="C76" s="34" t="s">
        <v>408</v>
      </c>
      <c r="D76" s="51" t="s">
        <v>404</v>
      </c>
      <c r="E76" s="61" t="str">
        <f>IFERROR(VLOOKUP(D76,'Master List'!D:H,2,FALSE),"NA")</f>
        <v>110801</v>
      </c>
      <c r="F76" s="62" t="str">
        <f>IFERROR(VLOOKUP(D76,'Master List'!D:H,3,FALSE),"NA")</f>
        <v>110801</v>
      </c>
      <c r="G76" s="58" t="str">
        <f>IFERROR(VLOOKUP(D76,'Master List'!D:H,4,FALSE),"NA")</f>
        <v>110801</v>
      </c>
      <c r="H76" s="39" t="str">
        <f>IFERROR(VLOOKUP(D76,'Master List'!D:H,5,FALSE),"NA")</f>
        <v>Web Page, Digital/Multimedia and Information Resources Design.</v>
      </c>
      <c r="I76" s="19"/>
      <c r="J76" s="20"/>
      <c r="K76" s="20"/>
      <c r="L76" s="21"/>
    </row>
    <row r="77" spans="1:12" x14ac:dyDescent="0.3">
      <c r="A77" s="33">
        <v>5</v>
      </c>
      <c r="B77" s="33" t="s">
        <v>2154</v>
      </c>
      <c r="C77" s="34" t="s">
        <v>408</v>
      </c>
      <c r="D77" s="51" t="s">
        <v>106</v>
      </c>
      <c r="E77" s="61" t="str">
        <f>IFERROR(VLOOKUP(D77,'Master List'!D:H,2,FALSE),"NA")</f>
        <v>111001</v>
      </c>
      <c r="F77" s="62" t="str">
        <f>IFERROR(VLOOKUP(D77,'Master List'!D:H,3,FALSE),"NA")</f>
        <v>111001</v>
      </c>
      <c r="G77" s="58" t="str">
        <f>IFERROR(VLOOKUP(D77,'Master List'!D:H,4,FALSE),"NA")</f>
        <v>111001</v>
      </c>
      <c r="H77" s="39" t="str">
        <f>IFERROR(VLOOKUP(D77,'Master List'!D:H,5,FALSE),"NA")</f>
        <v>Network and System Administration/Administrator.</v>
      </c>
      <c r="I77" s="19"/>
      <c r="J77" s="20"/>
      <c r="K77" s="20"/>
      <c r="L77" s="21"/>
    </row>
    <row r="78" spans="1:12" x14ac:dyDescent="0.3">
      <c r="A78" s="33">
        <v>5</v>
      </c>
      <c r="B78" s="33" t="s">
        <v>2154</v>
      </c>
      <c r="C78" s="34" t="s">
        <v>408</v>
      </c>
      <c r="D78" s="51" t="s">
        <v>107</v>
      </c>
      <c r="E78" s="61" t="str">
        <f>IFERROR(VLOOKUP(D78,'Master List'!D:H,2,FALSE),"NA")</f>
        <v>520201</v>
      </c>
      <c r="F78" s="62" t="str">
        <f>IFERROR(VLOOKUP(D78,'Master List'!D:H,3,FALSE),"NA")</f>
        <v>520201</v>
      </c>
      <c r="G78" s="58" t="str">
        <f>IFERROR(VLOOKUP(D78,'Master List'!D:H,4,FALSE),"NA")</f>
        <v>520201</v>
      </c>
      <c r="H78" s="39" t="str">
        <f>IFERROR(VLOOKUP(D78,'Master List'!D:H,5,FALSE),"NA")</f>
        <v>Business Administration and Management, General.</v>
      </c>
      <c r="I78" s="19"/>
      <c r="J78" s="20"/>
      <c r="K78" s="20"/>
      <c r="L78" s="21"/>
    </row>
    <row r="79" spans="1:12" x14ac:dyDescent="0.3">
      <c r="A79" s="33">
        <v>5</v>
      </c>
      <c r="B79" s="33" t="s">
        <v>2154</v>
      </c>
      <c r="C79" s="34" t="s">
        <v>408</v>
      </c>
      <c r="D79" s="51" t="s">
        <v>351</v>
      </c>
      <c r="E79" s="61" t="str">
        <f>IFERROR(VLOOKUP(D79,'Master List'!D:H,2,FALSE),"NA")</f>
        <v>520204</v>
      </c>
      <c r="F79" s="62" t="str">
        <f>IFERROR(VLOOKUP(D79,'Master List'!D:H,3,FALSE),"NA")</f>
        <v>520204</v>
      </c>
      <c r="G79" s="58" t="str">
        <f>IFERROR(VLOOKUP(D79,'Master List'!D:H,4,FALSE),"NA")</f>
        <v>520204</v>
      </c>
      <c r="H79" s="39" t="str">
        <f>IFERROR(VLOOKUP(D79,'Master List'!D:H,5,FALSE),"NA")</f>
        <v>Office Management and Supervision.</v>
      </c>
      <c r="I79" s="19"/>
      <c r="J79" s="20"/>
      <c r="K79" s="20"/>
      <c r="L79" s="21"/>
    </row>
    <row r="80" spans="1:12" x14ac:dyDescent="0.3">
      <c r="A80" s="33">
        <v>5</v>
      </c>
      <c r="B80" s="33" t="s">
        <v>2154</v>
      </c>
      <c r="C80" s="34" t="s">
        <v>408</v>
      </c>
      <c r="D80" s="51" t="s">
        <v>110</v>
      </c>
      <c r="E80" s="61" t="str">
        <f>IFERROR(VLOOKUP(D80,'Master List'!D:H,2,FALSE),"NA")</f>
        <v>520302</v>
      </c>
      <c r="F80" s="62" t="str">
        <f>IFERROR(VLOOKUP(D80,'Master List'!D:H,3,FALSE),"NA")</f>
        <v>520302</v>
      </c>
      <c r="G80" s="58" t="str">
        <f>IFERROR(VLOOKUP(D80,'Master List'!D:H,4,FALSE),"NA")</f>
        <v>520302</v>
      </c>
      <c r="H80" s="39" t="str">
        <f>IFERROR(VLOOKUP(D80,'Master List'!D:H,5,FALSE),"NA")</f>
        <v>Accounting Technology/Technician and Bookkeeping.</v>
      </c>
      <c r="I80" s="19"/>
      <c r="J80" s="20"/>
      <c r="K80" s="20"/>
      <c r="L80" s="21"/>
    </row>
    <row r="81" spans="1:12" x14ac:dyDescent="0.3">
      <c r="A81" s="33">
        <v>5</v>
      </c>
      <c r="B81" s="33" t="s">
        <v>2154</v>
      </c>
      <c r="C81" s="34" t="s">
        <v>408</v>
      </c>
      <c r="D81" s="51" t="s">
        <v>465</v>
      </c>
      <c r="E81" s="61" t="str">
        <f>IFERROR(VLOOKUP(D81,'Master List'!D:H,2,FALSE),"NA")</f>
        <v>090702</v>
      </c>
      <c r="F81" s="62" t="str">
        <f>IFERROR(VLOOKUP(D81,'Master List'!D:H,3,FALSE),"NA")</f>
        <v>090702</v>
      </c>
      <c r="G81" s="58" t="str">
        <f>IFERROR(VLOOKUP(D81,'Master List'!D:H,4,FALSE),"NA")</f>
        <v>090702</v>
      </c>
      <c r="H81" s="39" t="str">
        <f>IFERROR(VLOOKUP(D81,'Master List'!D:H,5,FALSE),"NA")</f>
        <v>Digital Communication and Media/Multimedia.</v>
      </c>
      <c r="I81" s="19"/>
      <c r="J81" s="20"/>
      <c r="K81" s="20"/>
      <c r="L81" s="21"/>
    </row>
    <row r="82" spans="1:12" x14ac:dyDescent="0.3">
      <c r="A82" s="33">
        <v>5</v>
      </c>
      <c r="B82" s="33" t="s">
        <v>2154</v>
      </c>
      <c r="C82" s="34" t="s">
        <v>408</v>
      </c>
      <c r="D82" s="51" t="s">
        <v>466</v>
      </c>
      <c r="E82" s="61" t="str">
        <f>IFERROR(VLOOKUP(D82,'Master List'!D:H,2,FALSE),"NA")</f>
        <v>100201</v>
      </c>
      <c r="F82" s="62" t="str">
        <f>IFERROR(VLOOKUP(D82,'Master List'!D:H,3,FALSE),"NA")</f>
        <v>100201</v>
      </c>
      <c r="G82" s="58">
        <f>IFERROR(VLOOKUP(D82,'Master List'!D:H,4,FALSE),"NA")</f>
        <v>500102</v>
      </c>
      <c r="H82" s="39" t="str">
        <f>IFERROR(VLOOKUP(D82,'Master List'!D:H,5,FALSE),"NA")</f>
        <v>Digital Arts</v>
      </c>
      <c r="I82" s="19"/>
      <c r="J82" s="20"/>
      <c r="K82" s="20"/>
      <c r="L82" s="21"/>
    </row>
    <row r="83" spans="1:12" x14ac:dyDescent="0.3">
      <c r="A83" s="33">
        <v>5</v>
      </c>
      <c r="B83" s="33" t="s">
        <v>2154</v>
      </c>
      <c r="C83" s="34" t="s">
        <v>408</v>
      </c>
      <c r="D83" s="51" t="s">
        <v>117</v>
      </c>
      <c r="E83" s="61" t="str">
        <f>IFERROR(VLOOKUP(D83,'Master List'!D:H,2,FALSE),"NA")</f>
        <v>120504</v>
      </c>
      <c r="F83" s="62" t="str">
        <f>IFERROR(VLOOKUP(D83,'Master List'!D:H,3,FALSE),"NA")</f>
        <v>120504</v>
      </c>
      <c r="G83" s="58" t="str">
        <f>IFERROR(VLOOKUP(D83,'Master List'!D:H,4,FALSE),"NA")</f>
        <v>120504</v>
      </c>
      <c r="H83" s="39" t="str">
        <f>IFERROR(VLOOKUP(D83,'Master List'!D:H,5,FALSE),"NA")</f>
        <v>Restaurant, Culinary, and Catering Management/Manager.</v>
      </c>
      <c r="I83" s="19"/>
      <c r="J83" s="20"/>
      <c r="K83" s="20"/>
      <c r="L83" s="21"/>
    </row>
    <row r="84" spans="1:12" x14ac:dyDescent="0.3">
      <c r="A84" s="33">
        <v>5</v>
      </c>
      <c r="B84" s="33" t="s">
        <v>2154</v>
      </c>
      <c r="C84" s="34" t="s">
        <v>408</v>
      </c>
      <c r="D84" s="51" t="s">
        <v>120</v>
      </c>
      <c r="E84" s="61" t="str">
        <f>IFERROR(VLOOKUP(D84,'Master List'!D:H,2,FALSE),"NA")</f>
        <v>150000</v>
      </c>
      <c r="F84" s="62" t="str">
        <f>IFERROR(VLOOKUP(D84,'Master List'!D:H,3,FALSE),"NA")</f>
        <v>150000</v>
      </c>
      <c r="G84" s="58" t="str">
        <f>IFERROR(VLOOKUP(D84,'Master List'!D:H,4,FALSE),"NA")</f>
        <v>150000</v>
      </c>
      <c r="H84" s="39" t="str">
        <f>IFERROR(VLOOKUP(D84,'Master List'!D:H,5,FALSE),"NA")</f>
        <v>Engineering Technologies/Technicians, General.</v>
      </c>
      <c r="I84" s="19"/>
      <c r="J84" s="20"/>
      <c r="K84" s="20"/>
      <c r="L84" s="21"/>
    </row>
    <row r="85" spans="1:12" x14ac:dyDescent="0.3">
      <c r="A85" s="33">
        <v>5</v>
      </c>
      <c r="B85" s="33" t="s">
        <v>2154</v>
      </c>
      <c r="C85" s="34" t="s">
        <v>408</v>
      </c>
      <c r="D85" s="51" t="s">
        <v>468</v>
      </c>
      <c r="E85" s="61" t="str">
        <f>IFERROR(VLOOKUP(D85,'Master List'!D:H,2,FALSE),"NA")</f>
        <v>150303</v>
      </c>
      <c r="F85" s="62" t="str">
        <f>IFERROR(VLOOKUP(D85,'Master List'!D:H,3,FALSE),"NA")</f>
        <v>150303</v>
      </c>
      <c r="G85" s="58" t="str">
        <f>IFERROR(VLOOKUP(D85,'Master List'!D:H,4,FALSE),"NA")</f>
        <v>150303</v>
      </c>
      <c r="H85" s="39" t="str">
        <f>IFERROR(VLOOKUP(D85,'Master List'!D:H,5,FALSE),"NA")</f>
        <v>Electrical, Electronic, and Communications Engineering Technology/Technician.</v>
      </c>
      <c r="I85" s="19"/>
      <c r="J85" s="20"/>
      <c r="K85" s="20"/>
      <c r="L85" s="21"/>
    </row>
    <row r="86" spans="1:12" x14ac:dyDescent="0.3">
      <c r="A86" s="33">
        <v>5</v>
      </c>
      <c r="B86" s="33" t="s">
        <v>2154</v>
      </c>
      <c r="C86" s="34" t="s">
        <v>408</v>
      </c>
      <c r="D86" s="51" t="s">
        <v>469</v>
      </c>
      <c r="E86" s="61" t="str">
        <f>IFERROR(VLOOKUP(D86,'Master List'!D:H,2,FALSE),"NA")</f>
        <v>150801</v>
      </c>
      <c r="F86" s="62" t="str">
        <f>IFERROR(VLOOKUP(D86,'Master List'!D:H,3,FALSE),"NA")</f>
        <v>150801</v>
      </c>
      <c r="G86" s="58" t="str">
        <f>IFERROR(VLOOKUP(D86,'Master List'!D:H,4,FALSE),"NA")</f>
        <v>150801</v>
      </c>
      <c r="H86" s="39" t="str">
        <f>IFERROR(VLOOKUP(D86,'Master List'!D:H,5,FALSE),"NA")</f>
        <v>Aeronautical/Aerospace Engineering Technology/Technician.</v>
      </c>
      <c r="I86" s="19"/>
      <c r="J86" s="20"/>
      <c r="K86" s="20"/>
      <c r="L86" s="21"/>
    </row>
    <row r="87" spans="1:12" x14ac:dyDescent="0.3">
      <c r="A87" s="33">
        <v>5</v>
      </c>
      <c r="B87" s="33" t="s">
        <v>2154</v>
      </c>
      <c r="C87" s="34" t="s">
        <v>408</v>
      </c>
      <c r="D87" s="51" t="s">
        <v>358</v>
      </c>
      <c r="E87" s="61" t="str">
        <f>IFERROR(VLOOKUP(D87,'Master List'!D:H,2,FALSE),"NA")</f>
        <v>151001</v>
      </c>
      <c r="F87" s="62" t="str">
        <f>IFERROR(VLOOKUP(D87,'Master List'!D:H,3,FALSE),"NA")</f>
        <v>151001</v>
      </c>
      <c r="G87" s="58" t="str">
        <f>IFERROR(VLOOKUP(D87,'Master List'!D:H,4,FALSE),"NA")</f>
        <v>151001</v>
      </c>
      <c r="H87" s="39" t="str">
        <f>IFERROR(VLOOKUP(D87,'Master List'!D:H,5,FALSE),"NA")</f>
        <v>Construction Engineering Technology/Technician.</v>
      </c>
      <c r="I87" s="19"/>
      <c r="J87" s="20"/>
      <c r="K87" s="20"/>
      <c r="L87" s="21"/>
    </row>
    <row r="88" spans="1:12" x14ac:dyDescent="0.3">
      <c r="A88" s="33">
        <v>5</v>
      </c>
      <c r="B88" s="33" t="s">
        <v>2154</v>
      </c>
      <c r="C88" s="34" t="s">
        <v>408</v>
      </c>
      <c r="D88" s="51" t="s">
        <v>472</v>
      </c>
      <c r="E88" s="61" t="str">
        <f>IFERROR(VLOOKUP(D88,'Master List'!D:H,2,FALSE),"NA")</f>
        <v>151201</v>
      </c>
      <c r="F88" s="62" t="str">
        <f>IFERROR(VLOOKUP(D88,'Master List'!D:H,3,FALSE),"NA")</f>
        <v>151201</v>
      </c>
      <c r="G88" s="58" t="str">
        <f>IFERROR(VLOOKUP(D88,'Master List'!D:H,4,FALSE),"NA")</f>
        <v>151201</v>
      </c>
      <c r="H88" s="39" t="str">
        <f>IFERROR(VLOOKUP(D88,'Master List'!D:H,5,FALSE),"NA")</f>
        <v>Computer Engineering Technology/Technician.</v>
      </c>
      <c r="I88" s="19"/>
      <c r="J88" s="20"/>
      <c r="K88" s="20"/>
      <c r="L88" s="21"/>
    </row>
    <row r="89" spans="1:12" x14ac:dyDescent="0.3">
      <c r="A89" s="33">
        <v>5</v>
      </c>
      <c r="B89" s="33" t="s">
        <v>2154</v>
      </c>
      <c r="C89" s="34" t="s">
        <v>408</v>
      </c>
      <c r="D89" s="51" t="s">
        <v>405</v>
      </c>
      <c r="E89" s="61" t="str">
        <f>IFERROR(VLOOKUP(D89,'Master List'!D:H,2,FALSE),"NA")</f>
        <v>151301</v>
      </c>
      <c r="F89" s="62" t="str">
        <f>IFERROR(VLOOKUP(D89,'Master List'!D:H,3,FALSE),"NA")</f>
        <v>151301</v>
      </c>
      <c r="G89" s="58">
        <f>IFERROR(VLOOKUP(D89,'Master List'!D:H,4,FALSE),"NA")</f>
        <v>151302</v>
      </c>
      <c r="H89" s="39" t="str">
        <f>IFERROR(VLOOKUP(D89,'Master List'!D:H,5,FALSE),"NA")</f>
        <v>CAD/CADD Drafting and/or Design Technology/Technician</v>
      </c>
      <c r="I89" s="19"/>
      <c r="J89" s="20"/>
      <c r="K89" s="20"/>
      <c r="L89" s="21"/>
    </row>
    <row r="90" spans="1:12" x14ac:dyDescent="0.3">
      <c r="A90" s="33">
        <v>5</v>
      </c>
      <c r="B90" s="33" t="s">
        <v>2154</v>
      </c>
      <c r="C90" s="34" t="s">
        <v>408</v>
      </c>
      <c r="D90" s="51" t="s">
        <v>475</v>
      </c>
      <c r="E90" s="61" t="str">
        <f>IFERROR(VLOOKUP(D90,'Master List'!D:H,2,FALSE),"NA")</f>
        <v>500605</v>
      </c>
      <c r="F90" s="62" t="str">
        <f>IFERROR(VLOOKUP(D90,'Master List'!D:H,3,FALSE),"NA")</f>
        <v>500605</v>
      </c>
      <c r="G90" s="58" t="str">
        <f>IFERROR(VLOOKUP(D90,'Master List'!D:H,4,FALSE),"NA")</f>
        <v>500605</v>
      </c>
      <c r="H90" s="39" t="str">
        <f>IFERROR(VLOOKUP(D90,'Master List'!D:H,5,FALSE),"NA")</f>
        <v>Photography.</v>
      </c>
      <c r="I90" s="19"/>
      <c r="J90" s="20"/>
      <c r="K90" s="20"/>
      <c r="L90" s="21"/>
    </row>
    <row r="91" spans="1:12" x14ac:dyDescent="0.3">
      <c r="A91" s="33">
        <v>5</v>
      </c>
      <c r="B91" s="33" t="s">
        <v>2154</v>
      </c>
      <c r="C91" s="34" t="s">
        <v>408</v>
      </c>
      <c r="D91" s="51" t="s">
        <v>478</v>
      </c>
      <c r="E91" s="61" t="str">
        <f>IFERROR(VLOOKUP(D91,'Master List'!D:H,2,FALSE),"NA")</f>
        <v>500913</v>
      </c>
      <c r="F91" s="62" t="str">
        <f>IFERROR(VLOOKUP(D91,'Master List'!D:H,3,FALSE),"NA")</f>
        <v>500913</v>
      </c>
      <c r="G91" s="58" t="str">
        <f>IFERROR(VLOOKUP(D91,'Master List'!D:H,4,FALSE),"NA")</f>
        <v>500913</v>
      </c>
      <c r="H91" s="39" t="str">
        <f>IFERROR(VLOOKUP(D91,'Master List'!D:H,5,FALSE),"NA")</f>
        <v>Music Technology.</v>
      </c>
      <c r="I91" s="19"/>
      <c r="J91" s="20"/>
      <c r="K91" s="20"/>
      <c r="L91" s="21"/>
    </row>
    <row r="92" spans="1:12" x14ac:dyDescent="0.3">
      <c r="A92" s="33">
        <v>5</v>
      </c>
      <c r="B92" s="33" t="s">
        <v>2154</v>
      </c>
      <c r="C92" s="34" t="s">
        <v>408</v>
      </c>
      <c r="D92" s="51" t="s">
        <v>367</v>
      </c>
      <c r="E92" s="61" t="str">
        <f>IFERROR(VLOOKUP(D92,'Master List'!D:H,2,FALSE),"NA")</f>
        <v>520205</v>
      </c>
      <c r="F92" s="62" t="str">
        <f>IFERROR(VLOOKUP(D92,'Master List'!D:H,3,FALSE),"NA")</f>
        <v>520205</v>
      </c>
      <c r="G92" s="58" t="str">
        <f>IFERROR(VLOOKUP(D92,'Master List'!D:H,4,FALSE),"NA")</f>
        <v>520205</v>
      </c>
      <c r="H92" s="39" t="str">
        <f>IFERROR(VLOOKUP(D92,'Master List'!D:H,5,FALSE),"NA")</f>
        <v>Operations Management and Supervision.</v>
      </c>
      <c r="I92" s="19"/>
      <c r="J92" s="20"/>
      <c r="K92" s="20"/>
      <c r="L92" s="21"/>
    </row>
    <row r="93" spans="1:12" x14ac:dyDescent="0.3">
      <c r="A93" s="33">
        <v>5</v>
      </c>
      <c r="B93" s="33" t="s">
        <v>2154</v>
      </c>
      <c r="C93" s="34" t="s">
        <v>408</v>
      </c>
      <c r="D93" s="51" t="s">
        <v>372</v>
      </c>
      <c r="E93" s="61" t="str">
        <f>IFERROR(VLOOKUP(D93,'Master List'!D:H,2,FALSE),"NA")</f>
        <v>030104</v>
      </c>
      <c r="F93" s="62" t="str">
        <f>IFERROR(VLOOKUP(D93,'Master List'!D:H,3,FALSE),"NA")</f>
        <v>030104</v>
      </c>
      <c r="G93" s="58" t="str">
        <f>IFERROR(VLOOKUP(D93,'Master List'!D:H,4,FALSE),"NA")</f>
        <v>030104</v>
      </c>
      <c r="H93" s="39" t="str">
        <f>IFERROR(VLOOKUP(D93,'Master List'!D:H,5,FALSE),"NA")</f>
        <v>Environmental Science.</v>
      </c>
      <c r="I93" s="19"/>
      <c r="J93" s="20"/>
      <c r="K93" s="20"/>
      <c r="L93" s="21"/>
    </row>
    <row r="94" spans="1:12" x14ac:dyDescent="0.3">
      <c r="A94" s="33">
        <v>5</v>
      </c>
      <c r="B94" s="33" t="s">
        <v>2154</v>
      </c>
      <c r="C94" s="34" t="s">
        <v>408</v>
      </c>
      <c r="D94" s="51" t="s">
        <v>125</v>
      </c>
      <c r="E94" s="61" t="str">
        <f>IFERROR(VLOOKUP(D94,'Master List'!D:H,2,FALSE),"NA")</f>
        <v>220302</v>
      </c>
      <c r="F94" s="62" t="str">
        <f>IFERROR(VLOOKUP(D94,'Master List'!D:H,3,FALSE),"NA")</f>
        <v>220302</v>
      </c>
      <c r="G94" s="58" t="str">
        <f>IFERROR(VLOOKUP(D94,'Master List'!D:H,4,FALSE),"NA")</f>
        <v>220302</v>
      </c>
      <c r="H94" s="39" t="str">
        <f>IFERROR(VLOOKUP(D94,'Master List'!D:H,5,FALSE),"NA")</f>
        <v>Legal Assistant/Paralegal.</v>
      </c>
      <c r="I94" s="19"/>
      <c r="J94" s="20"/>
      <c r="K94" s="20"/>
      <c r="L94" s="21"/>
    </row>
    <row r="95" spans="1:12" x14ac:dyDescent="0.3">
      <c r="A95" s="33">
        <v>5</v>
      </c>
      <c r="B95" s="33" t="s">
        <v>2154</v>
      </c>
      <c r="C95" s="34" t="s">
        <v>408</v>
      </c>
      <c r="D95" s="51" t="s">
        <v>128</v>
      </c>
      <c r="E95" s="61" t="str">
        <f>IFERROR(VLOOKUP(D95,'Master List'!D:H,2,FALSE),"NA")</f>
        <v>430103</v>
      </c>
      <c r="F95" s="62" t="str">
        <f>IFERROR(VLOOKUP(D95,'Master List'!D:H,3,FALSE),"NA")</f>
        <v>430103</v>
      </c>
      <c r="G95" s="58" t="str">
        <f>IFERROR(VLOOKUP(D95,'Master List'!D:H,4,FALSE),"NA")</f>
        <v>430103</v>
      </c>
      <c r="H95" s="39" t="str">
        <f>IFERROR(VLOOKUP(D95,'Master List'!D:H,5,FALSE),"NA")</f>
        <v>Criminal Justice/Law Enforcement Administration.</v>
      </c>
      <c r="I95" s="19"/>
      <c r="J95" s="20"/>
      <c r="K95" s="20"/>
      <c r="L95" s="21"/>
    </row>
    <row r="96" spans="1:12" x14ac:dyDescent="0.3">
      <c r="A96" s="33">
        <v>5</v>
      </c>
      <c r="B96" s="33" t="s">
        <v>2154</v>
      </c>
      <c r="C96" s="34" t="s">
        <v>408</v>
      </c>
      <c r="D96" s="51" t="s">
        <v>131</v>
      </c>
      <c r="E96" s="61" t="str">
        <f>IFERROR(VLOOKUP(D96,'Master List'!D:H,2,FALSE),"NA")</f>
        <v>NA</v>
      </c>
      <c r="F96" s="62" t="str">
        <f>IFERROR(VLOOKUP(D96,'Master List'!D:H,3,FALSE),"NA")</f>
        <v>NA</v>
      </c>
      <c r="G96" s="58" t="str">
        <f>IFERROR(VLOOKUP(D96,'Master List'!D:H,4,FALSE),"NA")</f>
        <v>NA</v>
      </c>
      <c r="H96" s="39" t="str">
        <f>IFERROR(VLOOKUP(D96,'Master List'!D:H,5,FALSE),"NA")</f>
        <v>NA</v>
      </c>
      <c r="I96" s="19"/>
      <c r="J96" s="20"/>
      <c r="K96" s="20"/>
      <c r="L96" s="21"/>
    </row>
  </sheetData>
  <sheetProtection algorithmName="SHA-512" hashValue="Z8lZhNSVjqOtVy98CsbmOYM3eJZausPAh5CW44D1McTGkD4rcdJ0S0p4VlM8lUaCVxdzW1O/ue+6QFymNNs4lg==" saltValue="uo501CETzVo1/riqFt7maw==" spinCount="100000" sheet="1" objects="1" scenarios="1" sort="0" autoFilter="0"/>
  <autoFilter ref="A2:L96"/>
  <mergeCells count="3">
    <mergeCell ref="A1:D1"/>
    <mergeCell ref="E1:H1"/>
    <mergeCell ref="I1:L1"/>
  </mergeCells>
  <dataValidations count="1">
    <dataValidation type="list" allowBlank="1" showInputMessage="1" showErrorMessage="1" sqref="I3:I96">
      <formula1>"Agree,Disagree"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72.599999999999994" customHeight="1" x14ac:dyDescent="0.3">
      <c r="A1" s="101"/>
      <c r="B1" s="102"/>
      <c r="C1" s="102"/>
      <c r="D1" s="103"/>
      <c r="E1" s="96" t="s">
        <v>2145</v>
      </c>
      <c r="F1" s="96"/>
      <c r="G1" s="96"/>
      <c r="H1" s="96"/>
      <c r="I1" s="97" t="s">
        <v>0</v>
      </c>
      <c r="J1" s="98"/>
      <c r="K1" s="98"/>
      <c r="L1" s="99"/>
    </row>
    <row r="2" spans="1:12" s="27" customFormat="1" ht="57.6"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6</v>
      </c>
      <c r="B3" s="33" t="s">
        <v>2176</v>
      </c>
      <c r="C3" s="34" t="s">
        <v>380</v>
      </c>
      <c r="D3" s="51" t="s">
        <v>381</v>
      </c>
      <c r="E3" s="61" t="str">
        <f>IFERROR(VLOOKUP(D3,'Master List'!D:H,2,FALSE),"NA")</f>
        <v>520803</v>
      </c>
      <c r="F3" s="62" t="str">
        <f>IFERROR(VLOOKUP(D3,'Master List'!D:H,3,FALSE),"NA")</f>
        <v>520803</v>
      </c>
      <c r="G3" s="58" t="str">
        <f>IFERROR(VLOOKUP(D3,'Master List'!D:H,4,FALSE),"NA")</f>
        <v>520803</v>
      </c>
      <c r="H3" s="39" t="str">
        <f>IFERROR(VLOOKUP(D3,'Master List'!D:H,5,FALSE),"NA")</f>
        <v>Banking and Financial Support Services.</v>
      </c>
      <c r="I3" s="19"/>
      <c r="J3" s="20"/>
      <c r="K3" s="20"/>
      <c r="L3" s="21"/>
    </row>
    <row r="4" spans="1:12" x14ac:dyDescent="0.3">
      <c r="A4" s="33">
        <v>6</v>
      </c>
      <c r="B4" s="33" t="s">
        <v>2176</v>
      </c>
      <c r="C4" s="34" t="s">
        <v>380</v>
      </c>
      <c r="D4" s="51" t="s">
        <v>198</v>
      </c>
      <c r="E4" s="61" t="str">
        <f>IFERROR(VLOOKUP(D4,'Master List'!D:H,2,FALSE),"NA")</f>
        <v>510707</v>
      </c>
      <c r="F4" s="62" t="str">
        <f>IFERROR(VLOOKUP(D4,'Master List'!D:H,3,FALSE),"NA")</f>
        <v>510707</v>
      </c>
      <c r="G4" s="58">
        <f>IFERROR(VLOOKUP(D4,'Master List'!D:H,4,FALSE),"NA")</f>
        <v>510714</v>
      </c>
      <c r="H4" s="39" t="str">
        <f>IFERROR(VLOOKUP(D4,'Master List'!D:H,5,FALSE),"NA")</f>
        <v>Medical Insurance Specialist/Medical Biller</v>
      </c>
      <c r="I4" s="19"/>
      <c r="J4" s="20"/>
      <c r="K4" s="20"/>
      <c r="L4" s="21"/>
    </row>
    <row r="5" spans="1:12" x14ac:dyDescent="0.3">
      <c r="A5" s="33">
        <v>6</v>
      </c>
      <c r="B5" s="33" t="s">
        <v>2176</v>
      </c>
      <c r="C5" s="34" t="s">
        <v>380</v>
      </c>
      <c r="D5" s="51" t="s">
        <v>14</v>
      </c>
      <c r="E5" s="61" t="str">
        <f>IFERROR(VLOOKUP(D5,'Master List'!D:H,2,FALSE),"NA")</f>
        <v>510904</v>
      </c>
      <c r="F5" s="62" t="str">
        <f>IFERROR(VLOOKUP(D5,'Master List'!D:H,3,FALSE),"NA")</f>
        <v>510904</v>
      </c>
      <c r="G5" s="58" t="str">
        <f>IFERROR(VLOOKUP(D5,'Master List'!D:H,4,FALSE),"NA")</f>
        <v>510904</v>
      </c>
      <c r="H5" s="39" t="str">
        <f>IFERROR(VLOOKUP(D5,'Master List'!D:H,5,FALSE),"NA")</f>
        <v>Emergency Medical Technology/Technician (EMT Paramedic).</v>
      </c>
      <c r="I5" s="19"/>
      <c r="J5" s="20"/>
      <c r="K5" s="20"/>
      <c r="L5" s="21"/>
    </row>
    <row r="6" spans="1:12" x14ac:dyDescent="0.3">
      <c r="A6" s="33">
        <v>6</v>
      </c>
      <c r="B6" s="33" t="s">
        <v>2176</v>
      </c>
      <c r="C6" s="34" t="s">
        <v>380</v>
      </c>
      <c r="D6" s="51" t="s">
        <v>204</v>
      </c>
      <c r="E6" s="61" t="str">
        <f>IFERROR(VLOOKUP(D6,'Master List'!D:H,2,FALSE),"NA")</f>
        <v>510904</v>
      </c>
      <c r="F6" s="62" t="str">
        <f>IFERROR(VLOOKUP(D6,'Master List'!D:H,3,FALSE),"NA")</f>
        <v>510904</v>
      </c>
      <c r="G6" s="58" t="str">
        <f>IFERROR(VLOOKUP(D6,'Master List'!D:H,4,FALSE),"NA")</f>
        <v>510904</v>
      </c>
      <c r="H6" s="39" t="str">
        <f>IFERROR(VLOOKUP(D6,'Master List'!D:H,5,FALSE),"NA")</f>
        <v>Emergency Medical Technology/Technician (EMT Paramedic).</v>
      </c>
      <c r="I6" s="19"/>
      <c r="J6" s="20"/>
      <c r="K6" s="20"/>
      <c r="L6" s="21"/>
    </row>
    <row r="7" spans="1:12" x14ac:dyDescent="0.3">
      <c r="A7" s="33">
        <v>6</v>
      </c>
      <c r="B7" s="33" t="s">
        <v>2176</v>
      </c>
      <c r="C7" s="34" t="s">
        <v>380</v>
      </c>
      <c r="D7" s="51" t="s">
        <v>384</v>
      </c>
      <c r="E7" s="61" t="str">
        <f>IFERROR(VLOOKUP(D7,'Master List'!D:H,2,FALSE),"NA")</f>
        <v>NA</v>
      </c>
      <c r="F7" s="62" t="str">
        <f>IFERROR(VLOOKUP(D7,'Master List'!D:H,3,FALSE),"NA")</f>
        <v>NA</v>
      </c>
      <c r="G7" s="58" t="str">
        <f>IFERROR(VLOOKUP(D7,'Master List'!D:H,4,FALSE),"NA")</f>
        <v>NA</v>
      </c>
      <c r="H7" s="39" t="str">
        <f>IFERROR(VLOOKUP(D7,'Master List'!D:H,5,FALSE),"NA")</f>
        <v>NA</v>
      </c>
      <c r="I7" s="19"/>
      <c r="J7" s="20"/>
      <c r="K7" s="20"/>
      <c r="L7" s="21"/>
    </row>
    <row r="8" spans="1:12" x14ac:dyDescent="0.3">
      <c r="A8" s="33">
        <v>6</v>
      </c>
      <c r="B8" s="33" t="s">
        <v>2176</v>
      </c>
      <c r="C8" s="34" t="s">
        <v>380</v>
      </c>
      <c r="D8" s="51" t="s">
        <v>385</v>
      </c>
      <c r="E8" s="61" t="str">
        <f>IFERROR(VLOOKUP(D8,'Master List'!D:H,2,FALSE),"NA")</f>
        <v>511599</v>
      </c>
      <c r="F8" s="62" t="str">
        <f>IFERROR(VLOOKUP(D8,'Master List'!D:H,3,FALSE),"NA")</f>
        <v>511599</v>
      </c>
      <c r="G8" s="58">
        <f>IFERROR(VLOOKUP(D8,'Master List'!D:H,4,FALSE),"NA")</f>
        <v>511501</v>
      </c>
      <c r="H8" s="39" t="str">
        <f>IFERROR(VLOOKUP(D8,'Master List'!D:H,5,FALSE),"NA")</f>
        <v>Substance Abuse/Addiction Counseling</v>
      </c>
      <c r="I8" s="19"/>
      <c r="J8" s="20"/>
      <c r="K8" s="20"/>
      <c r="L8" s="21"/>
    </row>
    <row r="9" spans="1:12" x14ac:dyDescent="0.3">
      <c r="A9" s="33">
        <v>6</v>
      </c>
      <c r="B9" s="33" t="s">
        <v>2176</v>
      </c>
      <c r="C9" s="34" t="s">
        <v>380</v>
      </c>
      <c r="D9" s="51" t="s">
        <v>388</v>
      </c>
      <c r="E9" s="61" t="str">
        <f>IFERROR(VLOOKUP(D9,'Master List'!D:H,2,FALSE),"NA")</f>
        <v>511599</v>
      </c>
      <c r="F9" s="62" t="str">
        <f>IFERROR(VLOOKUP(D9,'Master List'!D:H,3,FALSE),"NA")</f>
        <v>511599</v>
      </c>
      <c r="G9" s="58" t="str">
        <f>IFERROR(VLOOKUP(D9,'Master List'!D:H,4,FALSE),"NA")</f>
        <v>511599</v>
      </c>
      <c r="H9" s="39" t="str">
        <f>IFERROR(VLOOKUP(D9,'Master List'!D:H,5,FALSE),"NA")</f>
        <v>Mental and Social Health Services and Allied Professions, Other.</v>
      </c>
      <c r="I9" s="19"/>
      <c r="J9" s="20"/>
      <c r="K9" s="20"/>
      <c r="L9" s="21"/>
    </row>
    <row r="10" spans="1:12" x14ac:dyDescent="0.3">
      <c r="A10" s="33">
        <v>6</v>
      </c>
      <c r="B10" s="33" t="s">
        <v>2176</v>
      </c>
      <c r="C10" s="34" t="s">
        <v>380</v>
      </c>
      <c r="D10" s="51" t="s">
        <v>217</v>
      </c>
      <c r="E10" s="61" t="str">
        <f>IFERROR(VLOOKUP(D10,'Master List'!D:H,2,FALSE),"NA")</f>
        <v>110103</v>
      </c>
      <c r="F10" s="62" t="str">
        <f>IFERROR(VLOOKUP(D10,'Master List'!D:H,3,FALSE),"NA")</f>
        <v>110103</v>
      </c>
      <c r="G10" s="58" t="str">
        <f>IFERROR(VLOOKUP(D10,'Master List'!D:H,4,FALSE),"NA")</f>
        <v>110103</v>
      </c>
      <c r="H10" s="39" t="str">
        <f>IFERROR(VLOOKUP(D10,'Master List'!D:H,5,FALSE),"NA")</f>
        <v>Information Technology.</v>
      </c>
      <c r="I10" s="19"/>
      <c r="J10" s="20"/>
      <c r="K10" s="20"/>
      <c r="L10" s="21"/>
    </row>
    <row r="11" spans="1:12" x14ac:dyDescent="0.3">
      <c r="A11" s="33">
        <v>6</v>
      </c>
      <c r="B11" s="33" t="s">
        <v>2176</v>
      </c>
      <c r="C11" s="34" t="s">
        <v>380</v>
      </c>
      <c r="D11" s="51" t="s">
        <v>389</v>
      </c>
      <c r="E11" s="61" t="str">
        <f>IFERROR(VLOOKUP(D11,'Master List'!D:H,2,FALSE),"NA")</f>
        <v>110201</v>
      </c>
      <c r="F11" s="62" t="str">
        <f>IFERROR(VLOOKUP(D11,'Master List'!D:H,3,FALSE),"NA")</f>
        <v>110201</v>
      </c>
      <c r="G11" s="58" t="str">
        <f>IFERROR(VLOOKUP(D11,'Master List'!D:H,4,FALSE),"NA")</f>
        <v>110201</v>
      </c>
      <c r="H11" s="39" t="str">
        <f>IFERROR(VLOOKUP(D11,'Master List'!D:H,5,FALSE),"NA")</f>
        <v>Computer Programming/Programmer, General.</v>
      </c>
      <c r="I11" s="19"/>
      <c r="J11" s="20"/>
      <c r="K11" s="20"/>
      <c r="L11" s="21"/>
    </row>
    <row r="12" spans="1:12" x14ac:dyDescent="0.3">
      <c r="A12" s="33">
        <v>6</v>
      </c>
      <c r="B12" s="33" t="s">
        <v>2176</v>
      </c>
      <c r="C12" s="34" t="s">
        <v>380</v>
      </c>
      <c r="D12" s="51" t="s">
        <v>390</v>
      </c>
      <c r="E12" s="61" t="str">
        <f>IFERROR(VLOOKUP(D12,'Master List'!D:H,2,FALSE),"NA")</f>
        <v>110202</v>
      </c>
      <c r="F12" s="62" t="str">
        <f>IFERROR(VLOOKUP(D12,'Master List'!D:H,3,FALSE),"NA")</f>
        <v>110202</v>
      </c>
      <c r="G12" s="58" t="str">
        <f>IFERROR(VLOOKUP(D12,'Master List'!D:H,4,FALSE),"NA")</f>
        <v>110202</v>
      </c>
      <c r="H12" s="39" t="str">
        <f>IFERROR(VLOOKUP(D12,'Master List'!D:H,5,FALSE),"NA")</f>
        <v>Computer Programming, Specific Applications.</v>
      </c>
      <c r="I12" s="19"/>
      <c r="J12" s="20"/>
      <c r="K12" s="20"/>
      <c r="L12" s="21"/>
    </row>
    <row r="13" spans="1:12" x14ac:dyDescent="0.3">
      <c r="A13" s="33">
        <v>6</v>
      </c>
      <c r="B13" s="33" t="s">
        <v>2176</v>
      </c>
      <c r="C13" s="34" t="s">
        <v>380</v>
      </c>
      <c r="D13" s="51" t="s">
        <v>219</v>
      </c>
      <c r="E13" s="61" t="str">
        <f>IFERROR(VLOOKUP(D13,'Master List'!D:H,2,FALSE),"NA")</f>
        <v>111001</v>
      </c>
      <c r="F13" s="62" t="str">
        <f>IFERROR(VLOOKUP(D13,'Master List'!D:H,3,FALSE),"NA")</f>
        <v>111001</v>
      </c>
      <c r="G13" s="58" t="str">
        <f>IFERROR(VLOOKUP(D13,'Master List'!D:H,4,FALSE),"NA")</f>
        <v>111001</v>
      </c>
      <c r="H13" s="39" t="str">
        <f>IFERROR(VLOOKUP(D13,'Master List'!D:H,5,FALSE),"NA")</f>
        <v>Network and System Administration/Administrator.</v>
      </c>
      <c r="I13" s="19"/>
      <c r="J13" s="20"/>
      <c r="K13" s="20"/>
      <c r="L13" s="21"/>
    </row>
    <row r="14" spans="1:12" x14ac:dyDescent="0.3">
      <c r="A14" s="33">
        <v>6</v>
      </c>
      <c r="B14" s="33" t="s">
        <v>2176</v>
      </c>
      <c r="C14" s="34" t="s">
        <v>380</v>
      </c>
      <c r="D14" s="51" t="s">
        <v>35</v>
      </c>
      <c r="E14" s="61" t="str">
        <f>IFERROR(VLOOKUP(D14,'Master List'!D:H,2,FALSE),"NA")</f>
        <v>111001</v>
      </c>
      <c r="F14" s="62" t="str">
        <f>IFERROR(VLOOKUP(D14,'Master List'!D:H,3,FALSE),"NA")</f>
        <v>111001</v>
      </c>
      <c r="G14" s="58" t="str">
        <f>IFERROR(VLOOKUP(D14,'Master List'!D:H,4,FALSE),"NA")</f>
        <v>111001</v>
      </c>
      <c r="H14" s="39" t="str">
        <f>IFERROR(VLOOKUP(D14,'Master List'!D:H,5,FALSE),"NA")</f>
        <v>Network and System Administration/Administrator.</v>
      </c>
      <c r="I14" s="19"/>
      <c r="J14" s="20"/>
      <c r="K14" s="20"/>
      <c r="L14" s="21"/>
    </row>
    <row r="15" spans="1:12" x14ac:dyDescent="0.3">
      <c r="A15" s="33">
        <v>6</v>
      </c>
      <c r="B15" s="33" t="s">
        <v>2176</v>
      </c>
      <c r="C15" s="34" t="s">
        <v>380</v>
      </c>
      <c r="D15" s="51" t="s">
        <v>221</v>
      </c>
      <c r="E15" s="61" t="str">
        <f>IFERROR(VLOOKUP(D15,'Master List'!D:H,2,FALSE),"NA")</f>
        <v>111001</v>
      </c>
      <c r="F15" s="62" t="str">
        <f>IFERROR(VLOOKUP(D15,'Master List'!D:H,3,FALSE),"NA")</f>
        <v>111001</v>
      </c>
      <c r="G15" s="58" t="str">
        <f>IFERROR(VLOOKUP(D15,'Master List'!D:H,4,FALSE),"NA")</f>
        <v>111001</v>
      </c>
      <c r="H15" s="39" t="str">
        <f>IFERROR(VLOOKUP(D15,'Master List'!D:H,5,FALSE),"NA")</f>
        <v>Network and System Administration/Administrator.</v>
      </c>
      <c r="I15" s="19"/>
      <c r="J15" s="20"/>
      <c r="K15" s="20"/>
      <c r="L15" s="21"/>
    </row>
    <row r="16" spans="1:12" x14ac:dyDescent="0.3">
      <c r="A16" s="33">
        <v>6</v>
      </c>
      <c r="B16" s="33" t="s">
        <v>2176</v>
      </c>
      <c r="C16" s="34" t="s">
        <v>380</v>
      </c>
      <c r="D16" s="51" t="s">
        <v>393</v>
      </c>
      <c r="E16" s="61" t="str">
        <f>IFERROR(VLOOKUP(D16,'Master List'!D:H,2,FALSE),"NA")</f>
        <v>520201</v>
      </c>
      <c r="F16" s="62" t="str">
        <f>IFERROR(VLOOKUP(D16,'Master List'!D:H,3,FALSE),"NA")</f>
        <v>520201</v>
      </c>
      <c r="G16" s="58">
        <f>IFERROR(VLOOKUP(D16,'Master List'!D:H,4,FALSE),"NA")</f>
        <v>520215</v>
      </c>
      <c r="H16" s="39" t="str">
        <f>IFERROR(VLOOKUP(D16,'Master List'!D:H,5,FALSE),"NA")</f>
        <v>Risk Management</v>
      </c>
      <c r="I16" s="19"/>
      <c r="J16" s="20"/>
      <c r="K16" s="20"/>
      <c r="L16" s="21"/>
    </row>
    <row r="17" spans="1:12" x14ac:dyDescent="0.3">
      <c r="A17" s="33">
        <v>6</v>
      </c>
      <c r="B17" s="33" t="s">
        <v>2176</v>
      </c>
      <c r="C17" s="34" t="s">
        <v>380</v>
      </c>
      <c r="D17" s="51" t="s">
        <v>40</v>
      </c>
      <c r="E17" s="61" t="str">
        <f>IFERROR(VLOOKUP(D17,'Master List'!D:H,2,FALSE),"NA")</f>
        <v>520302</v>
      </c>
      <c r="F17" s="62" t="str">
        <f>IFERROR(VLOOKUP(D17,'Master List'!D:H,3,FALSE),"NA")</f>
        <v>520302</v>
      </c>
      <c r="G17" s="58" t="str">
        <f>IFERROR(VLOOKUP(D17,'Master List'!D:H,4,FALSE),"NA")</f>
        <v>520302</v>
      </c>
      <c r="H17" s="39" t="str">
        <f>IFERROR(VLOOKUP(D17,'Master List'!D:H,5,FALSE),"NA")</f>
        <v>Accounting Technology/Technician and Bookkeeping.</v>
      </c>
      <c r="I17" s="19"/>
      <c r="J17" s="20"/>
      <c r="K17" s="20"/>
      <c r="L17" s="21"/>
    </row>
    <row r="18" spans="1:12" x14ac:dyDescent="0.3">
      <c r="A18" s="33">
        <v>6</v>
      </c>
      <c r="B18" s="33" t="s">
        <v>2176</v>
      </c>
      <c r="C18" s="34" t="s">
        <v>380</v>
      </c>
      <c r="D18" s="51" t="s">
        <v>232</v>
      </c>
      <c r="E18" s="61" t="str">
        <f>IFERROR(VLOOKUP(D18,'Master List'!D:H,2,FALSE),"NA")</f>
        <v>520701</v>
      </c>
      <c r="F18" s="62" t="str">
        <f>IFERROR(VLOOKUP(D18,'Master List'!D:H,3,FALSE),"NA")</f>
        <v>520701</v>
      </c>
      <c r="G18" s="58" t="str">
        <f>IFERROR(VLOOKUP(D18,'Master List'!D:H,4,FALSE),"NA")</f>
        <v>520701</v>
      </c>
      <c r="H18" s="39" t="str">
        <f>IFERROR(VLOOKUP(D18,'Master List'!D:H,5,FALSE),"NA")</f>
        <v>Entrepreneurship/Entrepreneurial Studies.</v>
      </c>
      <c r="I18" s="19"/>
      <c r="J18" s="20"/>
      <c r="K18" s="20"/>
      <c r="L18" s="21"/>
    </row>
    <row r="19" spans="1:12" x14ac:dyDescent="0.3">
      <c r="A19" s="33">
        <v>6</v>
      </c>
      <c r="B19" s="33" t="s">
        <v>2176</v>
      </c>
      <c r="C19" s="34" t="s">
        <v>380</v>
      </c>
      <c r="D19" s="51" t="s">
        <v>394</v>
      </c>
      <c r="E19" s="61" t="str">
        <f>IFERROR(VLOOKUP(D19,'Master List'!D:H,2,FALSE),"NA")</f>
        <v>520703</v>
      </c>
      <c r="F19" s="62" t="str">
        <f>IFERROR(VLOOKUP(D19,'Master List'!D:H,3,FALSE),"NA")</f>
        <v>520703</v>
      </c>
      <c r="G19" s="58" t="str">
        <f>IFERROR(VLOOKUP(D19,'Master List'!D:H,4,FALSE),"NA")</f>
        <v>520703</v>
      </c>
      <c r="H19" s="39" t="str">
        <f>IFERROR(VLOOKUP(D19,'Master List'!D:H,5,FALSE),"NA")</f>
        <v>Small Business Administration/Management.</v>
      </c>
      <c r="I19" s="19"/>
      <c r="J19" s="20"/>
      <c r="K19" s="20"/>
      <c r="L19" s="21"/>
    </row>
    <row r="20" spans="1:12" x14ac:dyDescent="0.3">
      <c r="A20" s="33">
        <v>6</v>
      </c>
      <c r="B20" s="33" t="s">
        <v>2176</v>
      </c>
      <c r="C20" s="34" t="s">
        <v>380</v>
      </c>
      <c r="D20" s="51" t="s">
        <v>43</v>
      </c>
      <c r="E20" s="61" t="str">
        <f>IFERROR(VLOOKUP(D20,'Master List'!D:H,2,FALSE),"NA")</f>
        <v>100105</v>
      </c>
      <c r="F20" s="62" t="str">
        <f>IFERROR(VLOOKUP(D20,'Master List'!D:H,3,FALSE),"NA")</f>
        <v>100105</v>
      </c>
      <c r="G20" s="58" t="str">
        <f>IFERROR(VLOOKUP(D20,'Master List'!D:H,4,FALSE),"NA")</f>
        <v>100105</v>
      </c>
      <c r="H20" s="39" t="str">
        <f>IFERROR(VLOOKUP(D20,'Master List'!D:H,5,FALSE),"NA")</f>
        <v>Communications Technology/Technician.</v>
      </c>
      <c r="I20" s="19"/>
      <c r="J20" s="20"/>
      <c r="K20" s="20"/>
      <c r="L20" s="21"/>
    </row>
    <row r="21" spans="1:12" x14ac:dyDescent="0.3">
      <c r="A21" s="33">
        <v>6</v>
      </c>
      <c r="B21" s="33" t="s">
        <v>2176</v>
      </c>
      <c r="C21" s="34" t="s">
        <v>380</v>
      </c>
      <c r="D21" s="51" t="s">
        <v>271</v>
      </c>
      <c r="E21" s="61" t="str">
        <f>IFERROR(VLOOKUP(D21,'Master List'!D:H,2,FALSE),"NA")</f>
        <v>410301</v>
      </c>
      <c r="F21" s="62" t="str">
        <f>IFERROR(VLOOKUP(D21,'Master List'!D:H,3,FALSE),"NA")</f>
        <v>410301</v>
      </c>
      <c r="G21" s="58" t="str">
        <f>IFERROR(VLOOKUP(D21,'Master List'!D:H,4,FALSE),"NA")</f>
        <v>410301</v>
      </c>
      <c r="H21" s="39" t="str">
        <f>IFERROR(VLOOKUP(D21,'Master List'!D:H,5,FALSE),"NA")</f>
        <v>Chemical Technology/Technician.</v>
      </c>
      <c r="I21" s="19"/>
      <c r="J21" s="20"/>
      <c r="K21" s="20"/>
      <c r="L21" s="21"/>
    </row>
    <row r="22" spans="1:12" x14ac:dyDescent="0.3">
      <c r="A22" s="33">
        <v>6</v>
      </c>
      <c r="B22" s="33" t="s">
        <v>2176</v>
      </c>
      <c r="C22" s="34" t="s">
        <v>380</v>
      </c>
      <c r="D22" s="51" t="s">
        <v>62</v>
      </c>
      <c r="E22" s="61" t="str">
        <f>IFERROR(VLOOKUP(D22,'Master List'!D:H,2,FALSE),"NA")</f>
        <v>500602</v>
      </c>
      <c r="F22" s="62" t="str">
        <f>IFERROR(VLOOKUP(D22,'Master List'!D:H,3,FALSE),"NA")</f>
        <v>500602</v>
      </c>
      <c r="G22" s="58">
        <f>IFERROR(VLOOKUP(D22,'Master List'!D:H,4,FALSE),"NA")</f>
        <v>100203</v>
      </c>
      <c r="H22" s="39" t="str">
        <f>IFERROR(VLOOKUP(D22,'Master List'!D:H,5,FALSE),"NA")</f>
        <v>Recording Arts Technology/Technician</v>
      </c>
      <c r="I22" s="19"/>
      <c r="J22" s="20"/>
      <c r="K22" s="20"/>
      <c r="L22" s="21"/>
    </row>
    <row r="23" spans="1:12" x14ac:dyDescent="0.3">
      <c r="A23" s="33">
        <v>6</v>
      </c>
      <c r="B23" s="33" t="s">
        <v>2176</v>
      </c>
      <c r="C23" s="34" t="s">
        <v>380</v>
      </c>
      <c r="D23" s="51" t="s">
        <v>395</v>
      </c>
      <c r="E23" s="61" t="str">
        <f>IFERROR(VLOOKUP(D23,'Master List'!D:H,2,FALSE),"NA")</f>
        <v>430106</v>
      </c>
      <c r="F23" s="62" t="str">
        <f>IFERROR(VLOOKUP(D23,'Master List'!D:H,3,FALSE),"NA")</f>
        <v>430406</v>
      </c>
      <c r="G23" s="58" t="str">
        <f>IFERROR(VLOOKUP(D23,'Master List'!D:H,4,FALSE),"NA")</f>
        <v>430406</v>
      </c>
      <c r="H23" s="39" t="str">
        <f>IFERROR(VLOOKUP(D23,'Master List'!D:H,5,FALSE),"NA")</f>
        <v>Forensic Science and Technology.</v>
      </c>
      <c r="I23" s="19"/>
      <c r="J23" s="20"/>
      <c r="K23" s="20"/>
      <c r="L23" s="21"/>
    </row>
    <row r="24" spans="1:12" x14ac:dyDescent="0.3">
      <c r="A24" s="33">
        <v>6</v>
      </c>
      <c r="B24" s="33" t="s">
        <v>2176</v>
      </c>
      <c r="C24" s="34" t="s">
        <v>380</v>
      </c>
      <c r="D24" s="51" t="s">
        <v>75</v>
      </c>
      <c r="E24" s="61" t="str">
        <f>IFERROR(VLOOKUP(D24,'Master List'!D:H,2,FALSE),"NA")</f>
        <v>430203</v>
      </c>
      <c r="F24" s="62" t="str">
        <f>IFERROR(VLOOKUP(D24,'Master List'!D:H,3,FALSE),"NA")</f>
        <v>430203</v>
      </c>
      <c r="G24" s="58" t="str">
        <f>IFERROR(VLOOKUP(D24,'Master List'!D:H,4,FALSE),"NA")</f>
        <v>430203</v>
      </c>
      <c r="H24" s="39" t="str">
        <f>IFERROR(VLOOKUP(D24,'Master List'!D:H,5,FALSE),"NA")</f>
        <v>Fire Science/Fire-fighting.</v>
      </c>
      <c r="I24" s="19"/>
      <c r="J24" s="20"/>
      <c r="K24" s="20"/>
      <c r="L24" s="21"/>
    </row>
    <row r="25" spans="1:12" x14ac:dyDescent="0.3">
      <c r="A25" s="33">
        <v>6</v>
      </c>
      <c r="B25" s="33" t="s">
        <v>2176</v>
      </c>
      <c r="C25" s="34" t="s">
        <v>380</v>
      </c>
      <c r="D25" s="51" t="s">
        <v>84</v>
      </c>
      <c r="E25" s="61" t="str">
        <f>IFERROR(VLOOKUP(D25,'Master List'!D:H,2,FALSE),"NA")</f>
        <v>510602</v>
      </c>
      <c r="F25" s="62" t="str">
        <f>IFERROR(VLOOKUP(D25,'Master List'!D:H,3,FALSE),"NA")</f>
        <v>510602</v>
      </c>
      <c r="G25" s="58" t="str">
        <f>IFERROR(VLOOKUP(D25,'Master List'!D:H,4,FALSE),"NA")</f>
        <v>510602</v>
      </c>
      <c r="H25" s="39" t="str">
        <f>IFERROR(VLOOKUP(D25,'Master List'!D:H,5,FALSE),"NA")</f>
        <v>Dental Hygiene/Hygienist.</v>
      </c>
      <c r="I25" s="19"/>
      <c r="J25" s="20"/>
      <c r="K25" s="20"/>
      <c r="L25" s="21"/>
    </row>
    <row r="26" spans="1:12" x14ac:dyDescent="0.3">
      <c r="A26" s="33">
        <v>6</v>
      </c>
      <c r="B26" s="33" t="s">
        <v>2176</v>
      </c>
      <c r="C26" s="34" t="s">
        <v>380</v>
      </c>
      <c r="D26" s="51" t="s">
        <v>325</v>
      </c>
      <c r="E26" s="61" t="str">
        <f>IFERROR(VLOOKUP(D26,'Master List'!D:H,2,FALSE),"NA")</f>
        <v>510707</v>
      </c>
      <c r="F26" s="62" t="str">
        <f>IFERROR(VLOOKUP(D26,'Master List'!D:H,3,FALSE),"NA")</f>
        <v>510707</v>
      </c>
      <c r="G26" s="58" t="str">
        <f>IFERROR(VLOOKUP(D26,'Master List'!D:H,4,FALSE),"NA")</f>
        <v>510707</v>
      </c>
      <c r="H26" s="39" t="str">
        <f>IFERROR(VLOOKUP(D26,'Master List'!D:H,5,FALSE),"NA")</f>
        <v>Health Information/Medical Records Technology/Technician.</v>
      </c>
      <c r="I26" s="19"/>
      <c r="J26" s="20"/>
      <c r="K26" s="20"/>
      <c r="L26" s="21"/>
    </row>
    <row r="27" spans="1:12" x14ac:dyDescent="0.3">
      <c r="A27" s="33">
        <v>6</v>
      </c>
      <c r="B27" s="33" t="s">
        <v>2176</v>
      </c>
      <c r="C27" s="34" t="s">
        <v>380</v>
      </c>
      <c r="D27" s="51" t="s">
        <v>328</v>
      </c>
      <c r="E27" s="61" t="str">
        <f>IFERROR(VLOOKUP(D27,'Master List'!D:H,2,FALSE),"NA")</f>
        <v>510901</v>
      </c>
      <c r="F27" s="62" t="str">
        <f>IFERROR(VLOOKUP(D27,'Master List'!D:H,3,FALSE),"NA")</f>
        <v>510901</v>
      </c>
      <c r="G27" s="58" t="str">
        <f>IFERROR(VLOOKUP(D27,'Master List'!D:H,4,FALSE),"NA")</f>
        <v>510901</v>
      </c>
      <c r="H27" s="39" t="str">
        <f>IFERROR(VLOOKUP(D27,'Master List'!D:H,5,FALSE),"NA")</f>
        <v>Cardiovascular Technology/Technologist.</v>
      </c>
      <c r="I27" s="19"/>
      <c r="J27" s="20"/>
      <c r="K27" s="20"/>
      <c r="L27" s="21"/>
    </row>
    <row r="28" spans="1:12" x14ac:dyDescent="0.3">
      <c r="A28" s="33">
        <v>6</v>
      </c>
      <c r="B28" s="33" t="s">
        <v>2176</v>
      </c>
      <c r="C28" s="34" t="s">
        <v>380</v>
      </c>
      <c r="D28" s="51" t="s">
        <v>90</v>
      </c>
      <c r="E28" s="61" t="str">
        <f>IFERROR(VLOOKUP(D28,'Master List'!D:H,2,FALSE),"NA")</f>
        <v>510904</v>
      </c>
      <c r="F28" s="62" t="str">
        <f>IFERROR(VLOOKUP(D28,'Master List'!D:H,3,FALSE),"NA")</f>
        <v>510904</v>
      </c>
      <c r="G28" s="58" t="str">
        <f>IFERROR(VLOOKUP(D28,'Master List'!D:H,4,FALSE),"NA")</f>
        <v>510904</v>
      </c>
      <c r="H28" s="39" t="str">
        <f>IFERROR(VLOOKUP(D28,'Master List'!D:H,5,FALSE),"NA")</f>
        <v>Emergency Medical Technology/Technician (EMT Paramedic).</v>
      </c>
      <c r="I28" s="19"/>
      <c r="J28" s="20"/>
      <c r="K28" s="20"/>
      <c r="L28" s="21"/>
    </row>
    <row r="29" spans="1:12" x14ac:dyDescent="0.3">
      <c r="A29" s="33">
        <v>6</v>
      </c>
      <c r="B29" s="33" t="s">
        <v>2176</v>
      </c>
      <c r="C29" s="34" t="s">
        <v>380</v>
      </c>
      <c r="D29" s="51" t="s">
        <v>91</v>
      </c>
      <c r="E29" s="61" t="str">
        <f>IFERROR(VLOOKUP(D29,'Master List'!D:H,2,FALSE),"NA")</f>
        <v>510907</v>
      </c>
      <c r="F29" s="62" t="str">
        <f>IFERROR(VLOOKUP(D29,'Master List'!D:H,3,FALSE),"NA")</f>
        <v>510907</v>
      </c>
      <c r="G29" s="58">
        <f>IFERROR(VLOOKUP(D29,'Master List'!D:H,4,FALSE),"NA")</f>
        <v>510911</v>
      </c>
      <c r="H29" s="39" t="str">
        <f>IFERROR(VLOOKUP(D29,'Master List'!D:H,5,FALSE),"NA")</f>
        <v>Radiologic Technology/Science - Radiographer</v>
      </c>
      <c r="I29" s="19"/>
      <c r="J29" s="20"/>
      <c r="K29" s="20"/>
      <c r="L29" s="21"/>
    </row>
    <row r="30" spans="1:12" x14ac:dyDescent="0.3">
      <c r="A30" s="33">
        <v>6</v>
      </c>
      <c r="B30" s="33" t="s">
        <v>2176</v>
      </c>
      <c r="C30" s="34" t="s">
        <v>380</v>
      </c>
      <c r="D30" s="51" t="s">
        <v>94</v>
      </c>
      <c r="E30" s="61" t="str">
        <f>IFERROR(VLOOKUP(D30,'Master List'!D:H,2,FALSE),"NA")</f>
        <v>510908</v>
      </c>
      <c r="F30" s="62" t="str">
        <f>IFERROR(VLOOKUP(D30,'Master List'!D:H,3,FALSE),"NA")</f>
        <v>510908</v>
      </c>
      <c r="G30" s="58" t="str">
        <f>IFERROR(VLOOKUP(D30,'Master List'!D:H,4,FALSE),"NA")</f>
        <v>510908</v>
      </c>
      <c r="H30" s="39" t="str">
        <f>IFERROR(VLOOKUP(D30,'Master List'!D:H,5,FALSE),"NA")</f>
        <v>Respiratory Care Therapy/Therapist.</v>
      </c>
      <c r="I30" s="19"/>
      <c r="J30" s="20"/>
      <c r="K30" s="20"/>
      <c r="L30" s="21"/>
    </row>
    <row r="31" spans="1:12" x14ac:dyDescent="0.3">
      <c r="A31" s="33">
        <v>6</v>
      </c>
      <c r="B31" s="33" t="s">
        <v>2176</v>
      </c>
      <c r="C31" s="34" t="s">
        <v>380</v>
      </c>
      <c r="D31" s="51" t="s">
        <v>399</v>
      </c>
      <c r="E31" s="61" t="str">
        <f>IFERROR(VLOOKUP(D31,'Master List'!D:H,2,FALSE),"NA")</f>
        <v>NA</v>
      </c>
      <c r="F31" s="62" t="str">
        <f>IFERROR(VLOOKUP(D31,'Master List'!D:H,3,FALSE),"NA")</f>
        <v>NA</v>
      </c>
      <c r="G31" s="58" t="str">
        <f>IFERROR(VLOOKUP(D31,'Master List'!D:H,4,FALSE),"NA")</f>
        <v>NA</v>
      </c>
      <c r="H31" s="39" t="str">
        <f>IFERROR(VLOOKUP(D31,'Master List'!D:H,5,FALSE),"NA")</f>
        <v>NA</v>
      </c>
      <c r="I31" s="19"/>
      <c r="J31" s="20"/>
      <c r="K31" s="20"/>
      <c r="L31" s="21"/>
    </row>
    <row r="32" spans="1:12" x14ac:dyDescent="0.3">
      <c r="A32" s="33">
        <v>6</v>
      </c>
      <c r="B32" s="33" t="s">
        <v>2176</v>
      </c>
      <c r="C32" s="34" t="s">
        <v>380</v>
      </c>
      <c r="D32" s="51" t="s">
        <v>101</v>
      </c>
      <c r="E32" s="61" t="str">
        <f>IFERROR(VLOOKUP(D32,'Master List'!D:H,2,FALSE),"NA")</f>
        <v>513801</v>
      </c>
      <c r="F32" s="62" t="str">
        <f>IFERROR(VLOOKUP(D32,'Master List'!D:H,3,FALSE),"NA")</f>
        <v>513801</v>
      </c>
      <c r="G32" s="58" t="str">
        <f>IFERROR(VLOOKUP(D32,'Master List'!D:H,4,FALSE),"NA")</f>
        <v>513801</v>
      </c>
      <c r="H32" s="39" t="str">
        <f>IFERROR(VLOOKUP(D32,'Master List'!D:H,5,FALSE),"NA")</f>
        <v>Registered Nursing/Registered Nurse.</v>
      </c>
      <c r="I32" s="19"/>
      <c r="J32" s="20"/>
      <c r="K32" s="20"/>
      <c r="L32" s="21"/>
    </row>
    <row r="33" spans="1:12" x14ac:dyDescent="0.3">
      <c r="A33" s="33">
        <v>6</v>
      </c>
      <c r="B33" s="33" t="s">
        <v>2176</v>
      </c>
      <c r="C33" s="34" t="s">
        <v>380</v>
      </c>
      <c r="D33" s="51" t="s">
        <v>400</v>
      </c>
      <c r="E33" s="61" t="str">
        <f>IFERROR(VLOOKUP(D33,'Master List'!D:H,2,FALSE),"NA")</f>
        <v>131210</v>
      </c>
      <c r="F33" s="62" t="str">
        <f>IFERROR(VLOOKUP(D33,'Master List'!D:H,3,FALSE),"NA")</f>
        <v>131210</v>
      </c>
      <c r="G33" s="58" t="str">
        <f>IFERROR(VLOOKUP(D33,'Master List'!D:H,4,FALSE),"NA")</f>
        <v>131210</v>
      </c>
      <c r="H33" s="39" t="str">
        <f>IFERROR(VLOOKUP(D33,'Master List'!D:H,5,FALSE),"NA")</f>
        <v>Early Childhood Education and Teaching.</v>
      </c>
      <c r="I33" s="19"/>
      <c r="J33" s="20"/>
      <c r="K33" s="20"/>
      <c r="L33" s="21"/>
    </row>
    <row r="34" spans="1:12" x14ac:dyDescent="0.3">
      <c r="A34" s="33">
        <v>6</v>
      </c>
      <c r="B34" s="33" t="s">
        <v>2176</v>
      </c>
      <c r="C34" s="34" t="s">
        <v>380</v>
      </c>
      <c r="D34" s="51" t="s">
        <v>403</v>
      </c>
      <c r="E34" s="61" t="str">
        <f>IFERROR(VLOOKUP(D34,'Master List'!D:H,2,FALSE),"NA")</f>
        <v>511599</v>
      </c>
      <c r="F34" s="62" t="str">
        <f>IFERROR(VLOOKUP(D34,'Master List'!D:H,3,FALSE),"NA")</f>
        <v>511599</v>
      </c>
      <c r="G34" s="58" t="str">
        <f>IFERROR(VLOOKUP(D34,'Master List'!D:H,4,FALSE),"NA")</f>
        <v>511599</v>
      </c>
      <c r="H34" s="39" t="str">
        <f>IFERROR(VLOOKUP(D34,'Master List'!D:H,5,FALSE),"NA")</f>
        <v>Mental and Social Health Services and Allied Professions, Other.</v>
      </c>
      <c r="I34" s="19"/>
      <c r="J34" s="20"/>
      <c r="K34" s="20"/>
      <c r="L34" s="21"/>
    </row>
    <row r="35" spans="1:12" x14ac:dyDescent="0.3">
      <c r="A35" s="33">
        <v>6</v>
      </c>
      <c r="B35" s="33" t="s">
        <v>2176</v>
      </c>
      <c r="C35" s="34" t="s">
        <v>380</v>
      </c>
      <c r="D35" s="51" t="s">
        <v>105</v>
      </c>
      <c r="E35" s="61" t="str">
        <f>IFERROR(VLOOKUP(D35,'Master List'!D:H,2,FALSE),"NA")</f>
        <v>NA</v>
      </c>
      <c r="F35" s="62" t="str">
        <f>IFERROR(VLOOKUP(D35,'Master List'!D:H,3,FALSE),"NA")</f>
        <v>NA</v>
      </c>
      <c r="G35" s="58" t="str">
        <f>IFERROR(VLOOKUP(D35,'Master List'!D:H,4,FALSE),"NA")</f>
        <v>NA</v>
      </c>
      <c r="H35" s="39" t="str">
        <f>IFERROR(VLOOKUP(D35,'Master List'!D:H,5,FALSE),"NA")</f>
        <v>NA</v>
      </c>
      <c r="I35" s="19"/>
      <c r="J35" s="20"/>
      <c r="K35" s="20"/>
      <c r="L35" s="21"/>
    </row>
    <row r="36" spans="1:12" x14ac:dyDescent="0.3">
      <c r="A36" s="33">
        <v>6</v>
      </c>
      <c r="B36" s="33" t="s">
        <v>2176</v>
      </c>
      <c r="C36" s="34" t="s">
        <v>380</v>
      </c>
      <c r="D36" s="51" t="s">
        <v>404</v>
      </c>
      <c r="E36" s="61" t="str">
        <f>IFERROR(VLOOKUP(D36,'Master List'!D:H,2,FALSE),"NA")</f>
        <v>110801</v>
      </c>
      <c r="F36" s="62" t="str">
        <f>IFERROR(VLOOKUP(D36,'Master List'!D:H,3,FALSE),"NA")</f>
        <v>110801</v>
      </c>
      <c r="G36" s="58" t="str">
        <f>IFERROR(VLOOKUP(D36,'Master List'!D:H,4,FALSE),"NA")</f>
        <v>110801</v>
      </c>
      <c r="H36" s="39" t="str">
        <f>IFERROR(VLOOKUP(D36,'Master List'!D:H,5,FALSE),"NA")</f>
        <v>Web Page, Digital/Multimedia and Information Resources Design.</v>
      </c>
      <c r="I36" s="19"/>
      <c r="J36" s="20"/>
      <c r="K36" s="20"/>
      <c r="L36" s="21"/>
    </row>
    <row r="37" spans="1:12" x14ac:dyDescent="0.3">
      <c r="A37" s="33">
        <v>6</v>
      </c>
      <c r="B37" s="33" t="s">
        <v>2176</v>
      </c>
      <c r="C37" s="34" t="s">
        <v>380</v>
      </c>
      <c r="D37" s="51" t="s">
        <v>106</v>
      </c>
      <c r="E37" s="61" t="str">
        <f>IFERROR(VLOOKUP(D37,'Master List'!D:H,2,FALSE),"NA")</f>
        <v>111001</v>
      </c>
      <c r="F37" s="62" t="str">
        <f>IFERROR(VLOOKUP(D37,'Master List'!D:H,3,FALSE),"NA")</f>
        <v>111001</v>
      </c>
      <c r="G37" s="58" t="str">
        <f>IFERROR(VLOOKUP(D37,'Master List'!D:H,4,FALSE),"NA")</f>
        <v>111001</v>
      </c>
      <c r="H37" s="39" t="str">
        <f>IFERROR(VLOOKUP(D37,'Master List'!D:H,5,FALSE),"NA")</f>
        <v>Network and System Administration/Administrator.</v>
      </c>
      <c r="I37" s="19"/>
      <c r="J37" s="20"/>
      <c r="K37" s="20"/>
      <c r="L37" s="21"/>
    </row>
    <row r="38" spans="1:12" x14ac:dyDescent="0.3">
      <c r="A38" s="33">
        <v>6</v>
      </c>
      <c r="B38" s="33" t="s">
        <v>2176</v>
      </c>
      <c r="C38" s="34" t="s">
        <v>380</v>
      </c>
      <c r="D38" s="51" t="s">
        <v>107</v>
      </c>
      <c r="E38" s="61" t="str">
        <f>IFERROR(VLOOKUP(D38,'Master List'!D:H,2,FALSE),"NA")</f>
        <v>520201</v>
      </c>
      <c r="F38" s="62" t="str">
        <f>IFERROR(VLOOKUP(D38,'Master List'!D:H,3,FALSE),"NA")</f>
        <v>520201</v>
      </c>
      <c r="G38" s="58" t="str">
        <f>IFERROR(VLOOKUP(D38,'Master List'!D:H,4,FALSE),"NA")</f>
        <v>520201</v>
      </c>
      <c r="H38" s="39" t="str">
        <f>IFERROR(VLOOKUP(D38,'Master List'!D:H,5,FALSE),"NA")</f>
        <v>Business Administration and Management, General.</v>
      </c>
      <c r="I38" s="19"/>
      <c r="J38" s="20"/>
      <c r="K38" s="20"/>
      <c r="L38" s="21"/>
    </row>
    <row r="39" spans="1:12" x14ac:dyDescent="0.3">
      <c r="A39" s="33">
        <v>6</v>
      </c>
      <c r="B39" s="33" t="s">
        <v>2176</v>
      </c>
      <c r="C39" s="34" t="s">
        <v>380</v>
      </c>
      <c r="D39" s="51" t="s">
        <v>352</v>
      </c>
      <c r="E39" s="61" t="str">
        <f>IFERROR(VLOOKUP(D39,'Master List'!D:H,2,FALSE),"NA")</f>
        <v>NA</v>
      </c>
      <c r="F39" s="62" t="str">
        <f>IFERROR(VLOOKUP(D39,'Master List'!D:H,3,FALSE),"NA")</f>
        <v>NA</v>
      </c>
      <c r="G39" s="58" t="str">
        <f>IFERROR(VLOOKUP(D39,'Master List'!D:H,4,FALSE),"NA")</f>
        <v>NA</v>
      </c>
      <c r="H39" s="39" t="str">
        <f>IFERROR(VLOOKUP(D39,'Master List'!D:H,5,FALSE),"NA")</f>
        <v>NA</v>
      </c>
      <c r="I39" s="19"/>
      <c r="J39" s="20"/>
      <c r="K39" s="20"/>
      <c r="L39" s="21"/>
    </row>
    <row r="40" spans="1:12" x14ac:dyDescent="0.3">
      <c r="A40" s="33">
        <v>6</v>
      </c>
      <c r="B40" s="33" t="s">
        <v>2176</v>
      </c>
      <c r="C40" s="34" t="s">
        <v>380</v>
      </c>
      <c r="D40" s="51" t="s">
        <v>353</v>
      </c>
      <c r="E40" s="61" t="str">
        <f>IFERROR(VLOOKUP(D40,'Master List'!D:H,2,FALSE),"NA")</f>
        <v>040901</v>
      </c>
      <c r="F40" s="62" t="str">
        <f>IFERROR(VLOOKUP(D40,'Master List'!D:H,3,FALSE),"NA")</f>
        <v>040901</v>
      </c>
      <c r="G40" s="58" t="str">
        <f>IFERROR(VLOOKUP(D40,'Master List'!D:H,4,FALSE),"NA")</f>
        <v>040901</v>
      </c>
      <c r="H40" s="39" t="str">
        <f>IFERROR(VLOOKUP(D40,'Master List'!D:H,5,FALSE),"NA")</f>
        <v>Architectural Technology/Technician.</v>
      </c>
      <c r="I40" s="19"/>
      <c r="J40" s="20"/>
      <c r="K40" s="20"/>
      <c r="L40" s="21"/>
    </row>
    <row r="41" spans="1:12" x14ac:dyDescent="0.3">
      <c r="A41" s="33">
        <v>6</v>
      </c>
      <c r="B41" s="33" t="s">
        <v>2176</v>
      </c>
      <c r="C41" s="34" t="s">
        <v>380</v>
      </c>
      <c r="D41" s="51" t="s">
        <v>405</v>
      </c>
      <c r="E41" s="61" t="str">
        <f>IFERROR(VLOOKUP(D41,'Master List'!D:H,2,FALSE),"NA")</f>
        <v>151301</v>
      </c>
      <c r="F41" s="62" t="str">
        <f>IFERROR(VLOOKUP(D41,'Master List'!D:H,3,FALSE),"NA")</f>
        <v>151301</v>
      </c>
      <c r="G41" s="58">
        <f>IFERROR(VLOOKUP(D41,'Master List'!D:H,4,FALSE),"NA")</f>
        <v>151302</v>
      </c>
      <c r="H41" s="39" t="str">
        <f>IFERROR(VLOOKUP(D41,'Master List'!D:H,5,FALSE),"NA")</f>
        <v>CAD/CADD Drafting and/or Design Technology/Technician</v>
      </c>
      <c r="I41" s="19"/>
      <c r="J41" s="20"/>
      <c r="K41" s="20"/>
      <c r="L41" s="21"/>
    </row>
    <row r="42" spans="1:12" x14ac:dyDescent="0.3">
      <c r="A42" s="33">
        <v>6</v>
      </c>
      <c r="B42" s="33" t="s">
        <v>2176</v>
      </c>
      <c r="C42" s="34" t="s">
        <v>380</v>
      </c>
      <c r="D42" s="51" t="s">
        <v>406</v>
      </c>
      <c r="E42" s="61" t="str">
        <f>IFERROR(VLOOKUP(D42,'Master List'!D:H,2,FALSE),"NA")</f>
        <v>410301</v>
      </c>
      <c r="F42" s="62" t="str">
        <f>IFERROR(VLOOKUP(D42,'Master List'!D:H,3,FALSE),"NA")</f>
        <v>410301</v>
      </c>
      <c r="G42" s="58" t="str">
        <f>IFERROR(VLOOKUP(D42,'Master List'!D:H,4,FALSE),"NA")</f>
        <v>410301</v>
      </c>
      <c r="H42" s="39" t="str">
        <f>IFERROR(VLOOKUP(D42,'Master List'!D:H,5,FALSE),"NA")</f>
        <v>Chemical Technology/Technician.</v>
      </c>
      <c r="I42" s="19"/>
      <c r="J42" s="20"/>
      <c r="K42" s="20"/>
      <c r="L42" s="21"/>
    </row>
    <row r="43" spans="1:12" x14ac:dyDescent="0.3">
      <c r="A43" s="33">
        <v>6</v>
      </c>
      <c r="B43" s="33" t="s">
        <v>2176</v>
      </c>
      <c r="C43" s="34" t="s">
        <v>380</v>
      </c>
      <c r="D43" s="51" t="s">
        <v>124</v>
      </c>
      <c r="E43" s="61" t="str">
        <f>IFERROR(VLOOKUP(D43,'Master List'!D:H,2,FALSE),"NA")</f>
        <v>150201</v>
      </c>
      <c r="F43" s="62" t="str">
        <f>IFERROR(VLOOKUP(D43,'Master List'!D:H,3,FALSE),"NA")</f>
        <v>150201</v>
      </c>
      <c r="G43" s="58" t="str">
        <f>IFERROR(VLOOKUP(D43,'Master List'!D:H,4,FALSE),"NA")</f>
        <v>150201</v>
      </c>
      <c r="H43" s="39" t="str">
        <f>IFERROR(VLOOKUP(D43,'Master List'!D:H,5,FALSE),"NA")</f>
        <v>Civil Engineering Technologies/Technicians.</v>
      </c>
      <c r="I43" s="19"/>
      <c r="J43" s="20"/>
      <c r="K43" s="20"/>
      <c r="L43" s="21"/>
    </row>
    <row r="44" spans="1:12" x14ac:dyDescent="0.3">
      <c r="A44" s="33">
        <v>6</v>
      </c>
      <c r="B44" s="33" t="s">
        <v>2176</v>
      </c>
      <c r="C44" s="34" t="s">
        <v>380</v>
      </c>
      <c r="D44" s="51" t="s">
        <v>125</v>
      </c>
      <c r="E44" s="61" t="str">
        <f>IFERROR(VLOOKUP(D44,'Master List'!D:H,2,FALSE),"NA")</f>
        <v>220302</v>
      </c>
      <c r="F44" s="62" t="str">
        <f>IFERROR(VLOOKUP(D44,'Master List'!D:H,3,FALSE),"NA")</f>
        <v>220302</v>
      </c>
      <c r="G44" s="58" t="str">
        <f>IFERROR(VLOOKUP(D44,'Master List'!D:H,4,FALSE),"NA")</f>
        <v>220302</v>
      </c>
      <c r="H44" s="39" t="str">
        <f>IFERROR(VLOOKUP(D44,'Master List'!D:H,5,FALSE),"NA")</f>
        <v>Legal Assistant/Paralegal.</v>
      </c>
      <c r="I44" s="19"/>
      <c r="J44" s="20"/>
      <c r="K44" s="20"/>
      <c r="L44" s="21"/>
    </row>
    <row r="45" spans="1:12" x14ac:dyDescent="0.3">
      <c r="A45" s="33">
        <v>6</v>
      </c>
      <c r="B45" s="33" t="s">
        <v>2176</v>
      </c>
      <c r="C45" s="34" t="s">
        <v>380</v>
      </c>
      <c r="D45" s="51" t="s">
        <v>128</v>
      </c>
      <c r="E45" s="61" t="str">
        <f>IFERROR(VLOOKUP(D45,'Master List'!D:H,2,FALSE),"NA")</f>
        <v>430103</v>
      </c>
      <c r="F45" s="62" t="str">
        <f>IFERROR(VLOOKUP(D45,'Master List'!D:H,3,FALSE),"NA")</f>
        <v>430103</v>
      </c>
      <c r="G45" s="58" t="str">
        <f>IFERROR(VLOOKUP(D45,'Master List'!D:H,4,FALSE),"NA")</f>
        <v>430103</v>
      </c>
      <c r="H45" s="39" t="str">
        <f>IFERROR(VLOOKUP(D45,'Master List'!D:H,5,FALSE),"NA")</f>
        <v>Criminal Justice/Law Enforcement Administration.</v>
      </c>
      <c r="I45" s="19"/>
      <c r="J45" s="20"/>
      <c r="K45" s="20"/>
      <c r="L45" s="21"/>
    </row>
    <row r="46" spans="1:12" x14ac:dyDescent="0.3">
      <c r="A46" s="33">
        <v>6</v>
      </c>
      <c r="B46" s="33" t="s">
        <v>2176</v>
      </c>
      <c r="C46" s="34" t="s">
        <v>380</v>
      </c>
      <c r="D46" s="51" t="s">
        <v>407</v>
      </c>
      <c r="E46" s="61" t="str">
        <f>IFERROR(VLOOKUP(D46,'Master List'!D:H,2,FALSE),"NA")</f>
        <v>430106</v>
      </c>
      <c r="F46" s="62" t="str">
        <f>IFERROR(VLOOKUP(D46,'Master List'!D:H,3,FALSE),"NA")</f>
        <v>430406</v>
      </c>
      <c r="G46" s="58" t="str">
        <f>IFERROR(VLOOKUP(D46,'Master List'!D:H,4,FALSE),"NA")</f>
        <v>430406</v>
      </c>
      <c r="H46" s="39" t="str">
        <f>IFERROR(VLOOKUP(D46,'Master List'!D:H,5,FALSE),"NA")</f>
        <v>Forensic Science and Technology.</v>
      </c>
      <c r="I46" s="19"/>
      <c r="J46" s="20"/>
      <c r="K46" s="20"/>
      <c r="L46" s="21"/>
    </row>
    <row r="47" spans="1:12" x14ac:dyDescent="0.3">
      <c r="A47" s="33">
        <v>6</v>
      </c>
      <c r="B47" s="33" t="s">
        <v>2176</v>
      </c>
      <c r="C47" s="34" t="s">
        <v>380</v>
      </c>
      <c r="D47" s="51" t="s">
        <v>131</v>
      </c>
      <c r="E47" s="61" t="str">
        <f>IFERROR(VLOOKUP(D47,'Master List'!D:H,2,FALSE),"NA")</f>
        <v>NA</v>
      </c>
      <c r="F47" s="62" t="str">
        <f>IFERROR(VLOOKUP(D47,'Master List'!D:H,3,FALSE),"NA")</f>
        <v>NA</v>
      </c>
      <c r="G47" s="58" t="str">
        <f>IFERROR(VLOOKUP(D47,'Master List'!D:H,4,FALSE),"NA")</f>
        <v>NA</v>
      </c>
      <c r="H47" s="39" t="str">
        <f>IFERROR(VLOOKUP(D47,'Master List'!D:H,5,FALSE),"NA")</f>
        <v>NA</v>
      </c>
      <c r="I47" s="19"/>
      <c r="J47" s="20"/>
      <c r="K47" s="20"/>
      <c r="L47" s="21"/>
    </row>
  </sheetData>
  <sheetProtection algorithmName="SHA-512" hashValue="6+5EwwOYg4JE+DLfpiRYHfUZ3qRNjEmDydMNQ8PGI1YpLg8lk+XuBuPxMJ93qOSWWzW0qceDiKTO5a6+Z0GzyQ==" saltValue="Wbzm3e/7d8Wk7Oz+zZQMFQ==" spinCount="100000" sheet="1" objects="1" scenarios="1" sort="0" autoFilter="0"/>
  <autoFilter ref="A2:L47"/>
  <mergeCells count="3">
    <mergeCell ref="A1:D1"/>
    <mergeCell ref="E1:H1"/>
    <mergeCell ref="I1:L1"/>
  </mergeCells>
  <dataValidations count="1">
    <dataValidation type="list" allowBlank="1" showInputMessage="1" showErrorMessage="1" sqref="I3:I47">
      <formula1>"Agree,Disagree"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8" style="17" bestFit="1" customWidth="1"/>
    <col min="9" max="9" width="24.33203125" style="17" customWidth="1"/>
    <col min="10" max="10" width="26.33203125" style="17" customWidth="1"/>
    <col min="11" max="12" width="34.88671875" style="17" customWidth="1"/>
    <col min="13" max="16384" width="8.88671875" style="17"/>
  </cols>
  <sheetData>
    <row r="1" spans="1:12" s="27" customFormat="1" ht="76.9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28" t="s">
        <v>2218</v>
      </c>
      <c r="I2" s="15" t="s">
        <v>2151</v>
      </c>
      <c r="J2" s="15" t="s">
        <v>2152</v>
      </c>
      <c r="K2" s="15" t="s">
        <v>5</v>
      </c>
      <c r="L2" s="15" t="s">
        <v>2153</v>
      </c>
    </row>
    <row r="3" spans="1:12" x14ac:dyDescent="0.3">
      <c r="A3" s="33">
        <v>7</v>
      </c>
      <c r="B3" s="33" t="s">
        <v>174</v>
      </c>
      <c r="C3" s="34" t="s">
        <v>175</v>
      </c>
      <c r="D3" s="51" t="s">
        <v>143</v>
      </c>
      <c r="E3" s="61" t="str">
        <f>IFERROR(VLOOKUP(D3,'Master List'!D:H,2,FALSE),"NA")</f>
        <v>520701</v>
      </c>
      <c r="F3" s="62" t="str">
        <f>IFERROR(VLOOKUP(D3,'Master List'!D:H,3,FALSE),"NA")</f>
        <v>520701</v>
      </c>
      <c r="G3" s="58" t="str">
        <f>IFERROR(VLOOKUP(D3,'Master List'!D:H,4,FALSE),"NA")</f>
        <v>520701</v>
      </c>
      <c r="H3" s="39" t="str">
        <f>IFERROR(VLOOKUP(D3,'Master List'!D:H,5,FALSE),"NA")</f>
        <v>Entrepreneurship/Entrepreneurial Studies.</v>
      </c>
      <c r="I3" s="19"/>
      <c r="J3" s="20"/>
      <c r="K3" s="20"/>
      <c r="L3" s="21"/>
    </row>
    <row r="4" spans="1:12" x14ac:dyDescent="0.3">
      <c r="A4" s="33">
        <v>7</v>
      </c>
      <c r="B4" s="33" t="s">
        <v>174</v>
      </c>
      <c r="C4" s="34" t="s">
        <v>175</v>
      </c>
      <c r="D4" s="51" t="s">
        <v>149</v>
      </c>
      <c r="E4" s="61" t="str">
        <f>IFERROR(VLOOKUP(D4,'Master List'!D:H,2,FALSE),"NA")</f>
        <v>520904</v>
      </c>
      <c r="F4" s="62" t="str">
        <f>IFERROR(VLOOKUP(D4,'Master List'!D:H,3,FALSE),"NA")</f>
        <v>520904</v>
      </c>
      <c r="G4" s="58" t="str">
        <f>IFERROR(VLOOKUP(D4,'Master List'!D:H,4,FALSE),"NA")</f>
        <v>520904</v>
      </c>
      <c r="H4" s="39" t="str">
        <f>IFERROR(VLOOKUP(D4,'Master List'!D:H,5,FALSE),"NA")</f>
        <v>Hotel/Motel Administration/Management.</v>
      </c>
      <c r="I4" s="19"/>
      <c r="J4" s="20"/>
      <c r="K4" s="20"/>
      <c r="L4" s="21"/>
    </row>
    <row r="5" spans="1:12" x14ac:dyDescent="0.3">
      <c r="A5" s="33">
        <v>7</v>
      </c>
      <c r="B5" s="33" t="s">
        <v>174</v>
      </c>
      <c r="C5" s="34" t="s">
        <v>175</v>
      </c>
      <c r="D5" s="51" t="s">
        <v>150</v>
      </c>
      <c r="E5" s="61" t="str">
        <f>IFERROR(VLOOKUP(D5,'Master List'!D:H,2,FALSE),"NA")</f>
        <v>520904</v>
      </c>
      <c r="F5" s="62" t="str">
        <f>IFERROR(VLOOKUP(D5,'Master List'!D:H,3,FALSE),"NA")</f>
        <v>520904</v>
      </c>
      <c r="G5" s="58" t="str">
        <f>IFERROR(VLOOKUP(D5,'Master List'!D:H,4,FALSE),"NA")</f>
        <v>520904</v>
      </c>
      <c r="H5" s="39" t="str">
        <f>IFERROR(VLOOKUP(D5,'Master List'!D:H,5,FALSE),"NA")</f>
        <v>Hotel/Motel Administration/Management.</v>
      </c>
      <c r="I5" s="19"/>
      <c r="J5" s="20"/>
      <c r="K5" s="20"/>
      <c r="L5" s="21"/>
    </row>
    <row r="6" spans="1:12" x14ac:dyDescent="0.3">
      <c r="A6" s="33">
        <v>7</v>
      </c>
      <c r="B6" s="33" t="s">
        <v>174</v>
      </c>
      <c r="C6" s="34" t="s">
        <v>175</v>
      </c>
      <c r="D6" s="51" t="s">
        <v>176</v>
      </c>
      <c r="E6" s="61" t="str">
        <f>IFERROR(VLOOKUP(D6,'Master List'!D:H,2,FALSE),"NA")</f>
        <v>520905</v>
      </c>
      <c r="F6" s="62" t="str">
        <f>IFERROR(VLOOKUP(D6,'Master List'!D:H,3,FALSE),"NA")</f>
        <v>520905</v>
      </c>
      <c r="G6" s="58" t="str">
        <f>IFERROR(VLOOKUP(D6,'Master List'!D:H,4,FALSE),"NA")</f>
        <v>520905</v>
      </c>
      <c r="H6" s="39" t="str">
        <f>IFERROR(VLOOKUP(D6,'Master List'!D:H,5,FALSE),"NA")</f>
        <v>Restaurant/Food Services Management.</v>
      </c>
      <c r="I6" s="19"/>
      <c r="J6" s="20"/>
      <c r="K6" s="20"/>
      <c r="L6" s="21"/>
    </row>
    <row r="7" spans="1:12" x14ac:dyDescent="0.3">
      <c r="A7" s="33">
        <v>7</v>
      </c>
      <c r="B7" s="33" t="s">
        <v>174</v>
      </c>
      <c r="C7" s="34" t="s">
        <v>175</v>
      </c>
      <c r="D7" s="51" t="s">
        <v>179</v>
      </c>
      <c r="E7" s="61" t="str">
        <f>IFERROR(VLOOKUP(D7,'Master List'!D:H,2,FALSE),"NA")</f>
        <v>521501</v>
      </c>
      <c r="F7" s="62" t="str">
        <f>IFERROR(VLOOKUP(D7,'Master List'!D:H,3,FALSE),"NA")</f>
        <v>521501</v>
      </c>
      <c r="G7" s="58" t="str">
        <f>IFERROR(VLOOKUP(D7,'Master List'!D:H,4,FALSE),"NA")</f>
        <v>521501</v>
      </c>
      <c r="H7" s="39" t="str">
        <f>IFERROR(VLOOKUP(D7,'Master List'!D:H,5,FALSE),"NA")</f>
        <v>Real Estate.</v>
      </c>
      <c r="I7" s="19"/>
      <c r="J7" s="20"/>
      <c r="K7" s="20"/>
      <c r="L7" s="21"/>
    </row>
    <row r="8" spans="1:12" x14ac:dyDescent="0.3">
      <c r="A8" s="33">
        <v>7</v>
      </c>
      <c r="B8" s="33" t="s">
        <v>174</v>
      </c>
      <c r="C8" s="34" t="s">
        <v>175</v>
      </c>
      <c r="D8" s="51" t="s">
        <v>182</v>
      </c>
      <c r="E8" s="61" t="str">
        <f>IFERROR(VLOOKUP(D8,'Master List'!D:H,2,FALSE),"NA")</f>
        <v>521908</v>
      </c>
      <c r="F8" s="62" t="str">
        <f>IFERROR(VLOOKUP(D8,'Master List'!D:H,3,FALSE),"NA")</f>
        <v>521908</v>
      </c>
      <c r="G8" s="58" t="str">
        <f>IFERROR(VLOOKUP(D8,'Master List'!D:H,4,FALSE),"NA")</f>
        <v>521908</v>
      </c>
      <c r="H8" s="39" t="str">
        <f>IFERROR(VLOOKUP(D8,'Master List'!D:H,5,FALSE),"NA")</f>
        <v>Business and Personal/Financial Services Marketing Operations.</v>
      </c>
      <c r="I8" s="19"/>
      <c r="J8" s="20"/>
      <c r="K8" s="20"/>
      <c r="L8" s="21"/>
    </row>
    <row r="9" spans="1:12" x14ac:dyDescent="0.3">
      <c r="A9" s="33">
        <v>7</v>
      </c>
      <c r="B9" s="33" t="s">
        <v>174</v>
      </c>
      <c r="C9" s="34" t="s">
        <v>175</v>
      </c>
      <c r="D9" s="51" t="s">
        <v>185</v>
      </c>
      <c r="E9" s="61" t="str">
        <f>IFERROR(VLOOKUP(D9,'Master List'!D:H,2,FALSE),"NA")</f>
        <v>521908</v>
      </c>
      <c r="F9" s="62" t="str">
        <f>IFERROR(VLOOKUP(D9,'Master List'!D:H,3,FALSE),"NA")</f>
        <v>521908</v>
      </c>
      <c r="G9" s="58" t="str">
        <f>IFERROR(VLOOKUP(D9,'Master List'!D:H,4,FALSE),"NA")</f>
        <v>521908</v>
      </c>
      <c r="H9" s="39" t="str">
        <f>IFERROR(VLOOKUP(D9,'Master List'!D:H,5,FALSE),"NA")</f>
        <v>Business and Personal/Financial Services Marketing Operations.</v>
      </c>
      <c r="I9" s="19"/>
      <c r="J9" s="20"/>
      <c r="K9" s="20"/>
      <c r="L9" s="21"/>
    </row>
    <row r="10" spans="1:12" x14ac:dyDescent="0.3">
      <c r="A10" s="33">
        <v>7</v>
      </c>
      <c r="B10" s="33" t="s">
        <v>174</v>
      </c>
      <c r="C10" s="34" t="s">
        <v>175</v>
      </c>
      <c r="D10" s="51" t="s">
        <v>186</v>
      </c>
      <c r="E10" s="61" t="str">
        <f>IFERROR(VLOOKUP(D10,'Master List'!D:H,2,FALSE),"NA")</f>
        <v>521908</v>
      </c>
      <c r="F10" s="62" t="str">
        <f>IFERROR(VLOOKUP(D10,'Master List'!D:H,3,FALSE),"NA")</f>
        <v>521908</v>
      </c>
      <c r="G10" s="58" t="str">
        <f>IFERROR(VLOOKUP(D10,'Master List'!D:H,4,FALSE),"NA")</f>
        <v>521908</v>
      </c>
      <c r="H10" s="39" t="str">
        <f>IFERROR(VLOOKUP(D10,'Master List'!D:H,5,FALSE),"NA")</f>
        <v>Business and Personal/Financial Services Marketing Operations.</v>
      </c>
      <c r="I10" s="19"/>
      <c r="J10" s="20"/>
      <c r="K10" s="20"/>
      <c r="L10" s="21"/>
    </row>
    <row r="11" spans="1:12" x14ac:dyDescent="0.3">
      <c r="A11" s="33">
        <v>7</v>
      </c>
      <c r="B11" s="33" t="s">
        <v>174</v>
      </c>
      <c r="C11" s="34" t="s">
        <v>175</v>
      </c>
      <c r="D11" s="51" t="s">
        <v>187</v>
      </c>
      <c r="E11" s="61" t="str">
        <f>IFERROR(VLOOKUP(D11,'Master List'!D:H,2,FALSE),"NA")</f>
        <v>521908</v>
      </c>
      <c r="F11" s="62" t="str">
        <f>IFERROR(VLOOKUP(D11,'Master List'!D:H,3,FALSE),"NA")</f>
        <v>521908</v>
      </c>
      <c r="G11" s="58" t="str">
        <f>IFERROR(VLOOKUP(D11,'Master List'!D:H,4,FALSE),"NA")</f>
        <v>521908</v>
      </c>
      <c r="H11" s="39" t="str">
        <f>IFERROR(VLOOKUP(D11,'Master List'!D:H,5,FALSE),"NA")</f>
        <v>Business and Personal/Financial Services Marketing Operations.</v>
      </c>
      <c r="I11" s="19"/>
      <c r="J11" s="20"/>
      <c r="K11" s="20"/>
      <c r="L11" s="21"/>
    </row>
    <row r="12" spans="1:12" x14ac:dyDescent="0.3">
      <c r="A12" s="33">
        <v>7</v>
      </c>
      <c r="B12" s="33" t="s">
        <v>174</v>
      </c>
      <c r="C12" s="34" t="s">
        <v>175</v>
      </c>
      <c r="D12" s="51" t="s">
        <v>188</v>
      </c>
      <c r="E12" s="61" t="str">
        <f>IFERROR(VLOOKUP(D12,'Master List'!D:H,2,FALSE),"NA")</f>
        <v>521908</v>
      </c>
      <c r="F12" s="62" t="str">
        <f>IFERROR(VLOOKUP(D12,'Master List'!D:H,3,FALSE),"NA")</f>
        <v>521908</v>
      </c>
      <c r="G12" s="58" t="str">
        <f>IFERROR(VLOOKUP(D12,'Master List'!D:H,4,FALSE),"NA")</f>
        <v>521908</v>
      </c>
      <c r="H12" s="39" t="str">
        <f>IFERROR(VLOOKUP(D12,'Master List'!D:H,5,FALSE),"NA")</f>
        <v>Business and Personal/Financial Services Marketing Operations.</v>
      </c>
      <c r="I12" s="19"/>
      <c r="J12" s="20"/>
      <c r="K12" s="20"/>
      <c r="L12" s="21"/>
    </row>
    <row r="13" spans="1:12" x14ac:dyDescent="0.3">
      <c r="A13" s="33">
        <v>7</v>
      </c>
      <c r="B13" s="33" t="s">
        <v>174</v>
      </c>
      <c r="C13" s="34" t="s">
        <v>175</v>
      </c>
      <c r="D13" s="51" t="s">
        <v>189</v>
      </c>
      <c r="E13" s="61" t="str">
        <f>IFERROR(VLOOKUP(D13,'Master List'!D:H,2,FALSE),"NA")</f>
        <v>120301</v>
      </c>
      <c r="F13" s="62" t="str">
        <f>IFERROR(VLOOKUP(D13,'Master List'!D:H,3,FALSE),"NA")</f>
        <v>120301</v>
      </c>
      <c r="G13" s="58" t="str">
        <f>IFERROR(VLOOKUP(D13,'Master List'!D:H,4,FALSE),"NA")</f>
        <v>120301</v>
      </c>
      <c r="H13" s="39" t="str">
        <f>IFERROR(VLOOKUP(D13,'Master List'!D:H,5,FALSE),"NA")</f>
        <v>Funeral Service and Mortuary Science, General.</v>
      </c>
      <c r="I13" s="19"/>
      <c r="J13" s="20"/>
      <c r="K13" s="20"/>
      <c r="L13" s="21"/>
    </row>
    <row r="14" spans="1:12" x14ac:dyDescent="0.3">
      <c r="A14" s="33">
        <v>7</v>
      </c>
      <c r="B14" s="33" t="s">
        <v>174</v>
      </c>
      <c r="C14" s="34" t="s">
        <v>175</v>
      </c>
      <c r="D14" s="51" t="s">
        <v>192</v>
      </c>
      <c r="E14" s="61" t="str">
        <f>IFERROR(VLOOKUP(D14,'Master List'!D:H,2,FALSE),"NA")</f>
        <v>410101</v>
      </c>
      <c r="F14" s="62" t="str">
        <f>IFERROR(VLOOKUP(D14,'Master List'!D:H,3,FALSE),"NA")</f>
        <v>410101</v>
      </c>
      <c r="G14" s="58" t="str">
        <f>IFERROR(VLOOKUP(D14,'Master List'!D:H,4,FALSE),"NA")</f>
        <v>410101</v>
      </c>
      <c r="H14" s="39" t="str">
        <f>IFERROR(VLOOKUP(D14,'Master List'!D:H,5,FALSE),"NA")</f>
        <v>Biology/Biotechnology Technology/Technician.</v>
      </c>
      <c r="I14" s="19"/>
      <c r="J14" s="20"/>
      <c r="K14" s="20"/>
      <c r="L14" s="21"/>
    </row>
    <row r="15" spans="1:12" x14ac:dyDescent="0.3">
      <c r="A15" s="33">
        <v>7</v>
      </c>
      <c r="B15" s="33" t="s">
        <v>174</v>
      </c>
      <c r="C15" s="34" t="s">
        <v>175</v>
      </c>
      <c r="D15" s="51" t="s">
        <v>10</v>
      </c>
      <c r="E15" s="61" t="str">
        <f>IFERROR(VLOOKUP(D15,'Master List'!D:H,2,FALSE),"NA")</f>
        <v>510601</v>
      </c>
      <c r="F15" s="62" t="str">
        <f>IFERROR(VLOOKUP(D15,'Master List'!D:H,3,FALSE),"NA")</f>
        <v>510601</v>
      </c>
      <c r="G15" s="58" t="str">
        <f>IFERROR(VLOOKUP(D15,'Master List'!D:H,4,FALSE),"NA")</f>
        <v>510601</v>
      </c>
      <c r="H15" s="39" t="str">
        <f>IFERROR(VLOOKUP(D15,'Master List'!D:H,5,FALSE),"NA")</f>
        <v>Dental Assisting/Assistant.</v>
      </c>
      <c r="I15" s="19"/>
      <c r="J15" s="20"/>
      <c r="K15" s="20"/>
      <c r="L15" s="21"/>
    </row>
    <row r="16" spans="1:12" x14ac:dyDescent="0.3">
      <c r="A16" s="33">
        <v>7</v>
      </c>
      <c r="B16" s="33" t="s">
        <v>174</v>
      </c>
      <c r="C16" s="34" t="s">
        <v>175</v>
      </c>
      <c r="D16" s="51" t="s">
        <v>195</v>
      </c>
      <c r="E16" s="61" t="str">
        <f>IFERROR(VLOOKUP(D16,'Master List'!D:H,2,FALSE),"NA")</f>
        <v>510707</v>
      </c>
      <c r="F16" s="62" t="str">
        <f>IFERROR(VLOOKUP(D16,'Master List'!D:H,3,FALSE),"NA")</f>
        <v>510707</v>
      </c>
      <c r="G16" s="58" t="str">
        <f>IFERROR(VLOOKUP(D16,'Master List'!D:H,4,FALSE),"NA")</f>
        <v>510707</v>
      </c>
      <c r="H16" s="39" t="str">
        <f>IFERROR(VLOOKUP(D16,'Master List'!D:H,5,FALSE),"NA")</f>
        <v>Health Information/Medical Records Technology/Technician.</v>
      </c>
      <c r="I16" s="19"/>
      <c r="J16" s="20"/>
      <c r="K16" s="20"/>
      <c r="L16" s="21"/>
    </row>
    <row r="17" spans="1:12" x14ac:dyDescent="0.3">
      <c r="A17" s="33">
        <v>7</v>
      </c>
      <c r="B17" s="33" t="s">
        <v>174</v>
      </c>
      <c r="C17" s="34" t="s">
        <v>175</v>
      </c>
      <c r="D17" s="51" t="s">
        <v>198</v>
      </c>
      <c r="E17" s="61" t="str">
        <f>IFERROR(VLOOKUP(D17,'Master List'!D:H,2,FALSE),"NA")</f>
        <v>510707</v>
      </c>
      <c r="F17" s="62" t="str">
        <f>IFERROR(VLOOKUP(D17,'Master List'!D:H,3,FALSE),"NA")</f>
        <v>510707</v>
      </c>
      <c r="G17" s="58">
        <f>IFERROR(VLOOKUP(D17,'Master List'!D:H,4,FALSE),"NA")</f>
        <v>510714</v>
      </c>
      <c r="H17" s="39" t="str">
        <f>IFERROR(VLOOKUP(D17,'Master List'!D:H,5,FALSE),"NA")</f>
        <v>Medical Insurance Specialist/Medical Biller</v>
      </c>
      <c r="I17" s="19"/>
      <c r="J17" s="20"/>
      <c r="K17" s="20"/>
      <c r="L17" s="21"/>
    </row>
    <row r="18" spans="1:12" x14ac:dyDescent="0.3">
      <c r="A18" s="33">
        <v>7</v>
      </c>
      <c r="B18" s="33" t="s">
        <v>174</v>
      </c>
      <c r="C18" s="34" t="s">
        <v>175</v>
      </c>
      <c r="D18" s="51" t="s">
        <v>199</v>
      </c>
      <c r="E18" s="61" t="str">
        <f>IFERROR(VLOOKUP(D18,'Master List'!D:H,2,FALSE),"NA")</f>
        <v>510801</v>
      </c>
      <c r="F18" s="62" t="str">
        <f>IFERROR(VLOOKUP(D18,'Master List'!D:H,3,FALSE),"NA")</f>
        <v>510801</v>
      </c>
      <c r="G18" s="58" t="str">
        <f>IFERROR(VLOOKUP(D18,'Master List'!D:H,4,FALSE),"NA")</f>
        <v>510801</v>
      </c>
      <c r="H18" s="39" t="str">
        <f>IFERROR(VLOOKUP(D18,'Master List'!D:H,5,FALSE),"NA")</f>
        <v>Medical/Clinical Assistant.</v>
      </c>
      <c r="I18" s="19"/>
      <c r="J18" s="20"/>
      <c r="K18" s="20"/>
      <c r="L18" s="21"/>
    </row>
    <row r="19" spans="1:12" x14ac:dyDescent="0.3">
      <c r="A19" s="33">
        <v>7</v>
      </c>
      <c r="B19" s="33" t="s">
        <v>174</v>
      </c>
      <c r="C19" s="34" t="s">
        <v>175</v>
      </c>
      <c r="D19" s="51" t="s">
        <v>202</v>
      </c>
      <c r="E19" s="61" t="str">
        <f>IFERROR(VLOOKUP(D19,'Master List'!D:H,2,FALSE),"NA")</f>
        <v>510801</v>
      </c>
      <c r="F19" s="62" t="str">
        <f>IFERROR(VLOOKUP(D19,'Master List'!D:H,3,FALSE),"NA")</f>
        <v>510801</v>
      </c>
      <c r="G19" s="58" t="str">
        <f>IFERROR(VLOOKUP(D19,'Master List'!D:H,4,FALSE),"NA")</f>
        <v>510801</v>
      </c>
      <c r="H19" s="39" t="str">
        <f>IFERROR(VLOOKUP(D19,'Master List'!D:H,5,FALSE),"NA")</f>
        <v>Medical/Clinical Assistant.</v>
      </c>
      <c r="I19" s="19"/>
      <c r="J19" s="20"/>
      <c r="K19" s="20"/>
      <c r="L19" s="21"/>
    </row>
    <row r="20" spans="1:12" x14ac:dyDescent="0.3">
      <c r="A20" s="33">
        <v>7</v>
      </c>
      <c r="B20" s="33" t="s">
        <v>174</v>
      </c>
      <c r="C20" s="34" t="s">
        <v>175</v>
      </c>
      <c r="D20" s="51" t="s">
        <v>203</v>
      </c>
      <c r="E20" s="61" t="str">
        <f>IFERROR(VLOOKUP(D20,'Master List'!D:H,2,FALSE),"NA")</f>
        <v>510805</v>
      </c>
      <c r="F20" s="62" t="str">
        <f>IFERROR(VLOOKUP(D20,'Master List'!D:H,3,FALSE),"NA")</f>
        <v>510805</v>
      </c>
      <c r="G20" s="58" t="str">
        <f>IFERROR(VLOOKUP(D20,'Master List'!D:H,4,FALSE),"NA")</f>
        <v>510805</v>
      </c>
      <c r="H20" s="39" t="str">
        <f>IFERROR(VLOOKUP(D20,'Master List'!D:H,5,FALSE),"NA")</f>
        <v>Pharmacy Technician/Assistant.</v>
      </c>
      <c r="I20" s="19"/>
      <c r="J20" s="20"/>
      <c r="K20" s="20"/>
      <c r="L20" s="21"/>
    </row>
    <row r="21" spans="1:12" x14ac:dyDescent="0.3">
      <c r="A21" s="33">
        <v>7</v>
      </c>
      <c r="B21" s="33" t="s">
        <v>174</v>
      </c>
      <c r="C21" s="34" t="s">
        <v>175</v>
      </c>
      <c r="D21" s="51" t="s">
        <v>14</v>
      </c>
      <c r="E21" s="61" t="str">
        <f>IFERROR(VLOOKUP(D21,'Master List'!D:H,2,FALSE),"NA")</f>
        <v>510904</v>
      </c>
      <c r="F21" s="62" t="str">
        <f>IFERROR(VLOOKUP(D21,'Master List'!D:H,3,FALSE),"NA")</f>
        <v>510904</v>
      </c>
      <c r="G21" s="58" t="str">
        <f>IFERROR(VLOOKUP(D21,'Master List'!D:H,4,FALSE),"NA")</f>
        <v>510904</v>
      </c>
      <c r="H21" s="39" t="str">
        <f>IFERROR(VLOOKUP(D21,'Master List'!D:H,5,FALSE),"NA")</f>
        <v>Emergency Medical Technology/Technician (EMT Paramedic).</v>
      </c>
      <c r="I21" s="19"/>
      <c r="J21" s="20"/>
      <c r="K21" s="20"/>
      <c r="L21" s="21"/>
    </row>
    <row r="22" spans="1:12" x14ac:dyDescent="0.3">
      <c r="A22" s="33">
        <v>7</v>
      </c>
      <c r="B22" s="33" t="s">
        <v>174</v>
      </c>
      <c r="C22" s="34" t="s">
        <v>175</v>
      </c>
      <c r="D22" s="51" t="s">
        <v>204</v>
      </c>
      <c r="E22" s="61" t="str">
        <f>IFERROR(VLOOKUP(D22,'Master List'!D:H,2,FALSE),"NA")</f>
        <v>510904</v>
      </c>
      <c r="F22" s="62" t="str">
        <f>IFERROR(VLOOKUP(D22,'Master List'!D:H,3,FALSE),"NA")</f>
        <v>510904</v>
      </c>
      <c r="G22" s="58" t="str">
        <f>IFERROR(VLOOKUP(D22,'Master List'!D:H,4,FALSE),"NA")</f>
        <v>510904</v>
      </c>
      <c r="H22" s="39" t="str">
        <f>IFERROR(VLOOKUP(D22,'Master List'!D:H,5,FALSE),"NA")</f>
        <v>Emergency Medical Technology/Technician (EMT Paramedic).</v>
      </c>
      <c r="I22" s="19"/>
      <c r="J22" s="20"/>
      <c r="K22" s="20"/>
      <c r="L22" s="21"/>
    </row>
    <row r="23" spans="1:12" x14ac:dyDescent="0.3">
      <c r="A23" s="33">
        <v>7</v>
      </c>
      <c r="B23" s="33" t="s">
        <v>174</v>
      </c>
      <c r="C23" s="34" t="s">
        <v>175</v>
      </c>
      <c r="D23" s="51" t="s">
        <v>205</v>
      </c>
      <c r="E23" s="61" t="str">
        <f>IFERROR(VLOOKUP(D23,'Master List'!D:H,2,FALSE),"NA")</f>
        <v>510904</v>
      </c>
      <c r="F23" s="62" t="str">
        <f>IFERROR(VLOOKUP(D23,'Master List'!D:H,3,FALSE),"NA")</f>
        <v>510904</v>
      </c>
      <c r="G23" s="58" t="str">
        <f>IFERROR(VLOOKUP(D23,'Master List'!D:H,4,FALSE),"NA")</f>
        <v>510904</v>
      </c>
      <c r="H23" s="39" t="str">
        <f>IFERROR(VLOOKUP(D23,'Master List'!D:H,5,FALSE),"NA")</f>
        <v>Emergency Medical Technology/Technician (EMT Paramedic).</v>
      </c>
      <c r="I23" s="19"/>
      <c r="J23" s="20"/>
      <c r="K23" s="20"/>
      <c r="L23" s="21"/>
    </row>
    <row r="24" spans="1:12" x14ac:dyDescent="0.3">
      <c r="A24" s="33">
        <v>7</v>
      </c>
      <c r="B24" s="33" t="s">
        <v>174</v>
      </c>
      <c r="C24" s="34" t="s">
        <v>175</v>
      </c>
      <c r="D24" s="51" t="s">
        <v>206</v>
      </c>
      <c r="E24" s="61" t="str">
        <f>IFERROR(VLOOKUP(D24,'Master List'!D:H,2,FALSE),"NA")</f>
        <v>510907</v>
      </c>
      <c r="F24" s="62" t="str">
        <f>IFERROR(VLOOKUP(D24,'Master List'!D:H,3,FALSE),"NA")</f>
        <v>510907</v>
      </c>
      <c r="G24" s="58" t="str">
        <f>IFERROR(VLOOKUP(D24,'Master List'!D:H,4,FALSE),"NA")</f>
        <v>510907</v>
      </c>
      <c r="H24" s="39" t="str">
        <f>IFERROR(VLOOKUP(D24,'Master List'!D:H,5,FALSE),"NA")</f>
        <v>Medical Radiologic Technology/Science - Radiation Therapist.</v>
      </c>
      <c r="I24" s="19"/>
      <c r="J24" s="20"/>
      <c r="K24" s="20"/>
      <c r="L24" s="21"/>
    </row>
    <row r="25" spans="1:12" x14ac:dyDescent="0.3">
      <c r="A25" s="33">
        <v>7</v>
      </c>
      <c r="B25" s="33" t="s">
        <v>174</v>
      </c>
      <c r="C25" s="34" t="s">
        <v>175</v>
      </c>
      <c r="D25" s="51" t="s">
        <v>207</v>
      </c>
      <c r="E25" s="61" t="str">
        <f>IFERROR(VLOOKUP(D25,'Master List'!D:H,2,FALSE),"NA")</f>
        <v>510909</v>
      </c>
      <c r="F25" s="62" t="str">
        <f>IFERROR(VLOOKUP(D25,'Master List'!D:H,3,FALSE),"NA")</f>
        <v>510909</v>
      </c>
      <c r="G25" s="58" t="str">
        <f>IFERROR(VLOOKUP(D25,'Master List'!D:H,4,FALSE),"NA")</f>
        <v>510909</v>
      </c>
      <c r="H25" s="39" t="str">
        <f>IFERROR(VLOOKUP(D25,'Master List'!D:H,5,FALSE),"NA")</f>
        <v>Surgical Technology/Technologist.</v>
      </c>
      <c r="I25" s="19"/>
      <c r="J25" s="20"/>
      <c r="K25" s="20"/>
      <c r="L25" s="21"/>
    </row>
    <row r="26" spans="1:12" x14ac:dyDescent="0.3">
      <c r="A26" s="33">
        <v>7</v>
      </c>
      <c r="B26" s="33" t="s">
        <v>174</v>
      </c>
      <c r="C26" s="34" t="s">
        <v>175</v>
      </c>
      <c r="D26" s="51" t="s">
        <v>208</v>
      </c>
      <c r="E26" s="61" t="str">
        <f>IFERROR(VLOOKUP(D26,'Master List'!D:H,2,FALSE),"NA")</f>
        <v>512211</v>
      </c>
      <c r="F26" s="62" t="str">
        <f>IFERROR(VLOOKUP(D26,'Master List'!D:H,3,FALSE),"NA")</f>
        <v>512211</v>
      </c>
      <c r="G26" s="58">
        <f>IFERROR(VLOOKUP(D26,'Master List'!D:H,4,FALSE),"NA")</f>
        <v>512208</v>
      </c>
      <c r="H26" s="39" t="str">
        <f>IFERROR(VLOOKUP(D26,'Master List'!D:H,5,FALSE),"NA")</f>
        <v>Community Health and Preventive Medicine.</v>
      </c>
      <c r="I26" s="19"/>
      <c r="J26" s="20"/>
      <c r="K26" s="20"/>
      <c r="L26" s="21"/>
    </row>
    <row r="27" spans="1:12" x14ac:dyDescent="0.3">
      <c r="A27" s="33">
        <v>7</v>
      </c>
      <c r="B27" s="33" t="s">
        <v>174</v>
      </c>
      <c r="C27" s="34" t="s">
        <v>175</v>
      </c>
      <c r="D27" s="51" t="s">
        <v>210</v>
      </c>
      <c r="E27" s="61" t="str">
        <f>IFERROR(VLOOKUP(D27,'Master List'!D:H,2,FALSE),"NA")</f>
        <v>NA</v>
      </c>
      <c r="F27" s="62" t="str">
        <f>IFERROR(VLOOKUP(D27,'Master List'!D:H,3,FALSE),"NA")</f>
        <v>NA</v>
      </c>
      <c r="G27" s="58" t="str">
        <f>IFERROR(VLOOKUP(D27,'Master List'!D:H,4,FALSE),"NA")</f>
        <v>NA</v>
      </c>
      <c r="H27" s="39" t="str">
        <f>IFERROR(VLOOKUP(D27,'Master List'!D:H,5,FALSE),"NA")</f>
        <v>NA</v>
      </c>
      <c r="I27" s="19"/>
      <c r="J27" s="20"/>
      <c r="K27" s="20"/>
      <c r="L27" s="21"/>
    </row>
    <row r="28" spans="1:12" x14ac:dyDescent="0.3">
      <c r="A28" s="33">
        <v>7</v>
      </c>
      <c r="B28" s="33" t="s">
        <v>174</v>
      </c>
      <c r="C28" s="34" t="s">
        <v>175</v>
      </c>
      <c r="D28" s="51" t="s">
        <v>211</v>
      </c>
      <c r="E28" s="61" t="str">
        <f>IFERROR(VLOOKUP(D28,'Master List'!D:H,2,FALSE),"NA")</f>
        <v>513501</v>
      </c>
      <c r="F28" s="62" t="str">
        <f>IFERROR(VLOOKUP(D28,'Master List'!D:H,3,FALSE),"NA")</f>
        <v>513501</v>
      </c>
      <c r="G28" s="58" t="str">
        <f>IFERROR(VLOOKUP(D28,'Master List'!D:H,4,FALSE),"NA")</f>
        <v>513501</v>
      </c>
      <c r="H28" s="39" t="str">
        <f>IFERROR(VLOOKUP(D28,'Master List'!D:H,5,FALSE),"NA")</f>
        <v>Massage Therapy/Therapeutic Massage.</v>
      </c>
      <c r="I28" s="19"/>
      <c r="J28" s="20"/>
      <c r="K28" s="20"/>
      <c r="L28" s="21"/>
    </row>
    <row r="29" spans="1:12" x14ac:dyDescent="0.3">
      <c r="A29" s="33">
        <v>7</v>
      </c>
      <c r="B29" s="33" t="s">
        <v>174</v>
      </c>
      <c r="C29" s="34" t="s">
        <v>175</v>
      </c>
      <c r="D29" s="51" t="s">
        <v>24</v>
      </c>
      <c r="E29" s="61" t="str">
        <f>IFERROR(VLOOKUP(D29,'Master List'!D:H,2,FALSE),"NA")</f>
        <v>NA</v>
      </c>
      <c r="F29" s="62" t="str">
        <f>IFERROR(VLOOKUP(D29,'Master List'!D:H,3,FALSE),"NA")</f>
        <v>NA</v>
      </c>
      <c r="G29" s="58" t="str">
        <f>IFERROR(VLOOKUP(D29,'Master List'!D:H,4,FALSE),"NA")</f>
        <v>NA</v>
      </c>
      <c r="H29" s="39" t="str">
        <f>IFERROR(VLOOKUP(D29,'Master List'!D:H,5,FALSE),"NA")</f>
        <v>NA</v>
      </c>
      <c r="I29" s="19"/>
      <c r="J29" s="20"/>
      <c r="K29" s="20"/>
      <c r="L29" s="21"/>
    </row>
    <row r="30" spans="1:12" x14ac:dyDescent="0.3">
      <c r="A30" s="33">
        <v>7</v>
      </c>
      <c r="B30" s="33" t="s">
        <v>174</v>
      </c>
      <c r="C30" s="34" t="s">
        <v>175</v>
      </c>
      <c r="D30" s="51" t="s">
        <v>152</v>
      </c>
      <c r="E30" s="61" t="str">
        <f>IFERROR(VLOOKUP(D30,'Master List'!D:H,2,FALSE),"NA")</f>
        <v>513902</v>
      </c>
      <c r="F30" s="62" t="str">
        <f>IFERROR(VLOOKUP(D30,'Master List'!D:H,3,FALSE),"NA")</f>
        <v>513902</v>
      </c>
      <c r="G30" s="58" t="str">
        <f>IFERROR(VLOOKUP(D30,'Master List'!D:H,4,FALSE),"NA")</f>
        <v>513902</v>
      </c>
      <c r="H30" s="39" t="str">
        <f>IFERROR(VLOOKUP(D30,'Master List'!D:H,5,FALSE),"NA")</f>
        <v>Nursing Assistant/Aide and Patient Care Assistant/Aide.</v>
      </c>
      <c r="I30" s="19"/>
      <c r="J30" s="20"/>
      <c r="K30" s="20"/>
      <c r="L30" s="21"/>
    </row>
    <row r="31" spans="1:12" x14ac:dyDescent="0.3">
      <c r="A31" s="33">
        <v>7</v>
      </c>
      <c r="B31" s="33" t="s">
        <v>174</v>
      </c>
      <c r="C31" s="34" t="s">
        <v>175</v>
      </c>
      <c r="D31" s="51" t="s">
        <v>214</v>
      </c>
      <c r="E31" s="61" t="str">
        <f>IFERROR(VLOOKUP(D31,'Master List'!D:H,2,FALSE),"NA")</f>
        <v>500408</v>
      </c>
      <c r="F31" s="62" t="str">
        <f>IFERROR(VLOOKUP(D31,'Master List'!D:H,3,FALSE),"NA")</f>
        <v>500408</v>
      </c>
      <c r="G31" s="58" t="str">
        <f>IFERROR(VLOOKUP(D31,'Master List'!D:H,4,FALSE),"NA")</f>
        <v>500408</v>
      </c>
      <c r="H31" s="39" t="str">
        <f>IFERROR(VLOOKUP(D31,'Master List'!D:H,5,FALSE),"NA")</f>
        <v>Interior Design.</v>
      </c>
      <c r="I31" s="19"/>
      <c r="J31" s="20"/>
      <c r="K31" s="20"/>
      <c r="L31" s="21"/>
    </row>
    <row r="32" spans="1:12" x14ac:dyDescent="0.3">
      <c r="A32" s="33">
        <v>7</v>
      </c>
      <c r="B32" s="33" t="s">
        <v>174</v>
      </c>
      <c r="C32" s="34" t="s">
        <v>175</v>
      </c>
      <c r="D32" s="51" t="s">
        <v>217</v>
      </c>
      <c r="E32" s="61" t="str">
        <f>IFERROR(VLOOKUP(D32,'Master List'!D:H,2,FALSE),"NA")</f>
        <v>110103</v>
      </c>
      <c r="F32" s="62" t="str">
        <f>IFERROR(VLOOKUP(D32,'Master List'!D:H,3,FALSE),"NA")</f>
        <v>110103</v>
      </c>
      <c r="G32" s="58" t="str">
        <f>IFERROR(VLOOKUP(D32,'Master List'!D:H,4,FALSE),"NA")</f>
        <v>110103</v>
      </c>
      <c r="H32" s="39" t="str">
        <f>IFERROR(VLOOKUP(D32,'Master List'!D:H,5,FALSE),"NA")</f>
        <v>Information Technology.</v>
      </c>
      <c r="I32" s="19"/>
      <c r="J32" s="20"/>
      <c r="K32" s="20"/>
      <c r="L32" s="21"/>
    </row>
    <row r="33" spans="1:12" x14ac:dyDescent="0.3">
      <c r="A33" s="33">
        <v>7</v>
      </c>
      <c r="B33" s="33" t="s">
        <v>174</v>
      </c>
      <c r="C33" s="34" t="s">
        <v>175</v>
      </c>
      <c r="D33" s="51" t="s">
        <v>218</v>
      </c>
      <c r="E33" s="61" t="str">
        <f>IFERROR(VLOOKUP(D33,'Master List'!D:H,2,FALSE),"NA")</f>
        <v>110103</v>
      </c>
      <c r="F33" s="62" t="str">
        <f>IFERROR(VLOOKUP(D33,'Master List'!D:H,3,FALSE),"NA")</f>
        <v>110103</v>
      </c>
      <c r="G33" s="58" t="str">
        <f>IFERROR(VLOOKUP(D33,'Master List'!D:H,4,FALSE),"NA")</f>
        <v>110103</v>
      </c>
      <c r="H33" s="39" t="str">
        <f>IFERROR(VLOOKUP(D33,'Master List'!D:H,5,FALSE),"NA")</f>
        <v>Information Technology.</v>
      </c>
      <c r="I33" s="19"/>
      <c r="J33" s="20"/>
      <c r="K33" s="20"/>
      <c r="L33" s="21"/>
    </row>
    <row r="34" spans="1:12" x14ac:dyDescent="0.3">
      <c r="A34" s="33">
        <v>7</v>
      </c>
      <c r="B34" s="33" t="s">
        <v>174</v>
      </c>
      <c r="C34" s="34" t="s">
        <v>175</v>
      </c>
      <c r="D34" s="51" t="s">
        <v>219</v>
      </c>
      <c r="E34" s="61" t="str">
        <f>IFERROR(VLOOKUP(D34,'Master List'!D:H,2,FALSE),"NA")</f>
        <v>111001</v>
      </c>
      <c r="F34" s="62" t="str">
        <f>IFERROR(VLOOKUP(D34,'Master List'!D:H,3,FALSE),"NA")</f>
        <v>111001</v>
      </c>
      <c r="G34" s="58" t="str">
        <f>IFERROR(VLOOKUP(D34,'Master List'!D:H,4,FALSE),"NA")</f>
        <v>111001</v>
      </c>
      <c r="H34" s="39" t="str">
        <f>IFERROR(VLOOKUP(D34,'Master List'!D:H,5,FALSE),"NA")</f>
        <v>Network and System Administration/Administrator.</v>
      </c>
      <c r="I34" s="19"/>
      <c r="J34" s="20"/>
      <c r="K34" s="20"/>
      <c r="L34" s="21"/>
    </row>
    <row r="35" spans="1:12" x14ac:dyDescent="0.3">
      <c r="A35" s="33">
        <v>7</v>
      </c>
      <c r="B35" s="33" t="s">
        <v>174</v>
      </c>
      <c r="C35" s="34" t="s">
        <v>175</v>
      </c>
      <c r="D35" s="51" t="s">
        <v>34</v>
      </c>
      <c r="E35" s="61" t="str">
        <f>IFERROR(VLOOKUP(D35,'Master List'!D:H,2,FALSE),"NA")</f>
        <v>111001</v>
      </c>
      <c r="F35" s="62" t="str">
        <f>IFERROR(VLOOKUP(D35,'Master List'!D:H,3,FALSE),"NA")</f>
        <v>111001</v>
      </c>
      <c r="G35" s="58" t="str">
        <f>IFERROR(VLOOKUP(D35,'Master List'!D:H,4,FALSE),"NA")</f>
        <v>111001</v>
      </c>
      <c r="H35" s="39" t="str">
        <f>IFERROR(VLOOKUP(D35,'Master List'!D:H,5,FALSE),"NA")</f>
        <v>Network and System Administration/Administrator.</v>
      </c>
      <c r="I35" s="19"/>
      <c r="J35" s="20"/>
      <c r="K35" s="20"/>
      <c r="L35" s="21"/>
    </row>
    <row r="36" spans="1:12" x14ac:dyDescent="0.3">
      <c r="A36" s="33">
        <v>7</v>
      </c>
      <c r="B36" s="33" t="s">
        <v>174</v>
      </c>
      <c r="C36" s="34" t="s">
        <v>175</v>
      </c>
      <c r="D36" s="51" t="s">
        <v>220</v>
      </c>
      <c r="E36" s="61" t="str">
        <f>IFERROR(VLOOKUP(D36,'Master List'!D:H,2,FALSE),"NA")</f>
        <v>111001</v>
      </c>
      <c r="F36" s="62" t="str">
        <f>IFERROR(VLOOKUP(D36,'Master List'!D:H,3,FALSE),"NA")</f>
        <v>111001</v>
      </c>
      <c r="G36" s="58" t="str">
        <f>IFERROR(VLOOKUP(D36,'Master List'!D:H,4,FALSE),"NA")</f>
        <v>111001</v>
      </c>
      <c r="H36" s="39" t="str">
        <f>IFERROR(VLOOKUP(D36,'Master List'!D:H,5,FALSE),"NA")</f>
        <v>Network and System Administration/Administrator.</v>
      </c>
      <c r="I36" s="19"/>
      <c r="J36" s="20"/>
      <c r="K36" s="20"/>
      <c r="L36" s="21"/>
    </row>
    <row r="37" spans="1:12" x14ac:dyDescent="0.3">
      <c r="A37" s="33">
        <v>7</v>
      </c>
      <c r="B37" s="33" t="s">
        <v>174</v>
      </c>
      <c r="C37" s="34" t="s">
        <v>175</v>
      </c>
      <c r="D37" s="51" t="s">
        <v>221</v>
      </c>
      <c r="E37" s="61" t="str">
        <f>IFERROR(VLOOKUP(D37,'Master List'!D:H,2,FALSE),"NA")</f>
        <v>111001</v>
      </c>
      <c r="F37" s="62" t="str">
        <f>IFERROR(VLOOKUP(D37,'Master List'!D:H,3,FALSE),"NA")</f>
        <v>111001</v>
      </c>
      <c r="G37" s="58" t="str">
        <f>IFERROR(VLOOKUP(D37,'Master List'!D:H,4,FALSE),"NA")</f>
        <v>111001</v>
      </c>
      <c r="H37" s="39" t="str">
        <f>IFERROR(VLOOKUP(D37,'Master List'!D:H,5,FALSE),"NA")</f>
        <v>Network and System Administration/Administrator.</v>
      </c>
      <c r="I37" s="19"/>
      <c r="J37" s="20"/>
      <c r="K37" s="20"/>
      <c r="L37" s="21"/>
    </row>
    <row r="38" spans="1:12" x14ac:dyDescent="0.3">
      <c r="A38" s="33">
        <v>7</v>
      </c>
      <c r="B38" s="33" t="s">
        <v>174</v>
      </c>
      <c r="C38" s="34" t="s">
        <v>175</v>
      </c>
      <c r="D38" s="51" t="s">
        <v>222</v>
      </c>
      <c r="E38" s="61" t="str">
        <f>IFERROR(VLOOKUP(D38,'Master List'!D:H,2,FALSE),"NA")</f>
        <v>111001</v>
      </c>
      <c r="F38" s="62" t="str">
        <f>IFERROR(VLOOKUP(D38,'Master List'!D:H,3,FALSE),"NA")</f>
        <v>111001</v>
      </c>
      <c r="G38" s="58" t="str">
        <f>IFERROR(VLOOKUP(D38,'Master List'!D:H,4,FALSE),"NA")</f>
        <v>111001</v>
      </c>
      <c r="H38" s="39" t="str">
        <f>IFERROR(VLOOKUP(D38,'Master List'!D:H,5,FALSE),"NA")</f>
        <v>Network and System Administration/Administrator.</v>
      </c>
      <c r="I38" s="19"/>
      <c r="J38" s="20"/>
      <c r="K38" s="20"/>
      <c r="L38" s="21"/>
    </row>
    <row r="39" spans="1:12" x14ac:dyDescent="0.3">
      <c r="A39" s="33">
        <v>7</v>
      </c>
      <c r="B39" s="33" t="s">
        <v>174</v>
      </c>
      <c r="C39" s="34" t="s">
        <v>175</v>
      </c>
      <c r="D39" s="51" t="s">
        <v>36</v>
      </c>
      <c r="E39" s="61" t="str">
        <f>IFERROR(VLOOKUP(D39,'Master List'!D:H,2,FALSE),"NA")</f>
        <v>111001</v>
      </c>
      <c r="F39" s="62" t="str">
        <f>IFERROR(VLOOKUP(D39,'Master List'!D:H,3,FALSE),"NA")</f>
        <v>111001</v>
      </c>
      <c r="G39" s="58" t="str">
        <f>IFERROR(VLOOKUP(D39,'Master List'!D:H,4,FALSE),"NA")</f>
        <v>111001</v>
      </c>
      <c r="H39" s="39" t="str">
        <f>IFERROR(VLOOKUP(D39,'Master List'!D:H,5,FALSE),"NA")</f>
        <v>Network and System Administration/Administrator.</v>
      </c>
      <c r="I39" s="19"/>
      <c r="J39" s="20"/>
      <c r="K39" s="20"/>
      <c r="L39" s="21"/>
    </row>
    <row r="40" spans="1:12" x14ac:dyDescent="0.3">
      <c r="A40" s="33">
        <v>7</v>
      </c>
      <c r="B40" s="33" t="s">
        <v>174</v>
      </c>
      <c r="C40" s="34" t="s">
        <v>175</v>
      </c>
      <c r="D40" s="51" t="s">
        <v>223</v>
      </c>
      <c r="E40" s="61" t="str">
        <f>IFERROR(VLOOKUP(D40,'Master List'!D:H,2,FALSE),"NA")</f>
        <v>450702</v>
      </c>
      <c r="F40" s="62" t="str">
        <f>IFERROR(VLOOKUP(D40,'Master List'!D:H,3,FALSE),"NA")</f>
        <v>450702</v>
      </c>
      <c r="G40" s="58" t="str">
        <f>IFERROR(VLOOKUP(D40,'Master List'!D:H,4,FALSE),"NA")</f>
        <v>450702</v>
      </c>
      <c r="H40" s="39" t="str">
        <f>IFERROR(VLOOKUP(D40,'Master List'!D:H,5,FALSE),"NA")</f>
        <v>Geographic Information Science and Cartography.</v>
      </c>
      <c r="I40" s="19"/>
      <c r="J40" s="20"/>
      <c r="K40" s="20"/>
      <c r="L40" s="21"/>
    </row>
    <row r="41" spans="1:12" x14ac:dyDescent="0.3">
      <c r="A41" s="33">
        <v>7</v>
      </c>
      <c r="B41" s="33" t="s">
        <v>174</v>
      </c>
      <c r="C41" s="34" t="s">
        <v>175</v>
      </c>
      <c r="D41" s="51" t="s">
        <v>153</v>
      </c>
      <c r="E41" s="61" t="str">
        <f>IFERROR(VLOOKUP(D41,'Master List'!D:H,2,FALSE),"NA")</f>
        <v>520201</v>
      </c>
      <c r="F41" s="62" t="str">
        <f>IFERROR(VLOOKUP(D41,'Master List'!D:H,3,FALSE),"NA")</f>
        <v>520201</v>
      </c>
      <c r="G41" s="58" t="str">
        <f>IFERROR(VLOOKUP(D41,'Master List'!D:H,4,FALSE),"NA")</f>
        <v>520201</v>
      </c>
      <c r="H41" s="39" t="str">
        <f>IFERROR(VLOOKUP(D41,'Master List'!D:H,5,FALSE),"NA")</f>
        <v>Business Administration and Management, General.</v>
      </c>
      <c r="I41" s="19"/>
      <c r="J41" s="20"/>
      <c r="K41" s="20"/>
      <c r="L41" s="21"/>
    </row>
    <row r="42" spans="1:12" x14ac:dyDescent="0.3">
      <c r="A42" s="33">
        <v>7</v>
      </c>
      <c r="B42" s="33" t="s">
        <v>174</v>
      </c>
      <c r="C42" s="34" t="s">
        <v>175</v>
      </c>
      <c r="D42" s="51" t="s">
        <v>154</v>
      </c>
      <c r="E42" s="61" t="str">
        <f>IFERROR(VLOOKUP(D42,'Master List'!D:H,2,FALSE),"NA")</f>
        <v>520201</v>
      </c>
      <c r="F42" s="62" t="str">
        <f>IFERROR(VLOOKUP(D42,'Master List'!D:H,3,FALSE),"NA")</f>
        <v>520201</v>
      </c>
      <c r="G42" s="58" t="str">
        <f>IFERROR(VLOOKUP(D42,'Master List'!D:H,4,FALSE),"NA")</f>
        <v>520201</v>
      </c>
      <c r="H42" s="39" t="str">
        <f>IFERROR(VLOOKUP(D42,'Master List'!D:H,5,FALSE),"NA")</f>
        <v>Business Administration and Management, General.</v>
      </c>
      <c r="I42" s="19"/>
      <c r="J42" s="20"/>
      <c r="K42" s="20"/>
      <c r="L42" s="21"/>
    </row>
    <row r="43" spans="1:12" x14ac:dyDescent="0.3">
      <c r="A43" s="33">
        <v>7</v>
      </c>
      <c r="B43" s="33" t="s">
        <v>174</v>
      </c>
      <c r="C43" s="34" t="s">
        <v>175</v>
      </c>
      <c r="D43" s="51" t="s">
        <v>37</v>
      </c>
      <c r="E43" s="61" t="str">
        <f>IFERROR(VLOOKUP(D43,'Master List'!D:H,2,FALSE),"NA")</f>
        <v>520204</v>
      </c>
      <c r="F43" s="62" t="str">
        <f>IFERROR(VLOOKUP(D43,'Master List'!D:H,3,FALSE),"NA")</f>
        <v>520204</v>
      </c>
      <c r="G43" s="58" t="str">
        <f>IFERROR(VLOOKUP(D43,'Master List'!D:H,4,FALSE),"NA")</f>
        <v>520204</v>
      </c>
      <c r="H43" s="39" t="str">
        <f>IFERROR(VLOOKUP(D43,'Master List'!D:H,5,FALSE),"NA")</f>
        <v>Office Management and Supervision.</v>
      </c>
      <c r="I43" s="19"/>
      <c r="J43" s="20"/>
      <c r="K43" s="20"/>
      <c r="L43" s="21"/>
    </row>
    <row r="44" spans="1:12" x14ac:dyDescent="0.3">
      <c r="A44" s="33">
        <v>7</v>
      </c>
      <c r="B44" s="33" t="s">
        <v>174</v>
      </c>
      <c r="C44" s="34" t="s">
        <v>175</v>
      </c>
      <c r="D44" s="51" t="s">
        <v>226</v>
      </c>
      <c r="E44" s="61" t="str">
        <f>IFERROR(VLOOKUP(D44,'Master List'!D:H,2,FALSE),"NA")</f>
        <v>520204</v>
      </c>
      <c r="F44" s="62" t="str">
        <f>IFERROR(VLOOKUP(D44,'Master List'!D:H,3,FALSE),"NA")</f>
        <v>520204</v>
      </c>
      <c r="G44" s="58" t="str">
        <f>IFERROR(VLOOKUP(D44,'Master List'!D:H,4,FALSE),"NA")</f>
        <v>520204</v>
      </c>
      <c r="H44" s="39" t="str">
        <f>IFERROR(VLOOKUP(D44,'Master List'!D:H,5,FALSE),"NA")</f>
        <v>Office Management and Supervision.</v>
      </c>
      <c r="I44" s="19"/>
      <c r="J44" s="20"/>
      <c r="K44" s="20"/>
      <c r="L44" s="21"/>
    </row>
    <row r="45" spans="1:12" x14ac:dyDescent="0.3">
      <c r="A45" s="33">
        <v>7</v>
      </c>
      <c r="B45" s="33" t="s">
        <v>174</v>
      </c>
      <c r="C45" s="34" t="s">
        <v>175</v>
      </c>
      <c r="D45" s="51" t="s">
        <v>227</v>
      </c>
      <c r="E45" s="61" t="str">
        <f>IFERROR(VLOOKUP(D45,'Master List'!D:H,2,FALSE),"NA")</f>
        <v>520302</v>
      </c>
      <c r="F45" s="62" t="str">
        <f>IFERROR(VLOOKUP(D45,'Master List'!D:H,3,FALSE),"NA")</f>
        <v>520302</v>
      </c>
      <c r="G45" s="58" t="str">
        <f>IFERROR(VLOOKUP(D45,'Master List'!D:H,4,FALSE),"NA")</f>
        <v>520302</v>
      </c>
      <c r="H45" s="39" t="str">
        <f>IFERROR(VLOOKUP(D45,'Master List'!D:H,5,FALSE),"NA")</f>
        <v>Accounting Technology/Technician and Bookkeeping.</v>
      </c>
      <c r="I45" s="19"/>
      <c r="J45" s="20"/>
      <c r="K45" s="20"/>
      <c r="L45" s="21"/>
    </row>
    <row r="46" spans="1:12" x14ac:dyDescent="0.3">
      <c r="A46" s="33">
        <v>7</v>
      </c>
      <c r="B46" s="33" t="s">
        <v>174</v>
      </c>
      <c r="C46" s="34" t="s">
        <v>175</v>
      </c>
      <c r="D46" s="51" t="s">
        <v>228</v>
      </c>
      <c r="E46" s="61" t="str">
        <f>IFERROR(VLOOKUP(D46,'Master List'!D:H,2,FALSE),"NA")</f>
        <v>520302</v>
      </c>
      <c r="F46" s="62" t="str">
        <f>IFERROR(VLOOKUP(D46,'Master List'!D:H,3,FALSE),"NA")</f>
        <v>520302</v>
      </c>
      <c r="G46" s="58" t="str">
        <f>IFERROR(VLOOKUP(D46,'Master List'!D:H,4,FALSE),"NA")</f>
        <v>520302</v>
      </c>
      <c r="H46" s="39" t="str">
        <f>IFERROR(VLOOKUP(D46,'Master List'!D:H,5,FALSE),"NA")</f>
        <v>Accounting Technology/Technician and Bookkeeping.</v>
      </c>
      <c r="I46" s="19"/>
      <c r="J46" s="20"/>
      <c r="K46" s="20"/>
      <c r="L46" s="21"/>
    </row>
    <row r="47" spans="1:12" x14ac:dyDescent="0.3">
      <c r="A47" s="33">
        <v>7</v>
      </c>
      <c r="B47" s="33" t="s">
        <v>174</v>
      </c>
      <c r="C47" s="34" t="s">
        <v>175</v>
      </c>
      <c r="D47" s="51" t="s">
        <v>40</v>
      </c>
      <c r="E47" s="61" t="str">
        <f>IFERROR(VLOOKUP(D47,'Master List'!D:H,2,FALSE),"NA")</f>
        <v>520302</v>
      </c>
      <c r="F47" s="62" t="str">
        <f>IFERROR(VLOOKUP(D47,'Master List'!D:H,3,FALSE),"NA")</f>
        <v>520302</v>
      </c>
      <c r="G47" s="58" t="str">
        <f>IFERROR(VLOOKUP(D47,'Master List'!D:H,4,FALSE),"NA")</f>
        <v>520302</v>
      </c>
      <c r="H47" s="39" t="str">
        <f>IFERROR(VLOOKUP(D47,'Master List'!D:H,5,FALSE),"NA")</f>
        <v>Accounting Technology/Technician and Bookkeeping.</v>
      </c>
      <c r="I47" s="19"/>
      <c r="J47" s="20"/>
      <c r="K47" s="20"/>
      <c r="L47" s="21"/>
    </row>
    <row r="48" spans="1:12" x14ac:dyDescent="0.3">
      <c r="A48" s="33">
        <v>7</v>
      </c>
      <c r="B48" s="33" t="s">
        <v>174</v>
      </c>
      <c r="C48" s="34" t="s">
        <v>175</v>
      </c>
      <c r="D48" s="51" t="s">
        <v>229</v>
      </c>
      <c r="E48" s="61" t="str">
        <f>IFERROR(VLOOKUP(D48,'Master List'!D:H,2,FALSE),"NA")</f>
        <v>520407</v>
      </c>
      <c r="F48" s="62" t="str">
        <f>IFERROR(VLOOKUP(D48,'Master List'!D:H,3,FALSE),"NA")</f>
        <v>520407</v>
      </c>
      <c r="G48" s="58" t="str">
        <f>IFERROR(VLOOKUP(D48,'Master List'!D:H,4,FALSE),"NA")</f>
        <v>520407</v>
      </c>
      <c r="H48" s="39" t="str">
        <f>IFERROR(VLOOKUP(D48,'Master List'!D:H,5,FALSE),"NA")</f>
        <v>Business/Office Automation/Technology/Data Entry.</v>
      </c>
      <c r="I48" s="19"/>
      <c r="J48" s="20"/>
      <c r="K48" s="20"/>
      <c r="L48" s="21"/>
    </row>
    <row r="49" spans="1:12" x14ac:dyDescent="0.3">
      <c r="A49" s="33">
        <v>7</v>
      </c>
      <c r="B49" s="33" t="s">
        <v>174</v>
      </c>
      <c r="C49" s="34" t="s">
        <v>175</v>
      </c>
      <c r="D49" s="51" t="s">
        <v>232</v>
      </c>
      <c r="E49" s="61" t="str">
        <f>IFERROR(VLOOKUP(D49,'Master List'!D:H,2,FALSE),"NA")</f>
        <v>520701</v>
      </c>
      <c r="F49" s="62" t="str">
        <f>IFERROR(VLOOKUP(D49,'Master List'!D:H,3,FALSE),"NA")</f>
        <v>520701</v>
      </c>
      <c r="G49" s="58" t="str">
        <f>IFERROR(VLOOKUP(D49,'Master List'!D:H,4,FALSE),"NA")</f>
        <v>520701</v>
      </c>
      <c r="H49" s="39" t="str">
        <f>IFERROR(VLOOKUP(D49,'Master List'!D:H,5,FALSE),"NA")</f>
        <v>Entrepreneurship/Entrepreneurial Studies.</v>
      </c>
      <c r="I49" s="19"/>
      <c r="J49" s="20"/>
      <c r="K49" s="20"/>
      <c r="L49" s="21"/>
    </row>
    <row r="50" spans="1:12" x14ac:dyDescent="0.3">
      <c r="A50" s="33">
        <v>7</v>
      </c>
      <c r="B50" s="33" t="s">
        <v>174</v>
      </c>
      <c r="C50" s="34" t="s">
        <v>175</v>
      </c>
      <c r="D50" s="51" t="s">
        <v>233</v>
      </c>
      <c r="E50" s="61" t="str">
        <f>IFERROR(VLOOKUP(D50,'Master List'!D:H,2,FALSE),"NA")</f>
        <v>520703</v>
      </c>
      <c r="F50" s="62" t="str">
        <f>IFERROR(VLOOKUP(D50,'Master List'!D:H,3,FALSE),"NA")</f>
        <v>520703</v>
      </c>
      <c r="G50" s="58" t="str">
        <f>IFERROR(VLOOKUP(D50,'Master List'!D:H,4,FALSE),"NA")</f>
        <v>520703</v>
      </c>
      <c r="H50" s="39" t="str">
        <f>IFERROR(VLOOKUP(D50,'Master List'!D:H,5,FALSE),"NA")</f>
        <v>Small Business Administration/Management.</v>
      </c>
      <c r="I50" s="19"/>
      <c r="J50" s="20"/>
      <c r="K50" s="20"/>
      <c r="L50" s="21"/>
    </row>
    <row r="51" spans="1:12" x14ac:dyDescent="0.3">
      <c r="A51" s="33">
        <v>7</v>
      </c>
      <c r="B51" s="33" t="s">
        <v>174</v>
      </c>
      <c r="C51" s="34" t="s">
        <v>175</v>
      </c>
      <c r="D51" s="51" t="s">
        <v>234</v>
      </c>
      <c r="E51" s="61" t="str">
        <f>IFERROR(VLOOKUP(D51,'Master List'!D:H,2,FALSE),"NA")</f>
        <v>090702</v>
      </c>
      <c r="F51" s="62" t="str">
        <f>IFERROR(VLOOKUP(D51,'Master List'!D:H,3,FALSE),"NA")</f>
        <v>090702</v>
      </c>
      <c r="G51" s="58" t="str">
        <f>IFERROR(VLOOKUP(D51,'Master List'!D:H,4,FALSE),"NA")</f>
        <v>090702</v>
      </c>
      <c r="H51" s="39" t="str">
        <f>IFERROR(VLOOKUP(D51,'Master List'!D:H,5,FALSE),"NA")</f>
        <v>Digital Communication and Media/Multimedia.</v>
      </c>
      <c r="I51" s="19"/>
      <c r="J51" s="20"/>
      <c r="K51" s="20"/>
      <c r="L51" s="21"/>
    </row>
    <row r="52" spans="1:12" x14ac:dyDescent="0.3">
      <c r="A52" s="33">
        <v>7</v>
      </c>
      <c r="B52" s="33" t="s">
        <v>174</v>
      </c>
      <c r="C52" s="34" t="s">
        <v>175</v>
      </c>
      <c r="D52" s="51" t="s">
        <v>43</v>
      </c>
      <c r="E52" s="61" t="str">
        <f>IFERROR(VLOOKUP(D52,'Master List'!D:H,2,FALSE),"NA")</f>
        <v>100105</v>
      </c>
      <c r="F52" s="62" t="str">
        <f>IFERROR(VLOOKUP(D52,'Master List'!D:H,3,FALSE),"NA")</f>
        <v>100105</v>
      </c>
      <c r="G52" s="58" t="str">
        <f>IFERROR(VLOOKUP(D52,'Master List'!D:H,4,FALSE),"NA")</f>
        <v>100105</v>
      </c>
      <c r="H52" s="39" t="str">
        <f>IFERROR(VLOOKUP(D52,'Master List'!D:H,5,FALSE),"NA")</f>
        <v>Communications Technology/Technician.</v>
      </c>
      <c r="I52" s="19"/>
      <c r="J52" s="20"/>
      <c r="K52" s="20"/>
      <c r="L52" s="21"/>
    </row>
    <row r="53" spans="1:12" x14ac:dyDescent="0.3">
      <c r="A53" s="33">
        <v>7</v>
      </c>
      <c r="B53" s="33" t="s">
        <v>174</v>
      </c>
      <c r="C53" s="34" t="s">
        <v>175</v>
      </c>
      <c r="D53" s="51" t="s">
        <v>237</v>
      </c>
      <c r="E53" s="61" t="str">
        <f>IFERROR(VLOOKUP(D53,'Master List'!D:H,2,FALSE),"NA")</f>
        <v>110803</v>
      </c>
      <c r="F53" s="62" t="str">
        <f>IFERROR(VLOOKUP(D53,'Master List'!D:H,3,FALSE),"NA")</f>
        <v>110803</v>
      </c>
      <c r="G53" s="58" t="str">
        <f>IFERROR(VLOOKUP(D53,'Master List'!D:H,4,FALSE),"NA")</f>
        <v>110803</v>
      </c>
      <c r="H53" s="39" t="str">
        <f>IFERROR(VLOOKUP(D53,'Master List'!D:H,5,FALSE),"NA")</f>
        <v>Computer Graphics.</v>
      </c>
      <c r="I53" s="19"/>
      <c r="J53" s="20"/>
      <c r="K53" s="20"/>
      <c r="L53" s="21"/>
    </row>
    <row r="54" spans="1:12" x14ac:dyDescent="0.3">
      <c r="A54" s="33">
        <v>7</v>
      </c>
      <c r="B54" s="33" t="s">
        <v>174</v>
      </c>
      <c r="C54" s="34" t="s">
        <v>175</v>
      </c>
      <c r="D54" s="51" t="s">
        <v>240</v>
      </c>
      <c r="E54" s="61" t="str">
        <f>IFERROR(VLOOKUP(D54,'Master List'!D:H,2,FALSE),"NA")</f>
        <v>120401</v>
      </c>
      <c r="F54" s="62" t="str">
        <f>IFERROR(VLOOKUP(D54,'Master List'!D:H,3,FALSE),"NA")</f>
        <v>120401</v>
      </c>
      <c r="G54" s="58" t="str">
        <f>IFERROR(VLOOKUP(D54,'Master List'!D:H,4,FALSE),"NA")</f>
        <v>120401</v>
      </c>
      <c r="H54" s="39" t="str">
        <f>IFERROR(VLOOKUP(D54,'Master List'!D:H,5,FALSE),"NA")</f>
        <v>Cosmetology/Cosmetologist, General.</v>
      </c>
      <c r="I54" s="19"/>
      <c r="J54" s="20"/>
      <c r="K54" s="20"/>
      <c r="L54" s="21"/>
    </row>
    <row r="55" spans="1:12" x14ac:dyDescent="0.3">
      <c r="A55" s="33">
        <v>7</v>
      </c>
      <c r="B55" s="33" t="s">
        <v>174</v>
      </c>
      <c r="C55" s="34" t="s">
        <v>175</v>
      </c>
      <c r="D55" s="51" t="s">
        <v>243</v>
      </c>
      <c r="E55" s="61" t="str">
        <f>IFERROR(VLOOKUP(D55,'Master List'!D:H,2,FALSE),"NA")</f>
        <v>120408</v>
      </c>
      <c r="F55" s="62" t="str">
        <f>IFERROR(VLOOKUP(D55,'Master List'!D:H,3,FALSE),"NA")</f>
        <v>120408</v>
      </c>
      <c r="G55" s="58" t="str">
        <f>IFERROR(VLOOKUP(D55,'Master List'!D:H,4,FALSE),"NA")</f>
        <v>120408</v>
      </c>
      <c r="H55" s="39" t="str">
        <f>IFERROR(VLOOKUP(D55,'Master List'!D:H,5,FALSE),"NA")</f>
        <v>Facial Treatment Specialist/Facialist.</v>
      </c>
      <c r="I55" s="19"/>
      <c r="J55" s="20"/>
      <c r="K55" s="20"/>
      <c r="L55" s="21"/>
    </row>
    <row r="56" spans="1:12" x14ac:dyDescent="0.3">
      <c r="A56" s="33">
        <v>7</v>
      </c>
      <c r="B56" s="33" t="s">
        <v>174</v>
      </c>
      <c r="C56" s="34" t="s">
        <v>175</v>
      </c>
      <c r="D56" s="51" t="s">
        <v>46</v>
      </c>
      <c r="E56" s="61" t="str">
        <f>IFERROR(VLOOKUP(D56,'Master List'!D:H,2,FALSE),"NA")</f>
        <v>120503</v>
      </c>
      <c r="F56" s="62" t="str">
        <f>IFERROR(VLOOKUP(D56,'Master List'!D:H,3,FALSE),"NA")</f>
        <v>120503</v>
      </c>
      <c r="G56" s="58" t="str">
        <f>IFERROR(VLOOKUP(D56,'Master List'!D:H,4,FALSE),"NA")</f>
        <v>120503</v>
      </c>
      <c r="H56" s="39" t="str">
        <f>IFERROR(VLOOKUP(D56,'Master List'!D:H,5,FALSE),"NA")</f>
        <v>Culinary Arts/Chef Training.</v>
      </c>
      <c r="I56" s="19"/>
      <c r="J56" s="20"/>
      <c r="K56" s="20"/>
      <c r="L56" s="21"/>
    </row>
    <row r="57" spans="1:12" x14ac:dyDescent="0.3">
      <c r="A57" s="33">
        <v>7</v>
      </c>
      <c r="B57" s="33" t="s">
        <v>174</v>
      </c>
      <c r="C57" s="34" t="s">
        <v>175</v>
      </c>
      <c r="D57" s="51" t="s">
        <v>246</v>
      </c>
      <c r="E57" s="61" t="str">
        <f>IFERROR(VLOOKUP(D57,'Master List'!D:H,2,FALSE),"NA")</f>
        <v>150000</v>
      </c>
      <c r="F57" s="62" t="str">
        <f>IFERROR(VLOOKUP(D57,'Master List'!D:H,3,FALSE),"NA")</f>
        <v>150000</v>
      </c>
      <c r="G57" s="58" t="str">
        <f>IFERROR(VLOOKUP(D57,'Master List'!D:H,4,FALSE),"NA")</f>
        <v>150000</v>
      </c>
      <c r="H57" s="39" t="str">
        <f>IFERROR(VLOOKUP(D57,'Master List'!D:H,5,FALSE),"NA")</f>
        <v>Engineering Technologies/Technicians, General.</v>
      </c>
      <c r="I57" s="19"/>
      <c r="J57" s="20"/>
      <c r="K57" s="20"/>
      <c r="L57" s="21"/>
    </row>
    <row r="58" spans="1:12" x14ac:dyDescent="0.3">
      <c r="A58" s="33">
        <v>7</v>
      </c>
      <c r="B58" s="33" t="s">
        <v>174</v>
      </c>
      <c r="C58" s="34" t="s">
        <v>175</v>
      </c>
      <c r="D58" s="51" t="s">
        <v>247</v>
      </c>
      <c r="E58" s="61" t="str">
        <f>IFERROR(VLOOKUP(D58,'Master List'!D:H,2,FALSE),"NA")</f>
        <v>150000</v>
      </c>
      <c r="F58" s="62" t="str">
        <f>IFERROR(VLOOKUP(D58,'Master List'!D:H,3,FALSE),"NA")</f>
        <v>150000</v>
      </c>
      <c r="G58" s="58" t="str">
        <f>IFERROR(VLOOKUP(D58,'Master List'!D:H,4,FALSE),"NA")</f>
        <v>150000</v>
      </c>
      <c r="H58" s="39" t="str">
        <f>IFERROR(VLOOKUP(D58,'Master List'!D:H,5,FALSE),"NA")</f>
        <v>Engineering Technologies/Technicians, General.</v>
      </c>
      <c r="I58" s="19"/>
      <c r="J58" s="20"/>
      <c r="K58" s="20"/>
      <c r="L58" s="21"/>
    </row>
    <row r="59" spans="1:12" x14ac:dyDescent="0.3">
      <c r="A59" s="33">
        <v>7</v>
      </c>
      <c r="B59" s="33" t="s">
        <v>174</v>
      </c>
      <c r="C59" s="34" t="s">
        <v>175</v>
      </c>
      <c r="D59" s="51" t="s">
        <v>56</v>
      </c>
      <c r="E59" s="61" t="str">
        <f>IFERROR(VLOOKUP(D59,'Master List'!D:H,2,FALSE),"NA")</f>
        <v>150406</v>
      </c>
      <c r="F59" s="62" t="str">
        <f>IFERROR(VLOOKUP(D59,'Master List'!D:H,3,FALSE),"NA")</f>
        <v>150406</v>
      </c>
      <c r="G59" s="58" t="str">
        <f>IFERROR(VLOOKUP(D59,'Master List'!D:H,4,FALSE),"NA")</f>
        <v>150406</v>
      </c>
      <c r="H59" s="39" t="str">
        <f>IFERROR(VLOOKUP(D59,'Master List'!D:H,5,FALSE),"NA")</f>
        <v>Automation Engineer Technology/Technician.</v>
      </c>
      <c r="I59" s="19"/>
      <c r="J59" s="20"/>
      <c r="K59" s="20"/>
      <c r="L59" s="21"/>
    </row>
    <row r="60" spans="1:12" x14ac:dyDescent="0.3">
      <c r="A60" s="33">
        <v>7</v>
      </c>
      <c r="B60" s="33" t="s">
        <v>174</v>
      </c>
      <c r="C60" s="34" t="s">
        <v>175</v>
      </c>
      <c r="D60" s="51" t="s">
        <v>248</v>
      </c>
      <c r="E60" s="61" t="str">
        <f>IFERROR(VLOOKUP(D60,'Master List'!D:H,2,FALSE),"NA")</f>
        <v>150501</v>
      </c>
      <c r="F60" s="62" t="str">
        <f>IFERROR(VLOOKUP(D60,'Master List'!D:H,3,FALSE),"NA")</f>
        <v>150501</v>
      </c>
      <c r="G60" s="58" t="str">
        <f>IFERROR(VLOOKUP(D60,'Master List'!D:H,4,FALSE),"NA")</f>
        <v>150501</v>
      </c>
      <c r="H60" s="39" t="str">
        <f>IFERROR(VLOOKUP(D60,'Master List'!D:H,5,FALSE),"NA")</f>
        <v>Heating, Ventilation, Air Conditioning and Refrigeration Engineering Technology/Technician.</v>
      </c>
      <c r="I60" s="19"/>
      <c r="J60" s="20"/>
      <c r="K60" s="20"/>
      <c r="L60" s="21"/>
    </row>
    <row r="61" spans="1:12" x14ac:dyDescent="0.3">
      <c r="A61" s="33">
        <v>7</v>
      </c>
      <c r="B61" s="33" t="s">
        <v>174</v>
      </c>
      <c r="C61" s="34" t="s">
        <v>175</v>
      </c>
      <c r="D61" s="51" t="s">
        <v>251</v>
      </c>
      <c r="E61" s="61" t="str">
        <f>IFERROR(VLOOKUP(D61,'Master List'!D:H,2,FALSE),"NA")</f>
        <v>150501</v>
      </c>
      <c r="F61" s="62" t="str">
        <f>IFERROR(VLOOKUP(D61,'Master List'!D:H,3,FALSE),"NA")</f>
        <v>150501</v>
      </c>
      <c r="G61" s="58" t="str">
        <f>IFERROR(VLOOKUP(D61,'Master List'!D:H,4,FALSE),"NA")</f>
        <v>150501</v>
      </c>
      <c r="H61" s="39" t="str">
        <f>IFERROR(VLOOKUP(D61,'Master List'!D:H,5,FALSE),"NA")</f>
        <v>Heating, Ventilation, Air Conditioning and Refrigeration Engineering Technology/Technician.</v>
      </c>
      <c r="I61" s="19"/>
      <c r="J61" s="20"/>
      <c r="K61" s="20"/>
      <c r="L61" s="21"/>
    </row>
    <row r="62" spans="1:12" x14ac:dyDescent="0.3">
      <c r="A62" s="33">
        <v>7</v>
      </c>
      <c r="B62" s="33" t="s">
        <v>174</v>
      </c>
      <c r="C62" s="34" t="s">
        <v>175</v>
      </c>
      <c r="D62" s="51" t="s">
        <v>252</v>
      </c>
      <c r="E62" s="61" t="str">
        <f>IFERROR(VLOOKUP(D62,'Master List'!D:H,2,FALSE),"NA")</f>
        <v>150613</v>
      </c>
      <c r="F62" s="62" t="str">
        <f>IFERROR(VLOOKUP(D62,'Master List'!D:H,3,FALSE),"NA")</f>
        <v>150613</v>
      </c>
      <c r="G62" s="58" t="str">
        <f>IFERROR(VLOOKUP(D62,'Master List'!D:H,4,FALSE),"NA")</f>
        <v>150613</v>
      </c>
      <c r="H62" s="39" t="str">
        <f>IFERROR(VLOOKUP(D62,'Master List'!D:H,5,FALSE),"NA")</f>
        <v>Manufacturing Engineering Technology/Technician.</v>
      </c>
      <c r="I62" s="19"/>
      <c r="J62" s="20"/>
      <c r="K62" s="20"/>
      <c r="L62" s="21"/>
    </row>
    <row r="63" spans="1:12" x14ac:dyDescent="0.3">
      <c r="A63" s="33">
        <v>7</v>
      </c>
      <c r="B63" s="33" t="s">
        <v>174</v>
      </c>
      <c r="C63" s="34" t="s">
        <v>175</v>
      </c>
      <c r="D63" s="51" t="s">
        <v>255</v>
      </c>
      <c r="E63" s="61" t="str">
        <f>IFERROR(VLOOKUP(D63,'Master List'!D:H,2,FALSE),"NA")</f>
        <v>150803</v>
      </c>
      <c r="F63" s="62" t="str">
        <f>IFERROR(VLOOKUP(D63,'Master List'!D:H,3,FALSE),"NA")</f>
        <v>150803</v>
      </c>
      <c r="G63" s="58" t="str">
        <f>IFERROR(VLOOKUP(D63,'Master List'!D:H,4,FALSE),"NA")</f>
        <v>150803</v>
      </c>
      <c r="H63" s="39" t="str">
        <f>IFERROR(VLOOKUP(D63,'Master List'!D:H,5,FALSE),"NA")</f>
        <v>Automotive Engineering Technology/Technician.</v>
      </c>
      <c r="I63" s="19"/>
      <c r="J63" s="20"/>
      <c r="K63" s="20"/>
      <c r="L63" s="21"/>
    </row>
    <row r="64" spans="1:12" x14ac:dyDescent="0.3">
      <c r="A64" s="33">
        <v>7</v>
      </c>
      <c r="B64" s="33" t="s">
        <v>174</v>
      </c>
      <c r="C64" s="34" t="s">
        <v>175</v>
      </c>
      <c r="D64" s="51" t="s">
        <v>258</v>
      </c>
      <c r="E64" s="61" t="str">
        <f>IFERROR(VLOOKUP(D64,'Master List'!D:H,2,FALSE),"NA")</f>
        <v>150803</v>
      </c>
      <c r="F64" s="62" t="str">
        <f>IFERROR(VLOOKUP(D64,'Master List'!D:H,3,FALSE),"NA")</f>
        <v>150803</v>
      </c>
      <c r="G64" s="58" t="str">
        <f>IFERROR(VLOOKUP(D64,'Master List'!D:H,4,FALSE),"NA")</f>
        <v>150803</v>
      </c>
      <c r="H64" s="39" t="str">
        <f>IFERROR(VLOOKUP(D64,'Master List'!D:H,5,FALSE),"NA")</f>
        <v>Automotive Engineering Technology/Technician.</v>
      </c>
      <c r="I64" s="19"/>
      <c r="J64" s="20"/>
      <c r="K64" s="20"/>
      <c r="L64" s="21"/>
    </row>
    <row r="65" spans="1:12" x14ac:dyDescent="0.3">
      <c r="A65" s="33">
        <v>7</v>
      </c>
      <c r="B65" s="33" t="s">
        <v>174</v>
      </c>
      <c r="C65" s="34" t="s">
        <v>175</v>
      </c>
      <c r="D65" s="51" t="s">
        <v>259</v>
      </c>
      <c r="E65" s="61" t="str">
        <f>IFERROR(VLOOKUP(D65,'Master List'!D:H,2,FALSE),"NA")</f>
        <v>151301</v>
      </c>
      <c r="F65" s="62" t="str">
        <f>IFERROR(VLOOKUP(D65,'Master List'!D:H,3,FALSE),"NA")</f>
        <v>151301</v>
      </c>
      <c r="G65" s="58">
        <f>IFERROR(VLOOKUP(D65,'Master List'!D:H,4,FALSE),"NA")</f>
        <v>151302</v>
      </c>
      <c r="H65" s="39" t="str">
        <f>IFERROR(VLOOKUP(D65,'Master List'!D:H,5,FALSE),"NA")</f>
        <v>CAD/CADD Drafting and/or Design Technology/Technician</v>
      </c>
      <c r="I65" s="19"/>
      <c r="J65" s="20"/>
      <c r="K65" s="20"/>
      <c r="L65" s="21"/>
    </row>
    <row r="66" spans="1:12" x14ac:dyDescent="0.3">
      <c r="A66" s="33">
        <v>7</v>
      </c>
      <c r="B66" s="33" t="s">
        <v>174</v>
      </c>
      <c r="C66" s="34" t="s">
        <v>175</v>
      </c>
      <c r="D66" s="51" t="s">
        <v>262</v>
      </c>
      <c r="E66" s="61" t="str">
        <f>IFERROR(VLOOKUP(D66,'Master List'!D:H,2,FALSE),"NA")</f>
        <v>151302</v>
      </c>
      <c r="F66" s="62" t="str">
        <f>IFERROR(VLOOKUP(D66,'Master List'!D:H,3,FALSE),"NA")</f>
        <v>151302</v>
      </c>
      <c r="G66" s="58" t="str">
        <f>IFERROR(VLOOKUP(D66,'Master List'!D:H,4,FALSE),"NA")</f>
        <v>151302</v>
      </c>
      <c r="H66" s="39" t="str">
        <f>IFERROR(VLOOKUP(D66,'Master List'!D:H,5,FALSE),"NA")</f>
        <v>CAD/CADD Drafting and/or Design Technology/Technician.</v>
      </c>
      <c r="I66" s="19"/>
      <c r="J66" s="20"/>
      <c r="K66" s="20"/>
      <c r="L66" s="21"/>
    </row>
    <row r="67" spans="1:12" x14ac:dyDescent="0.3">
      <c r="A67" s="33">
        <v>7</v>
      </c>
      <c r="B67" s="33" t="s">
        <v>174</v>
      </c>
      <c r="C67" s="34" t="s">
        <v>175</v>
      </c>
      <c r="D67" s="51" t="s">
        <v>265</v>
      </c>
      <c r="E67" s="61" t="str">
        <f>IFERROR(VLOOKUP(D67,'Master List'!D:H,2,FALSE),"NA")</f>
        <v>261201</v>
      </c>
      <c r="F67" s="62" t="str">
        <f>IFERROR(VLOOKUP(D67,'Master List'!D:H,3,FALSE),"NA")</f>
        <v>261201</v>
      </c>
      <c r="G67" s="58" t="str">
        <f>IFERROR(VLOOKUP(D67,'Master List'!D:H,4,FALSE),"NA")</f>
        <v>261201</v>
      </c>
      <c r="H67" s="39" t="str">
        <f>IFERROR(VLOOKUP(D67,'Master List'!D:H,5,FALSE),"NA")</f>
        <v>Biotechnology.</v>
      </c>
      <c r="I67" s="19"/>
      <c r="J67" s="20"/>
      <c r="K67" s="20"/>
      <c r="L67" s="21"/>
    </row>
    <row r="68" spans="1:12" x14ac:dyDescent="0.3">
      <c r="A68" s="33">
        <v>7</v>
      </c>
      <c r="B68" s="33" t="s">
        <v>174</v>
      </c>
      <c r="C68" s="34" t="s">
        <v>175</v>
      </c>
      <c r="D68" s="51" t="s">
        <v>268</v>
      </c>
      <c r="E68" s="61" t="str">
        <f>IFERROR(VLOOKUP(D68,'Master List'!D:H,2,FALSE),"NA")</f>
        <v>410301</v>
      </c>
      <c r="F68" s="62" t="str">
        <f>IFERROR(VLOOKUP(D68,'Master List'!D:H,3,FALSE),"NA")</f>
        <v>410301</v>
      </c>
      <c r="G68" s="58" t="str">
        <f>IFERROR(VLOOKUP(D68,'Master List'!D:H,4,FALSE),"NA")</f>
        <v>410301</v>
      </c>
      <c r="H68" s="39" t="str">
        <f>IFERROR(VLOOKUP(D68,'Master List'!D:H,5,FALSE),"NA")</f>
        <v>Chemical Technology/Technician.</v>
      </c>
      <c r="I68" s="19"/>
      <c r="J68" s="20"/>
      <c r="K68" s="20"/>
      <c r="L68" s="21"/>
    </row>
    <row r="69" spans="1:12" x14ac:dyDescent="0.3">
      <c r="A69" s="33">
        <v>7</v>
      </c>
      <c r="B69" s="33" t="s">
        <v>174</v>
      </c>
      <c r="C69" s="34" t="s">
        <v>175</v>
      </c>
      <c r="D69" s="51" t="s">
        <v>271</v>
      </c>
      <c r="E69" s="61" t="str">
        <f>IFERROR(VLOOKUP(D69,'Master List'!D:H,2,FALSE),"NA")</f>
        <v>410301</v>
      </c>
      <c r="F69" s="62" t="str">
        <f>IFERROR(VLOOKUP(D69,'Master List'!D:H,3,FALSE),"NA")</f>
        <v>410301</v>
      </c>
      <c r="G69" s="58" t="str">
        <f>IFERROR(VLOOKUP(D69,'Master List'!D:H,4,FALSE),"NA")</f>
        <v>410301</v>
      </c>
      <c r="H69" s="39" t="str">
        <f>IFERROR(VLOOKUP(D69,'Master List'!D:H,5,FALSE),"NA")</f>
        <v>Chemical Technology/Technician.</v>
      </c>
      <c r="I69" s="19"/>
      <c r="J69" s="20"/>
      <c r="K69" s="20"/>
      <c r="L69" s="21"/>
    </row>
    <row r="70" spans="1:12" x14ac:dyDescent="0.3">
      <c r="A70" s="33">
        <v>7</v>
      </c>
      <c r="B70" s="33" t="s">
        <v>174</v>
      </c>
      <c r="C70" s="34" t="s">
        <v>175</v>
      </c>
      <c r="D70" s="51" t="s">
        <v>272</v>
      </c>
      <c r="E70" s="61" t="str">
        <f>IFERROR(VLOOKUP(D70,'Master List'!D:H,2,FALSE),"NA")</f>
        <v>460302</v>
      </c>
      <c r="F70" s="62" t="str">
        <f>IFERROR(VLOOKUP(D70,'Master List'!D:H,3,FALSE),"NA")</f>
        <v>460302</v>
      </c>
      <c r="G70" s="58" t="str">
        <f>IFERROR(VLOOKUP(D70,'Master List'!D:H,4,FALSE),"NA")</f>
        <v>460302</v>
      </c>
      <c r="H70" s="39" t="str">
        <f>IFERROR(VLOOKUP(D70,'Master List'!D:H,5,FALSE),"NA")</f>
        <v>Electrician.</v>
      </c>
      <c r="I70" s="19"/>
      <c r="J70" s="20"/>
      <c r="K70" s="20"/>
      <c r="L70" s="21"/>
    </row>
    <row r="71" spans="1:12" x14ac:dyDescent="0.3">
      <c r="A71" s="33">
        <v>7</v>
      </c>
      <c r="B71" s="33" t="s">
        <v>174</v>
      </c>
      <c r="C71" s="34" t="s">
        <v>175</v>
      </c>
      <c r="D71" s="51" t="s">
        <v>275</v>
      </c>
      <c r="E71" s="61" t="str">
        <f>IFERROR(VLOOKUP(D71,'Master List'!D:H,2,FALSE),"NA")</f>
        <v>470201</v>
      </c>
      <c r="F71" s="62" t="str">
        <f>IFERROR(VLOOKUP(D71,'Master List'!D:H,3,FALSE),"NA")</f>
        <v>470201</v>
      </c>
      <c r="G71" s="58" t="str">
        <f>IFERROR(VLOOKUP(D71,'Master List'!D:H,4,FALSE),"NA")</f>
        <v>470201</v>
      </c>
      <c r="H71" s="39" t="str">
        <f>IFERROR(VLOOKUP(D71,'Master List'!D:H,5,FALSE),"NA")</f>
        <v>Heating, Air Conditioning, Ventilation and Refrigeration Maintenance Technology/Technician.</v>
      </c>
      <c r="I71" s="19"/>
      <c r="J71" s="20"/>
      <c r="K71" s="20"/>
      <c r="L71" s="21"/>
    </row>
    <row r="72" spans="1:12" x14ac:dyDescent="0.3">
      <c r="A72" s="33">
        <v>7</v>
      </c>
      <c r="B72" s="33" t="s">
        <v>174</v>
      </c>
      <c r="C72" s="34" t="s">
        <v>175</v>
      </c>
      <c r="D72" s="51" t="s">
        <v>278</v>
      </c>
      <c r="E72" s="61" t="str">
        <f>IFERROR(VLOOKUP(D72,'Master List'!D:H,2,FALSE),"NA")</f>
        <v>470201</v>
      </c>
      <c r="F72" s="62" t="str">
        <f>IFERROR(VLOOKUP(D72,'Master List'!D:H,3,FALSE),"NA")</f>
        <v>470201</v>
      </c>
      <c r="G72" s="58" t="str">
        <f>IFERROR(VLOOKUP(D72,'Master List'!D:H,4,FALSE),"NA")</f>
        <v>470201</v>
      </c>
      <c r="H72" s="39" t="str">
        <f>IFERROR(VLOOKUP(D72,'Master List'!D:H,5,FALSE),"NA")</f>
        <v>Heating, Air Conditioning, Ventilation and Refrigeration Maintenance Technology/Technician.</v>
      </c>
      <c r="I72" s="19"/>
      <c r="J72" s="20"/>
      <c r="K72" s="20"/>
      <c r="L72" s="21"/>
    </row>
    <row r="73" spans="1:12" x14ac:dyDescent="0.3">
      <c r="A73" s="33">
        <v>7</v>
      </c>
      <c r="B73" s="33" t="s">
        <v>174</v>
      </c>
      <c r="C73" s="34" t="s">
        <v>175</v>
      </c>
      <c r="D73" s="51" t="s">
        <v>279</v>
      </c>
      <c r="E73" s="61" t="str">
        <f>IFERROR(VLOOKUP(D73,'Master List'!D:H,2,FALSE),"NA")</f>
        <v>NA</v>
      </c>
      <c r="F73" s="62" t="str">
        <f>IFERROR(VLOOKUP(D73,'Master List'!D:H,3,FALSE),"NA")</f>
        <v>NA</v>
      </c>
      <c r="G73" s="58" t="str">
        <f>IFERROR(VLOOKUP(D73,'Master List'!D:H,4,FALSE),"NA")</f>
        <v>NA</v>
      </c>
      <c r="H73" s="39" t="str">
        <f>IFERROR(VLOOKUP(D73,'Master List'!D:H,5,FALSE),"NA")</f>
        <v>NA</v>
      </c>
      <c r="I73" s="19"/>
      <c r="J73" s="20"/>
      <c r="K73" s="20"/>
      <c r="L73" s="21"/>
    </row>
    <row r="74" spans="1:12" x14ac:dyDescent="0.3">
      <c r="A74" s="33">
        <v>7</v>
      </c>
      <c r="B74" s="33" t="s">
        <v>174</v>
      </c>
      <c r="C74" s="34" t="s">
        <v>175</v>
      </c>
      <c r="D74" s="51" t="s">
        <v>280</v>
      </c>
      <c r="E74" s="61" t="str">
        <f>IFERROR(VLOOKUP(D74,'Master List'!D:H,2,FALSE),"NA")</f>
        <v>470605</v>
      </c>
      <c r="F74" s="62" t="str">
        <f>IFERROR(VLOOKUP(D74,'Master List'!D:H,3,FALSE),"NA")</f>
        <v>470605</v>
      </c>
      <c r="G74" s="58" t="str">
        <f>IFERROR(VLOOKUP(D74,'Master List'!D:H,4,FALSE),"NA")</f>
        <v>470605</v>
      </c>
      <c r="H74" s="39" t="str">
        <f>IFERROR(VLOOKUP(D74,'Master List'!D:H,5,FALSE),"NA")</f>
        <v>Diesel Mechanics Technology/Technician.</v>
      </c>
      <c r="I74" s="19"/>
      <c r="J74" s="20"/>
      <c r="K74" s="20"/>
      <c r="L74" s="21"/>
    </row>
    <row r="75" spans="1:12" x14ac:dyDescent="0.3">
      <c r="A75" s="33">
        <v>7</v>
      </c>
      <c r="B75" s="33" t="s">
        <v>174</v>
      </c>
      <c r="C75" s="34" t="s">
        <v>175</v>
      </c>
      <c r="D75" s="51" t="s">
        <v>281</v>
      </c>
      <c r="E75" s="61" t="str">
        <f>IFERROR(VLOOKUP(D75,'Master List'!D:H,2,FALSE),"NA")</f>
        <v>NA</v>
      </c>
      <c r="F75" s="62" t="str">
        <f>IFERROR(VLOOKUP(D75,'Master List'!D:H,3,FALSE),"NA")</f>
        <v>NA</v>
      </c>
      <c r="G75" s="58" t="str">
        <f>IFERROR(VLOOKUP(D75,'Master List'!D:H,4,FALSE),"NA")</f>
        <v>NA</v>
      </c>
      <c r="H75" s="39" t="str">
        <f>IFERROR(VLOOKUP(D75,'Master List'!D:H,5,FALSE),"NA")</f>
        <v>NA</v>
      </c>
      <c r="I75" s="19"/>
      <c r="J75" s="20"/>
      <c r="K75" s="20"/>
      <c r="L75" s="21"/>
    </row>
    <row r="76" spans="1:12" x14ac:dyDescent="0.3">
      <c r="A76" s="33">
        <v>7</v>
      </c>
      <c r="B76" s="33" t="s">
        <v>174</v>
      </c>
      <c r="C76" s="34" t="s">
        <v>175</v>
      </c>
      <c r="D76" s="51" t="s">
        <v>282</v>
      </c>
      <c r="E76" s="61" t="str">
        <f>IFERROR(VLOOKUP(D76,'Master List'!D:H,2,FALSE),"NA")</f>
        <v>470607</v>
      </c>
      <c r="F76" s="62" t="str">
        <f>IFERROR(VLOOKUP(D76,'Master List'!D:H,3,FALSE),"NA")</f>
        <v>470607</v>
      </c>
      <c r="G76" s="58" t="str">
        <f>IFERROR(VLOOKUP(D76,'Master List'!D:H,4,FALSE),"NA")</f>
        <v>470607</v>
      </c>
      <c r="H76" s="39" t="str">
        <f>IFERROR(VLOOKUP(D76,'Master List'!D:H,5,FALSE),"NA")</f>
        <v>Airframe Mechanics and Aircraft Maintenance Technology/Technician.</v>
      </c>
      <c r="I76" s="19"/>
      <c r="J76" s="20"/>
      <c r="K76" s="20"/>
      <c r="L76" s="21"/>
    </row>
    <row r="77" spans="1:12" x14ac:dyDescent="0.3">
      <c r="A77" s="33">
        <v>7</v>
      </c>
      <c r="B77" s="33" t="s">
        <v>174</v>
      </c>
      <c r="C77" s="34" t="s">
        <v>175</v>
      </c>
      <c r="D77" s="51" t="s">
        <v>285</v>
      </c>
      <c r="E77" s="61" t="str">
        <f>IFERROR(VLOOKUP(D77,'Master List'!D:H,2,FALSE),"NA")</f>
        <v>470608</v>
      </c>
      <c r="F77" s="62" t="str">
        <f>IFERROR(VLOOKUP(D77,'Master List'!D:H,3,FALSE),"NA")</f>
        <v>470608</v>
      </c>
      <c r="G77" s="58" t="str">
        <f>IFERROR(VLOOKUP(D77,'Master List'!D:H,4,FALSE),"NA")</f>
        <v>470608</v>
      </c>
      <c r="H77" s="39" t="str">
        <f>IFERROR(VLOOKUP(D77,'Master List'!D:H,5,FALSE),"NA")</f>
        <v>Aircraft Powerplant Technology/Technician.</v>
      </c>
      <c r="I77" s="19"/>
      <c r="J77" s="20"/>
      <c r="K77" s="20"/>
      <c r="L77" s="21"/>
    </row>
    <row r="78" spans="1:12" x14ac:dyDescent="0.3">
      <c r="A78" s="33">
        <v>7</v>
      </c>
      <c r="B78" s="33" t="s">
        <v>174</v>
      </c>
      <c r="C78" s="34" t="s">
        <v>175</v>
      </c>
      <c r="D78" s="51" t="s">
        <v>288</v>
      </c>
      <c r="E78" s="61" t="str">
        <f>IFERROR(VLOOKUP(D78,'Master List'!D:H,2,FALSE),"NA")</f>
        <v>470613</v>
      </c>
      <c r="F78" s="62" t="str">
        <f>IFERROR(VLOOKUP(D78,'Master List'!D:H,3,FALSE),"NA")</f>
        <v>470613</v>
      </c>
      <c r="G78" s="58" t="str">
        <f>IFERROR(VLOOKUP(D78,'Master List'!D:H,4,FALSE),"NA")</f>
        <v>470613</v>
      </c>
      <c r="H78" s="39" t="str">
        <f>IFERROR(VLOOKUP(D78,'Master List'!D:H,5,FALSE),"NA")</f>
        <v>Medium/Heavy Vehicle and Truck Technology/Technician.</v>
      </c>
      <c r="I78" s="19"/>
      <c r="J78" s="20"/>
      <c r="K78" s="20"/>
      <c r="L78" s="21"/>
    </row>
    <row r="79" spans="1:12" x14ac:dyDescent="0.3">
      <c r="A79" s="33">
        <v>7</v>
      </c>
      <c r="B79" s="33" t="s">
        <v>174</v>
      </c>
      <c r="C79" s="34" t="s">
        <v>175</v>
      </c>
      <c r="D79" s="51" t="s">
        <v>291</v>
      </c>
      <c r="E79" s="61" t="str">
        <f>IFERROR(VLOOKUP(D79,'Master List'!D:H,2,FALSE),"NA")</f>
        <v>480508</v>
      </c>
      <c r="F79" s="62" t="str">
        <f>IFERROR(VLOOKUP(D79,'Master List'!D:H,3,FALSE),"NA")</f>
        <v>480508</v>
      </c>
      <c r="G79" s="58" t="str">
        <f>IFERROR(VLOOKUP(D79,'Master List'!D:H,4,FALSE),"NA")</f>
        <v>480508</v>
      </c>
      <c r="H79" s="39" t="str">
        <f>IFERROR(VLOOKUP(D79,'Master List'!D:H,5,FALSE),"NA")</f>
        <v>Welding Technology/Welder.</v>
      </c>
      <c r="I79" s="19"/>
      <c r="J79" s="20"/>
      <c r="K79" s="20"/>
      <c r="L79" s="21"/>
    </row>
    <row r="80" spans="1:12" x14ac:dyDescent="0.3">
      <c r="A80" s="33">
        <v>7</v>
      </c>
      <c r="B80" s="33" t="s">
        <v>174</v>
      </c>
      <c r="C80" s="34" t="s">
        <v>175</v>
      </c>
      <c r="D80" s="51" t="s">
        <v>294</v>
      </c>
      <c r="E80" s="61" t="str">
        <f>IFERROR(VLOOKUP(D80,'Master List'!D:H,2,FALSE),"NA")</f>
        <v>480510</v>
      </c>
      <c r="F80" s="62" t="str">
        <f>IFERROR(VLOOKUP(D80,'Master List'!D:H,3,FALSE),"NA")</f>
        <v>480510</v>
      </c>
      <c r="G80" s="58" t="str">
        <f>IFERROR(VLOOKUP(D80,'Master List'!D:H,4,FALSE),"NA")</f>
        <v>480510</v>
      </c>
      <c r="H80" s="39" t="str">
        <f>IFERROR(VLOOKUP(D80,'Master List'!D:H,5,FALSE),"NA")</f>
        <v>Computer Numerically Controlled (CNC) Machinist Technology/CNC Machinist.</v>
      </c>
      <c r="I80" s="19"/>
      <c r="J80" s="20"/>
      <c r="K80" s="20"/>
      <c r="L80" s="21"/>
    </row>
    <row r="81" spans="1:12" x14ac:dyDescent="0.3">
      <c r="A81" s="33">
        <v>7</v>
      </c>
      <c r="B81" s="33" t="s">
        <v>174</v>
      </c>
      <c r="C81" s="34" t="s">
        <v>175</v>
      </c>
      <c r="D81" s="51" t="s">
        <v>297</v>
      </c>
      <c r="E81" s="61" t="str">
        <f>IFERROR(VLOOKUP(D81,'Master List'!D:H,2,FALSE),"NA")</f>
        <v>490102</v>
      </c>
      <c r="F81" s="62" t="str">
        <f>IFERROR(VLOOKUP(D81,'Master List'!D:H,3,FALSE),"NA")</f>
        <v>490102</v>
      </c>
      <c r="G81" s="58" t="str">
        <f>IFERROR(VLOOKUP(D81,'Master List'!D:H,4,FALSE),"NA")</f>
        <v>490102</v>
      </c>
      <c r="H81" s="39" t="str">
        <f>IFERROR(VLOOKUP(D81,'Master List'!D:H,5,FALSE),"NA")</f>
        <v>Airline/Commercial/Professional Pilot and Flight Crew.</v>
      </c>
      <c r="I81" s="19"/>
      <c r="J81" s="20"/>
      <c r="K81" s="20"/>
      <c r="L81" s="21"/>
    </row>
    <row r="82" spans="1:12" x14ac:dyDescent="0.3">
      <c r="A82" s="33">
        <v>7</v>
      </c>
      <c r="B82" s="33" t="s">
        <v>174</v>
      </c>
      <c r="C82" s="34" t="s">
        <v>175</v>
      </c>
      <c r="D82" s="51" t="s">
        <v>300</v>
      </c>
      <c r="E82" s="61" t="str">
        <f>IFERROR(VLOOKUP(D82,'Master List'!D:H,2,FALSE),"NA")</f>
        <v>490104</v>
      </c>
      <c r="F82" s="62" t="str">
        <f>IFERROR(VLOOKUP(D82,'Master List'!D:H,3,FALSE),"NA")</f>
        <v>490104</v>
      </c>
      <c r="G82" s="58" t="str">
        <f>IFERROR(VLOOKUP(D82,'Master List'!D:H,4,FALSE),"NA")</f>
        <v>490104</v>
      </c>
      <c r="H82" s="39" t="str">
        <f>IFERROR(VLOOKUP(D82,'Master List'!D:H,5,FALSE),"NA")</f>
        <v>Aviation/Airway Management and Operations.</v>
      </c>
      <c r="I82" s="19"/>
      <c r="J82" s="20"/>
      <c r="K82" s="20"/>
      <c r="L82" s="21"/>
    </row>
    <row r="83" spans="1:12" x14ac:dyDescent="0.3">
      <c r="A83" s="33">
        <v>7</v>
      </c>
      <c r="B83" s="33" t="s">
        <v>174</v>
      </c>
      <c r="C83" s="34" t="s">
        <v>175</v>
      </c>
      <c r="D83" s="51" t="s">
        <v>303</v>
      </c>
      <c r="E83" s="61" t="str">
        <f>IFERROR(VLOOKUP(D83,'Master List'!D:H,2,FALSE),"NA")</f>
        <v>490104</v>
      </c>
      <c r="F83" s="62" t="str">
        <f>IFERROR(VLOOKUP(D83,'Master List'!D:H,3,FALSE),"NA")</f>
        <v>490104</v>
      </c>
      <c r="G83" s="58" t="str">
        <f>IFERROR(VLOOKUP(D83,'Master List'!D:H,4,FALSE),"NA")</f>
        <v>490104</v>
      </c>
      <c r="H83" s="39" t="str">
        <f>IFERROR(VLOOKUP(D83,'Master List'!D:H,5,FALSE),"NA")</f>
        <v>Aviation/Airway Management and Operations.</v>
      </c>
      <c r="I83" s="19"/>
      <c r="J83" s="20"/>
      <c r="K83" s="20"/>
      <c r="L83" s="21"/>
    </row>
    <row r="84" spans="1:12" x14ac:dyDescent="0.3">
      <c r="A84" s="33">
        <v>7</v>
      </c>
      <c r="B84" s="33" t="s">
        <v>174</v>
      </c>
      <c r="C84" s="34" t="s">
        <v>175</v>
      </c>
      <c r="D84" s="51" t="s">
        <v>304</v>
      </c>
      <c r="E84" s="61" t="str">
        <f>IFERROR(VLOOKUP(D84,'Master List'!D:H,2,FALSE),"NA")</f>
        <v>490205</v>
      </c>
      <c r="F84" s="62" t="str">
        <f>IFERROR(VLOOKUP(D84,'Master List'!D:H,3,FALSE),"NA")</f>
        <v>490205</v>
      </c>
      <c r="G84" s="58" t="str">
        <f>IFERROR(VLOOKUP(D84,'Master List'!D:H,4,FALSE),"NA")</f>
        <v>490205</v>
      </c>
      <c r="H84" s="39" t="str">
        <f>IFERROR(VLOOKUP(D84,'Master List'!D:H,5,FALSE),"NA")</f>
        <v>Truck and Bus Driver/Commercial Vehicle Operator and Instructor.</v>
      </c>
      <c r="I84" s="19"/>
      <c r="J84" s="20"/>
      <c r="K84" s="20"/>
      <c r="L84" s="21"/>
    </row>
    <row r="85" spans="1:12" x14ac:dyDescent="0.3">
      <c r="A85" s="33">
        <v>7</v>
      </c>
      <c r="B85" s="33" t="s">
        <v>174</v>
      </c>
      <c r="C85" s="34" t="s">
        <v>175</v>
      </c>
      <c r="D85" s="51" t="s">
        <v>307</v>
      </c>
      <c r="E85" s="61" t="str">
        <f>IFERROR(VLOOKUP(D85,'Master List'!D:H,2,FALSE),"NA")</f>
        <v>500502</v>
      </c>
      <c r="F85" s="62" t="str">
        <f>IFERROR(VLOOKUP(D85,'Master List'!D:H,3,FALSE),"NA")</f>
        <v>500502</v>
      </c>
      <c r="G85" s="58" t="str">
        <f>IFERROR(VLOOKUP(D85,'Master List'!D:H,4,FALSE),"NA")</f>
        <v>500502</v>
      </c>
      <c r="H85" s="39" t="str">
        <f>IFERROR(VLOOKUP(D85,'Master List'!D:H,5,FALSE),"NA")</f>
        <v>Technical Theatre/Theatre Design and Technology.</v>
      </c>
      <c r="I85" s="19"/>
      <c r="J85" s="20"/>
      <c r="K85" s="20"/>
      <c r="L85" s="21"/>
    </row>
    <row r="86" spans="1:12" x14ac:dyDescent="0.3">
      <c r="A86" s="33">
        <v>7</v>
      </c>
      <c r="B86" s="33" t="s">
        <v>174</v>
      </c>
      <c r="C86" s="34" t="s">
        <v>175</v>
      </c>
      <c r="D86" s="51" t="s">
        <v>308</v>
      </c>
      <c r="E86" s="61" t="str">
        <f>IFERROR(VLOOKUP(D86,'Master List'!D:H,2,FALSE),"NA")</f>
        <v>520203</v>
      </c>
      <c r="F86" s="62" t="str">
        <f>IFERROR(VLOOKUP(D86,'Master List'!D:H,3,FALSE),"NA")</f>
        <v>520203</v>
      </c>
      <c r="G86" s="58" t="str">
        <f>IFERROR(VLOOKUP(D86,'Master List'!D:H,4,FALSE),"NA")</f>
        <v>520203</v>
      </c>
      <c r="H86" s="39" t="str">
        <f>IFERROR(VLOOKUP(D86,'Master List'!D:H,5,FALSE),"NA")</f>
        <v>Logistics, Materials, and Supply Chain Management.</v>
      </c>
      <c r="I86" s="19"/>
      <c r="J86" s="20"/>
      <c r="K86" s="20"/>
      <c r="L86" s="21"/>
    </row>
    <row r="87" spans="1:12" x14ac:dyDescent="0.3">
      <c r="A87" s="33">
        <v>7</v>
      </c>
      <c r="B87" s="33" t="s">
        <v>174</v>
      </c>
      <c r="C87" s="34" t="s">
        <v>175</v>
      </c>
      <c r="D87" s="51" t="s">
        <v>65</v>
      </c>
      <c r="E87" s="61" t="str">
        <f>IFERROR(VLOOKUP(D87,'Master List'!D:H,2,FALSE),"NA")</f>
        <v>520209</v>
      </c>
      <c r="F87" s="62" t="str">
        <f>IFERROR(VLOOKUP(D87,'Master List'!D:H,3,FALSE),"NA")</f>
        <v>520209</v>
      </c>
      <c r="G87" s="58" t="str">
        <f>IFERROR(VLOOKUP(D87,'Master List'!D:H,4,FALSE),"NA")</f>
        <v>520209</v>
      </c>
      <c r="H87" s="39" t="str">
        <f>IFERROR(VLOOKUP(D87,'Master List'!D:H,5,FALSE),"NA")</f>
        <v>Transportation/Mobility Management.</v>
      </c>
      <c r="I87" s="19"/>
      <c r="J87" s="20"/>
      <c r="K87" s="20"/>
      <c r="L87" s="21"/>
    </row>
    <row r="88" spans="1:12" x14ac:dyDescent="0.3">
      <c r="A88" s="33">
        <v>7</v>
      </c>
      <c r="B88" s="33" t="s">
        <v>174</v>
      </c>
      <c r="C88" s="34" t="s">
        <v>175</v>
      </c>
      <c r="D88" s="51" t="s">
        <v>311</v>
      </c>
      <c r="E88" s="61" t="str">
        <f>IFERROR(VLOOKUP(D88,'Master List'!D:H,2,FALSE),"NA")</f>
        <v>030104</v>
      </c>
      <c r="F88" s="62" t="str">
        <f>IFERROR(VLOOKUP(D88,'Master List'!D:H,3,FALSE),"NA")</f>
        <v>030104</v>
      </c>
      <c r="G88" s="58" t="str">
        <f>IFERROR(VLOOKUP(D88,'Master List'!D:H,4,FALSE),"NA")</f>
        <v>030104</v>
      </c>
      <c r="H88" s="39" t="str">
        <f>IFERROR(VLOOKUP(D88,'Master List'!D:H,5,FALSE),"NA")</f>
        <v>Environmental Science.</v>
      </c>
      <c r="I88" s="19"/>
      <c r="J88" s="20"/>
      <c r="K88" s="20"/>
      <c r="L88" s="21"/>
    </row>
    <row r="89" spans="1:12" x14ac:dyDescent="0.3">
      <c r="A89" s="33">
        <v>7</v>
      </c>
      <c r="B89" s="33" t="s">
        <v>174</v>
      </c>
      <c r="C89" s="34" t="s">
        <v>175</v>
      </c>
      <c r="D89" s="51" t="s">
        <v>314</v>
      </c>
      <c r="E89" s="61" t="str">
        <f>IFERROR(VLOOKUP(D89,'Master List'!D:H,2,FALSE),"NA")</f>
        <v>030104</v>
      </c>
      <c r="F89" s="62" t="str">
        <f>IFERROR(VLOOKUP(D89,'Master List'!D:H,3,FALSE),"NA")</f>
        <v>030104</v>
      </c>
      <c r="G89" s="58" t="str">
        <f>IFERROR(VLOOKUP(D89,'Master List'!D:H,4,FALSE),"NA")</f>
        <v>030104</v>
      </c>
      <c r="H89" s="39" t="str">
        <f>IFERROR(VLOOKUP(D89,'Master List'!D:H,5,FALSE),"NA")</f>
        <v>Environmental Science.</v>
      </c>
      <c r="I89" s="19"/>
      <c r="J89" s="20"/>
      <c r="K89" s="20"/>
      <c r="L89" s="21"/>
    </row>
    <row r="90" spans="1:12" x14ac:dyDescent="0.3">
      <c r="A90" s="33">
        <v>7</v>
      </c>
      <c r="B90" s="33" t="s">
        <v>174</v>
      </c>
      <c r="C90" s="34" t="s">
        <v>175</v>
      </c>
      <c r="D90" s="51" t="s">
        <v>68</v>
      </c>
      <c r="E90" s="61" t="str">
        <f>IFERROR(VLOOKUP(D90,'Master List'!D:H,2,FALSE),"NA")</f>
        <v>430102</v>
      </c>
      <c r="F90" s="62" t="str">
        <f>IFERROR(VLOOKUP(D90,'Master List'!D:H,3,FALSE),"NA")</f>
        <v>430102</v>
      </c>
      <c r="G90" s="58" t="str">
        <f>IFERROR(VLOOKUP(D90,'Master List'!D:H,4,FALSE),"NA")</f>
        <v>430102</v>
      </c>
      <c r="H90" s="39" t="str">
        <f>IFERROR(VLOOKUP(D90,'Master List'!D:H,5,FALSE),"NA")</f>
        <v>Corrections.</v>
      </c>
      <c r="I90" s="19"/>
      <c r="J90" s="20"/>
      <c r="K90" s="20"/>
      <c r="L90" s="21"/>
    </row>
    <row r="91" spans="1:12" x14ac:dyDescent="0.3">
      <c r="A91" s="33">
        <v>7</v>
      </c>
      <c r="B91" s="33" t="s">
        <v>174</v>
      </c>
      <c r="C91" s="34" t="s">
        <v>175</v>
      </c>
      <c r="D91" s="51" t="s">
        <v>316</v>
      </c>
      <c r="E91" s="61" t="str">
        <f>IFERROR(VLOOKUP(D91,'Master List'!D:H,2,FALSE),"NA")</f>
        <v>430103</v>
      </c>
      <c r="F91" s="62" t="str">
        <f>IFERROR(VLOOKUP(D91,'Master List'!D:H,3,FALSE),"NA")</f>
        <v>430103</v>
      </c>
      <c r="G91" s="58" t="str">
        <f>IFERROR(VLOOKUP(D91,'Master List'!D:H,4,FALSE),"NA")</f>
        <v>430103</v>
      </c>
      <c r="H91" s="39" t="str">
        <f>IFERROR(VLOOKUP(D91,'Master List'!D:H,5,FALSE),"NA")</f>
        <v>Criminal Justice/Law Enforcement Administration.</v>
      </c>
      <c r="I91" s="19"/>
      <c r="J91" s="20"/>
      <c r="K91" s="20"/>
      <c r="L91" s="21"/>
    </row>
    <row r="92" spans="1:12" x14ac:dyDescent="0.3">
      <c r="A92" s="33">
        <v>7</v>
      </c>
      <c r="B92" s="33" t="s">
        <v>174</v>
      </c>
      <c r="C92" s="34" t="s">
        <v>175</v>
      </c>
      <c r="D92" s="51" t="s">
        <v>71</v>
      </c>
      <c r="E92" s="61" t="str">
        <f>IFERROR(VLOOKUP(D92,'Master List'!D:H,2,FALSE),"NA")</f>
        <v>430107</v>
      </c>
      <c r="F92" s="62" t="str">
        <f>IFERROR(VLOOKUP(D92,'Master List'!D:H,3,FALSE),"NA")</f>
        <v>430107</v>
      </c>
      <c r="G92" s="58" t="str">
        <f>IFERROR(VLOOKUP(D92,'Master List'!D:H,4,FALSE),"NA")</f>
        <v>430107</v>
      </c>
      <c r="H92" s="39" t="str">
        <f>IFERROR(VLOOKUP(D92,'Master List'!D:H,5,FALSE),"NA")</f>
        <v>Criminal Justice/Police Science.</v>
      </c>
      <c r="I92" s="19"/>
      <c r="J92" s="20"/>
      <c r="K92" s="20"/>
      <c r="L92" s="21"/>
    </row>
    <row r="93" spans="1:12" x14ac:dyDescent="0.3">
      <c r="A93" s="33">
        <v>7</v>
      </c>
      <c r="B93" s="33" t="s">
        <v>174</v>
      </c>
      <c r="C93" s="34" t="s">
        <v>175</v>
      </c>
      <c r="D93" s="51" t="s">
        <v>74</v>
      </c>
      <c r="E93" s="61" t="str">
        <f>IFERROR(VLOOKUP(D93,'Master List'!D:H,2,FALSE),"NA")</f>
        <v>430107</v>
      </c>
      <c r="F93" s="62" t="str">
        <f>IFERROR(VLOOKUP(D93,'Master List'!D:H,3,FALSE),"NA")</f>
        <v>430107</v>
      </c>
      <c r="G93" s="58" t="str">
        <f>IFERROR(VLOOKUP(D93,'Master List'!D:H,4,FALSE),"NA")</f>
        <v>430107</v>
      </c>
      <c r="H93" s="39" t="str">
        <f>IFERROR(VLOOKUP(D93,'Master List'!D:H,5,FALSE),"NA")</f>
        <v>Criminal Justice/Police Science.</v>
      </c>
      <c r="I93" s="19"/>
      <c r="J93" s="20"/>
      <c r="K93" s="20"/>
      <c r="L93" s="21"/>
    </row>
    <row r="94" spans="1:12" x14ac:dyDescent="0.3">
      <c r="A94" s="33">
        <v>7</v>
      </c>
      <c r="B94" s="33" t="s">
        <v>174</v>
      </c>
      <c r="C94" s="34" t="s">
        <v>175</v>
      </c>
      <c r="D94" s="51" t="s">
        <v>317</v>
      </c>
      <c r="E94" s="61" t="str">
        <f>IFERROR(VLOOKUP(D94,'Master List'!D:H,2,FALSE),"NA")</f>
        <v>NA</v>
      </c>
      <c r="F94" s="62" t="str">
        <f>IFERROR(VLOOKUP(D94,'Master List'!D:H,3,FALSE),"NA")</f>
        <v>NA</v>
      </c>
      <c r="G94" s="58" t="str">
        <f>IFERROR(VLOOKUP(D94,'Master List'!D:H,4,FALSE),"NA")</f>
        <v>NA</v>
      </c>
      <c r="H94" s="39" t="str">
        <f>IFERROR(VLOOKUP(D94,'Master List'!D:H,5,FALSE),"NA")</f>
        <v>NA</v>
      </c>
      <c r="I94" s="19"/>
      <c r="J94" s="20"/>
      <c r="K94" s="20"/>
      <c r="L94" s="21"/>
    </row>
    <row r="95" spans="1:12" x14ac:dyDescent="0.3">
      <c r="A95" s="33">
        <v>7</v>
      </c>
      <c r="B95" s="33" t="s">
        <v>174</v>
      </c>
      <c r="C95" s="34" t="s">
        <v>175</v>
      </c>
      <c r="D95" s="51" t="s">
        <v>75</v>
      </c>
      <c r="E95" s="61" t="str">
        <f>IFERROR(VLOOKUP(D95,'Master List'!D:H,2,FALSE),"NA")</f>
        <v>430203</v>
      </c>
      <c r="F95" s="62" t="str">
        <f>IFERROR(VLOOKUP(D95,'Master List'!D:H,3,FALSE),"NA")</f>
        <v>430203</v>
      </c>
      <c r="G95" s="58" t="str">
        <f>IFERROR(VLOOKUP(D95,'Master List'!D:H,4,FALSE),"NA")</f>
        <v>430203</v>
      </c>
      <c r="H95" s="39" t="str">
        <f>IFERROR(VLOOKUP(D95,'Master List'!D:H,5,FALSE),"NA")</f>
        <v>Fire Science/Fire-fighting.</v>
      </c>
      <c r="I95" s="19"/>
      <c r="J95" s="20"/>
      <c r="K95" s="20"/>
      <c r="L95" s="21"/>
    </row>
    <row r="96" spans="1:12" x14ac:dyDescent="0.3">
      <c r="A96" s="33">
        <v>7</v>
      </c>
      <c r="B96" s="33" t="s">
        <v>174</v>
      </c>
      <c r="C96" s="34" t="s">
        <v>175</v>
      </c>
      <c r="D96" s="51" t="s">
        <v>318</v>
      </c>
      <c r="E96" s="61" t="str">
        <f>IFERROR(VLOOKUP(D96,'Master List'!D:H,2,FALSE),"NA")</f>
        <v>430203</v>
      </c>
      <c r="F96" s="62" t="str">
        <f>IFERROR(VLOOKUP(D96,'Master List'!D:H,3,FALSE),"NA")</f>
        <v>430203</v>
      </c>
      <c r="G96" s="58" t="str">
        <f>IFERROR(VLOOKUP(D96,'Master List'!D:H,4,FALSE),"NA")</f>
        <v>430203</v>
      </c>
      <c r="H96" s="39" t="str">
        <f>IFERROR(VLOOKUP(D96,'Master List'!D:H,5,FALSE),"NA")</f>
        <v>Fire Science/Fire-fighting.</v>
      </c>
      <c r="I96" s="19"/>
      <c r="J96" s="20"/>
      <c r="K96" s="20"/>
      <c r="L96" s="21"/>
    </row>
    <row r="97" spans="1:12" x14ac:dyDescent="0.3">
      <c r="A97" s="33">
        <v>7</v>
      </c>
      <c r="B97" s="33" t="s">
        <v>174</v>
      </c>
      <c r="C97" s="34" t="s">
        <v>175</v>
      </c>
      <c r="D97" s="51" t="s">
        <v>319</v>
      </c>
      <c r="E97" s="61" t="str">
        <f>IFERROR(VLOOKUP(D97,'Master List'!D:H,2,FALSE),"NA")</f>
        <v>430302</v>
      </c>
      <c r="F97" s="62" t="str">
        <f>IFERROR(VLOOKUP(D97,'Master List'!D:H,3,FALSE),"NA")</f>
        <v>430302</v>
      </c>
      <c r="G97" s="58" t="str">
        <f>IFERROR(VLOOKUP(D97,'Master List'!D:H,4,FALSE),"NA")</f>
        <v>430302</v>
      </c>
      <c r="H97" s="39" t="str">
        <f>IFERROR(VLOOKUP(D97,'Master List'!D:H,5,FALSE),"NA")</f>
        <v>Crisis/Emergency/Disaster Management.</v>
      </c>
      <c r="I97" s="19"/>
      <c r="J97" s="20"/>
      <c r="K97" s="20"/>
      <c r="L97" s="21"/>
    </row>
    <row r="98" spans="1:12" x14ac:dyDescent="0.3">
      <c r="A98" s="33">
        <v>7</v>
      </c>
      <c r="B98" s="33" t="s">
        <v>174</v>
      </c>
      <c r="C98" s="34" t="s">
        <v>175</v>
      </c>
      <c r="D98" s="51" t="s">
        <v>322</v>
      </c>
      <c r="E98" s="61" t="str">
        <f>IFERROR(VLOOKUP(D98,'Master List'!D:H,2,FALSE),"NA")</f>
        <v>430302</v>
      </c>
      <c r="F98" s="62" t="str">
        <f>IFERROR(VLOOKUP(D98,'Master List'!D:H,3,FALSE),"NA")</f>
        <v>430302</v>
      </c>
      <c r="G98" s="58" t="str">
        <f>IFERROR(VLOOKUP(D98,'Master List'!D:H,4,FALSE),"NA")</f>
        <v>430302</v>
      </c>
      <c r="H98" s="39" t="str">
        <f>IFERROR(VLOOKUP(D98,'Master List'!D:H,5,FALSE),"NA")</f>
        <v>Crisis/Emergency/Disaster Management.</v>
      </c>
      <c r="I98" s="19"/>
      <c r="J98" s="20"/>
      <c r="K98" s="20"/>
      <c r="L98" s="21"/>
    </row>
    <row r="99" spans="1:12" x14ac:dyDescent="0.3">
      <c r="A99" s="33">
        <v>7</v>
      </c>
      <c r="B99" s="33" t="s">
        <v>174</v>
      </c>
      <c r="C99" s="34" t="s">
        <v>175</v>
      </c>
      <c r="D99" s="51" t="s">
        <v>166</v>
      </c>
      <c r="E99" s="61" t="str">
        <f>IFERROR(VLOOKUP(D99,'Master List'!D:H,2,FALSE),"NA")</f>
        <v>NA</v>
      </c>
      <c r="F99" s="62" t="str">
        <f>IFERROR(VLOOKUP(D99,'Master List'!D:H,3,FALSE),"NA")</f>
        <v>NA</v>
      </c>
      <c r="G99" s="58" t="str">
        <f>IFERROR(VLOOKUP(D99,'Master List'!D:H,4,FALSE),"NA")</f>
        <v>NA</v>
      </c>
      <c r="H99" s="39" t="str">
        <f>IFERROR(VLOOKUP(D99,'Master List'!D:H,5,FALSE),"NA")</f>
        <v>NA</v>
      </c>
      <c r="I99" s="19"/>
      <c r="J99" s="20"/>
      <c r="K99" s="20"/>
      <c r="L99" s="21"/>
    </row>
    <row r="100" spans="1:12" x14ac:dyDescent="0.3">
      <c r="A100" s="33">
        <v>7</v>
      </c>
      <c r="B100" s="33" t="s">
        <v>174</v>
      </c>
      <c r="C100" s="34" t="s">
        <v>175</v>
      </c>
      <c r="D100" s="51" t="s">
        <v>323</v>
      </c>
      <c r="E100" s="61" t="str">
        <f>IFERROR(VLOOKUP(D100,'Master List'!D:H,2,FALSE),"NA")</f>
        <v>120301</v>
      </c>
      <c r="F100" s="62" t="str">
        <f>IFERROR(VLOOKUP(D100,'Master List'!D:H,3,FALSE),"NA")</f>
        <v>120301</v>
      </c>
      <c r="G100" s="58" t="str">
        <f>IFERROR(VLOOKUP(D100,'Master List'!D:H,4,FALSE),"NA")</f>
        <v>120301</v>
      </c>
      <c r="H100" s="39" t="str">
        <f>IFERROR(VLOOKUP(D100,'Master List'!D:H,5,FALSE),"NA")</f>
        <v>Funeral Service and Mortuary Science, General.</v>
      </c>
      <c r="I100" s="19"/>
      <c r="J100" s="20"/>
      <c r="K100" s="20"/>
      <c r="L100" s="21"/>
    </row>
    <row r="101" spans="1:12" x14ac:dyDescent="0.3">
      <c r="A101" s="33">
        <v>7</v>
      </c>
      <c r="B101" s="33" t="s">
        <v>174</v>
      </c>
      <c r="C101" s="34" t="s">
        <v>175</v>
      </c>
      <c r="D101" s="51" t="s">
        <v>324</v>
      </c>
      <c r="E101" s="61" t="str">
        <f>IFERROR(VLOOKUP(D101,'Master List'!D:H,2,FALSE),"NA")</f>
        <v>410101</v>
      </c>
      <c r="F101" s="62" t="str">
        <f>IFERROR(VLOOKUP(D101,'Master List'!D:H,3,FALSE),"NA")</f>
        <v>410101</v>
      </c>
      <c r="G101" s="58" t="str">
        <f>IFERROR(VLOOKUP(D101,'Master List'!D:H,4,FALSE),"NA")</f>
        <v>410101</v>
      </c>
      <c r="H101" s="39" t="str">
        <f>IFERROR(VLOOKUP(D101,'Master List'!D:H,5,FALSE),"NA")</f>
        <v>Biology/Biotechnology Technology/Technician.</v>
      </c>
      <c r="I101" s="19"/>
      <c r="J101" s="20"/>
      <c r="K101" s="20"/>
      <c r="L101" s="21"/>
    </row>
    <row r="102" spans="1:12" x14ac:dyDescent="0.3">
      <c r="A102" s="33">
        <v>7</v>
      </c>
      <c r="B102" s="33" t="s">
        <v>174</v>
      </c>
      <c r="C102" s="34" t="s">
        <v>175</v>
      </c>
      <c r="D102" s="51" t="s">
        <v>82</v>
      </c>
      <c r="E102" s="61" t="str">
        <f>IFERROR(VLOOKUP(D102,'Master List'!D:H,2,FALSE),"NA")</f>
        <v>510000</v>
      </c>
      <c r="F102" s="62" t="str">
        <f>IFERROR(VLOOKUP(D102,'Master List'!D:H,3,FALSE),"NA")</f>
        <v>510000</v>
      </c>
      <c r="G102" s="58">
        <f>IFERROR(VLOOKUP(D102,'Master List'!D:H,4,FALSE),"NA")</f>
        <v>510909</v>
      </c>
      <c r="H102" s="39" t="str">
        <f>IFERROR(VLOOKUP(D102,'Master List'!D:H,5,FALSE),"NA")</f>
        <v>Surgical Technology/Technologist</v>
      </c>
      <c r="I102" s="19"/>
      <c r="J102" s="20"/>
      <c r="K102" s="20"/>
      <c r="L102" s="21"/>
    </row>
    <row r="103" spans="1:12" x14ac:dyDescent="0.3">
      <c r="A103" s="33">
        <v>7</v>
      </c>
      <c r="B103" s="33" t="s">
        <v>174</v>
      </c>
      <c r="C103" s="34" t="s">
        <v>175</v>
      </c>
      <c r="D103" s="51" t="s">
        <v>84</v>
      </c>
      <c r="E103" s="61" t="str">
        <f>IFERROR(VLOOKUP(D103,'Master List'!D:H,2,FALSE),"NA")</f>
        <v>510602</v>
      </c>
      <c r="F103" s="62" t="str">
        <f>IFERROR(VLOOKUP(D103,'Master List'!D:H,3,FALSE),"NA")</f>
        <v>510602</v>
      </c>
      <c r="G103" s="58" t="str">
        <f>IFERROR(VLOOKUP(D103,'Master List'!D:H,4,FALSE),"NA")</f>
        <v>510602</v>
      </c>
      <c r="H103" s="39" t="str">
        <f>IFERROR(VLOOKUP(D103,'Master List'!D:H,5,FALSE),"NA")</f>
        <v>Dental Hygiene/Hygienist.</v>
      </c>
      <c r="I103" s="19"/>
      <c r="J103" s="20"/>
      <c r="K103" s="20"/>
      <c r="L103" s="21"/>
    </row>
    <row r="104" spans="1:12" x14ac:dyDescent="0.3">
      <c r="A104" s="33">
        <v>7</v>
      </c>
      <c r="B104" s="33" t="s">
        <v>174</v>
      </c>
      <c r="C104" s="34" t="s">
        <v>175</v>
      </c>
      <c r="D104" s="51" t="s">
        <v>325</v>
      </c>
      <c r="E104" s="61" t="str">
        <f>IFERROR(VLOOKUP(D104,'Master List'!D:H,2,FALSE),"NA")</f>
        <v>510707</v>
      </c>
      <c r="F104" s="62" t="str">
        <f>IFERROR(VLOOKUP(D104,'Master List'!D:H,3,FALSE),"NA")</f>
        <v>510707</v>
      </c>
      <c r="G104" s="58" t="str">
        <f>IFERROR(VLOOKUP(D104,'Master List'!D:H,4,FALSE),"NA")</f>
        <v>510707</v>
      </c>
      <c r="H104" s="39" t="str">
        <f>IFERROR(VLOOKUP(D104,'Master List'!D:H,5,FALSE),"NA")</f>
        <v>Health Information/Medical Records Technology/Technician.</v>
      </c>
      <c r="I104" s="19"/>
      <c r="J104" s="20"/>
      <c r="K104" s="20"/>
      <c r="L104" s="21"/>
    </row>
    <row r="105" spans="1:12" x14ac:dyDescent="0.3">
      <c r="A105" s="33">
        <v>7</v>
      </c>
      <c r="B105" s="33" t="s">
        <v>174</v>
      </c>
      <c r="C105" s="34" t="s">
        <v>175</v>
      </c>
      <c r="D105" s="51" t="s">
        <v>326</v>
      </c>
      <c r="E105" s="61" t="str">
        <f>IFERROR(VLOOKUP(D105,'Master List'!D:H,2,FALSE),"NA")</f>
        <v>510801</v>
      </c>
      <c r="F105" s="62" t="str">
        <f>IFERROR(VLOOKUP(D105,'Master List'!D:H,3,FALSE),"NA")</f>
        <v>510801</v>
      </c>
      <c r="G105" s="58" t="str">
        <f>IFERROR(VLOOKUP(D105,'Master List'!D:H,4,FALSE),"NA")</f>
        <v>510801</v>
      </c>
      <c r="H105" s="39" t="str">
        <f>IFERROR(VLOOKUP(D105,'Master List'!D:H,5,FALSE),"NA")</f>
        <v>Medical/Clinical Assistant.</v>
      </c>
      <c r="I105" s="19"/>
      <c r="J105" s="20"/>
      <c r="K105" s="20"/>
      <c r="L105" s="21"/>
    </row>
    <row r="106" spans="1:12" x14ac:dyDescent="0.3">
      <c r="A106" s="33">
        <v>7</v>
      </c>
      <c r="B106" s="33" t="s">
        <v>174</v>
      </c>
      <c r="C106" s="34" t="s">
        <v>175</v>
      </c>
      <c r="D106" s="51" t="s">
        <v>327</v>
      </c>
      <c r="E106" s="61" t="str">
        <f>IFERROR(VLOOKUP(D106,'Master List'!D:H,2,FALSE),"NA")</f>
        <v>NA</v>
      </c>
      <c r="F106" s="62" t="str">
        <f>IFERROR(VLOOKUP(D106,'Master List'!D:H,3,FALSE),"NA")</f>
        <v>NA</v>
      </c>
      <c r="G106" s="58" t="str">
        <f>IFERROR(VLOOKUP(D106,'Master List'!D:H,4,FALSE),"NA")</f>
        <v>NA</v>
      </c>
      <c r="H106" s="39" t="str">
        <f>IFERROR(VLOOKUP(D106,'Master List'!D:H,5,FALSE),"NA")</f>
        <v>NA</v>
      </c>
      <c r="I106" s="19"/>
      <c r="J106" s="20"/>
      <c r="K106" s="20"/>
      <c r="L106" s="21"/>
    </row>
    <row r="107" spans="1:12" x14ac:dyDescent="0.3">
      <c r="A107" s="33">
        <v>7</v>
      </c>
      <c r="B107" s="33" t="s">
        <v>174</v>
      </c>
      <c r="C107" s="34" t="s">
        <v>175</v>
      </c>
      <c r="D107" s="51" t="s">
        <v>87</v>
      </c>
      <c r="E107" s="61" t="str">
        <f>IFERROR(VLOOKUP(D107,'Master List'!D:H,2,FALSE),"NA")</f>
        <v>510806</v>
      </c>
      <c r="F107" s="62" t="str">
        <f>IFERROR(VLOOKUP(D107,'Master List'!D:H,3,FALSE),"NA")</f>
        <v>510806</v>
      </c>
      <c r="G107" s="58" t="str">
        <f>IFERROR(VLOOKUP(D107,'Master List'!D:H,4,FALSE),"NA")</f>
        <v>510806</v>
      </c>
      <c r="H107" s="39" t="str">
        <f>IFERROR(VLOOKUP(D107,'Master List'!D:H,5,FALSE),"NA")</f>
        <v>Physical Therapy Assistant.</v>
      </c>
      <c r="I107" s="19"/>
      <c r="J107" s="20"/>
      <c r="K107" s="20"/>
      <c r="L107" s="21"/>
    </row>
    <row r="108" spans="1:12" x14ac:dyDescent="0.3">
      <c r="A108" s="33">
        <v>7</v>
      </c>
      <c r="B108" s="33" t="s">
        <v>174</v>
      </c>
      <c r="C108" s="34" t="s">
        <v>175</v>
      </c>
      <c r="D108" s="51" t="s">
        <v>328</v>
      </c>
      <c r="E108" s="61" t="str">
        <f>IFERROR(VLOOKUP(D108,'Master List'!D:H,2,FALSE),"NA")</f>
        <v>510901</v>
      </c>
      <c r="F108" s="62" t="str">
        <f>IFERROR(VLOOKUP(D108,'Master List'!D:H,3,FALSE),"NA")</f>
        <v>510901</v>
      </c>
      <c r="G108" s="58" t="str">
        <f>IFERROR(VLOOKUP(D108,'Master List'!D:H,4,FALSE),"NA")</f>
        <v>510901</v>
      </c>
      <c r="H108" s="39" t="str">
        <f>IFERROR(VLOOKUP(D108,'Master List'!D:H,5,FALSE),"NA")</f>
        <v>Cardiovascular Technology/Technologist.</v>
      </c>
      <c r="I108" s="19"/>
      <c r="J108" s="20"/>
      <c r="K108" s="20"/>
      <c r="L108" s="21"/>
    </row>
    <row r="109" spans="1:12" x14ac:dyDescent="0.3">
      <c r="A109" s="33">
        <v>7</v>
      </c>
      <c r="B109" s="33" t="s">
        <v>174</v>
      </c>
      <c r="C109" s="34" t="s">
        <v>175</v>
      </c>
      <c r="D109" s="51" t="s">
        <v>90</v>
      </c>
      <c r="E109" s="61" t="str">
        <f>IFERROR(VLOOKUP(D109,'Master List'!D:H,2,FALSE),"NA")</f>
        <v>510904</v>
      </c>
      <c r="F109" s="62" t="str">
        <f>IFERROR(VLOOKUP(D109,'Master List'!D:H,3,FALSE),"NA")</f>
        <v>510904</v>
      </c>
      <c r="G109" s="58" t="str">
        <f>IFERROR(VLOOKUP(D109,'Master List'!D:H,4,FALSE),"NA")</f>
        <v>510904</v>
      </c>
      <c r="H109" s="39" t="str">
        <f>IFERROR(VLOOKUP(D109,'Master List'!D:H,5,FALSE),"NA")</f>
        <v>Emergency Medical Technology/Technician (EMT Paramedic).</v>
      </c>
      <c r="I109" s="19"/>
      <c r="J109" s="20"/>
      <c r="K109" s="20"/>
      <c r="L109" s="21"/>
    </row>
    <row r="110" spans="1:12" x14ac:dyDescent="0.3">
      <c r="A110" s="33">
        <v>7</v>
      </c>
      <c r="B110" s="33" t="s">
        <v>174</v>
      </c>
      <c r="C110" s="34" t="s">
        <v>175</v>
      </c>
      <c r="D110" s="51" t="s">
        <v>91</v>
      </c>
      <c r="E110" s="61" t="str">
        <f>IFERROR(VLOOKUP(D110,'Master List'!D:H,2,FALSE),"NA")</f>
        <v>510907</v>
      </c>
      <c r="F110" s="62" t="str">
        <f>IFERROR(VLOOKUP(D110,'Master List'!D:H,3,FALSE),"NA")</f>
        <v>510907</v>
      </c>
      <c r="G110" s="58">
        <f>IFERROR(VLOOKUP(D110,'Master List'!D:H,4,FALSE),"NA")</f>
        <v>510911</v>
      </c>
      <c r="H110" s="39" t="str">
        <f>IFERROR(VLOOKUP(D110,'Master List'!D:H,5,FALSE),"NA")</f>
        <v>Radiologic Technology/Science - Radiographer</v>
      </c>
      <c r="I110" s="19"/>
      <c r="J110" s="20"/>
      <c r="K110" s="20"/>
      <c r="L110" s="21"/>
    </row>
    <row r="111" spans="1:12" x14ac:dyDescent="0.3">
      <c r="A111" s="33">
        <v>7</v>
      </c>
      <c r="B111" s="33" t="s">
        <v>174</v>
      </c>
      <c r="C111" s="34" t="s">
        <v>175</v>
      </c>
      <c r="D111" s="51" t="s">
        <v>331</v>
      </c>
      <c r="E111" s="61" t="str">
        <f>IFERROR(VLOOKUP(D111,'Master List'!D:H,2,FALSE),"NA")</f>
        <v>510907</v>
      </c>
      <c r="F111" s="62" t="str">
        <f>IFERROR(VLOOKUP(D111,'Master List'!D:H,3,FALSE),"NA")</f>
        <v>510907</v>
      </c>
      <c r="G111" s="58" t="str">
        <f>IFERROR(VLOOKUP(D111,'Master List'!D:H,4,FALSE),"NA")</f>
        <v>510907</v>
      </c>
      <c r="H111" s="39" t="str">
        <f>IFERROR(VLOOKUP(D111,'Master List'!D:H,5,FALSE),"NA")</f>
        <v>Medical Radiologic Technology/Science - Radiation Therapist.</v>
      </c>
      <c r="I111" s="19"/>
      <c r="J111" s="20"/>
      <c r="K111" s="20"/>
      <c r="L111" s="21"/>
    </row>
    <row r="112" spans="1:12" x14ac:dyDescent="0.3">
      <c r="A112" s="33">
        <v>7</v>
      </c>
      <c r="B112" s="33" t="s">
        <v>174</v>
      </c>
      <c r="C112" s="34" t="s">
        <v>175</v>
      </c>
      <c r="D112" s="51" t="s">
        <v>94</v>
      </c>
      <c r="E112" s="61" t="str">
        <f>IFERROR(VLOOKUP(D112,'Master List'!D:H,2,FALSE),"NA")</f>
        <v>510908</v>
      </c>
      <c r="F112" s="62" t="str">
        <f>IFERROR(VLOOKUP(D112,'Master List'!D:H,3,FALSE),"NA")</f>
        <v>510908</v>
      </c>
      <c r="G112" s="58" t="str">
        <f>IFERROR(VLOOKUP(D112,'Master List'!D:H,4,FALSE),"NA")</f>
        <v>510908</v>
      </c>
      <c r="H112" s="39" t="str">
        <f>IFERROR(VLOOKUP(D112,'Master List'!D:H,5,FALSE),"NA")</f>
        <v>Respiratory Care Therapy/Therapist.</v>
      </c>
      <c r="I112" s="19"/>
      <c r="J112" s="20"/>
      <c r="K112" s="20"/>
      <c r="L112" s="21"/>
    </row>
    <row r="113" spans="1:12" x14ac:dyDescent="0.3">
      <c r="A113" s="33">
        <v>7</v>
      </c>
      <c r="B113" s="33" t="s">
        <v>174</v>
      </c>
      <c r="C113" s="34" t="s">
        <v>175</v>
      </c>
      <c r="D113" s="51" t="s">
        <v>332</v>
      </c>
      <c r="E113" s="61" t="str">
        <f>IFERROR(VLOOKUP(D113,'Master List'!D:H,2,FALSE),"NA")</f>
        <v>511004</v>
      </c>
      <c r="F113" s="62" t="str">
        <f>IFERROR(VLOOKUP(D113,'Master List'!D:H,3,FALSE),"NA")</f>
        <v>511004</v>
      </c>
      <c r="G113" s="58" t="str">
        <f>IFERROR(VLOOKUP(D113,'Master List'!D:H,4,FALSE),"NA")</f>
        <v>511004</v>
      </c>
      <c r="H113" s="39" t="str">
        <f>IFERROR(VLOOKUP(D113,'Master List'!D:H,5,FALSE),"NA")</f>
        <v>Clinical/Medical Laboratory Technician.</v>
      </c>
      <c r="I113" s="19"/>
      <c r="J113" s="20"/>
      <c r="K113" s="20"/>
      <c r="L113" s="21"/>
    </row>
    <row r="114" spans="1:12" x14ac:dyDescent="0.3">
      <c r="A114" s="33">
        <v>7</v>
      </c>
      <c r="B114" s="33" t="s">
        <v>174</v>
      </c>
      <c r="C114" s="34" t="s">
        <v>175</v>
      </c>
      <c r="D114" s="51" t="s">
        <v>335</v>
      </c>
      <c r="E114" s="61" t="str">
        <f>IFERROR(VLOOKUP(D114,'Master List'!D:H,2,FALSE),"NA")</f>
        <v>511008</v>
      </c>
      <c r="F114" s="62" t="str">
        <f>IFERROR(VLOOKUP(D114,'Master List'!D:H,3,FALSE),"NA")</f>
        <v>511008</v>
      </c>
      <c r="G114" s="58" t="str">
        <f>IFERROR(VLOOKUP(D114,'Master List'!D:H,4,FALSE),"NA")</f>
        <v>511008</v>
      </c>
      <c r="H114" s="39" t="str">
        <f>IFERROR(VLOOKUP(D114,'Master List'!D:H,5,FALSE),"NA")</f>
        <v>Histologic Technician.</v>
      </c>
      <c r="I114" s="19"/>
      <c r="J114" s="20"/>
      <c r="K114" s="20"/>
      <c r="L114" s="21"/>
    </row>
    <row r="115" spans="1:12" x14ac:dyDescent="0.3">
      <c r="A115" s="33">
        <v>7</v>
      </c>
      <c r="B115" s="33" t="s">
        <v>174</v>
      </c>
      <c r="C115" s="34" t="s">
        <v>175</v>
      </c>
      <c r="D115" s="51" t="s">
        <v>338</v>
      </c>
      <c r="E115" s="61" t="str">
        <f>IFERROR(VLOOKUP(D115,'Master List'!D:H,2,FALSE),"NA")</f>
        <v>511803</v>
      </c>
      <c r="F115" s="62" t="str">
        <f>IFERROR(VLOOKUP(D115,'Master List'!D:H,3,FALSE),"NA")</f>
        <v>511803</v>
      </c>
      <c r="G115" s="58" t="str">
        <f>IFERROR(VLOOKUP(D115,'Master List'!D:H,4,FALSE),"NA")</f>
        <v>511803</v>
      </c>
      <c r="H115" s="39" t="str">
        <f>IFERROR(VLOOKUP(D115,'Master List'!D:H,5,FALSE),"NA")</f>
        <v>Ophthalmic Technician/Technologist.</v>
      </c>
      <c r="I115" s="19"/>
      <c r="J115" s="20"/>
      <c r="K115" s="20"/>
      <c r="L115" s="21"/>
    </row>
    <row r="116" spans="1:12" x14ac:dyDescent="0.3">
      <c r="A116" s="33">
        <v>7</v>
      </c>
      <c r="B116" s="33" t="s">
        <v>174</v>
      </c>
      <c r="C116" s="34" t="s">
        <v>175</v>
      </c>
      <c r="D116" s="51" t="s">
        <v>341</v>
      </c>
      <c r="E116" s="61" t="str">
        <f>IFERROR(VLOOKUP(D116,'Master List'!D:H,2,FALSE),"NA")</f>
        <v>512211</v>
      </c>
      <c r="F116" s="62" t="str">
        <f>IFERROR(VLOOKUP(D116,'Master List'!D:H,3,FALSE),"NA")</f>
        <v>512211</v>
      </c>
      <c r="G116" s="58">
        <f>IFERROR(VLOOKUP(D116,'Master List'!D:H,4,FALSE),"NA")</f>
        <v>512208</v>
      </c>
      <c r="H116" s="39" t="str">
        <f>IFERROR(VLOOKUP(D116,'Master List'!D:H,5,FALSE),"NA")</f>
        <v>Community Health and Preventive Medicine</v>
      </c>
      <c r="I116" s="19"/>
      <c r="J116" s="20"/>
      <c r="K116" s="20"/>
      <c r="L116" s="21"/>
    </row>
    <row r="117" spans="1:12" x14ac:dyDescent="0.3">
      <c r="A117" s="33">
        <v>7</v>
      </c>
      <c r="B117" s="33" t="s">
        <v>174</v>
      </c>
      <c r="C117" s="34" t="s">
        <v>175</v>
      </c>
      <c r="D117" s="51" t="s">
        <v>101</v>
      </c>
      <c r="E117" s="61" t="str">
        <f>IFERROR(VLOOKUP(D117,'Master List'!D:H,2,FALSE),"NA")</f>
        <v>513801</v>
      </c>
      <c r="F117" s="62" t="str">
        <f>IFERROR(VLOOKUP(D117,'Master List'!D:H,3,FALSE),"NA")</f>
        <v>513801</v>
      </c>
      <c r="G117" s="58" t="str">
        <f>IFERROR(VLOOKUP(D117,'Master List'!D:H,4,FALSE),"NA")</f>
        <v>513801</v>
      </c>
      <c r="H117" s="39" t="str">
        <f>IFERROR(VLOOKUP(D117,'Master List'!D:H,5,FALSE),"NA")</f>
        <v>Registered Nursing/Registered Nurse.</v>
      </c>
      <c r="I117" s="19"/>
      <c r="J117" s="20"/>
      <c r="K117" s="20"/>
      <c r="L117" s="21"/>
    </row>
    <row r="118" spans="1:12" x14ac:dyDescent="0.3">
      <c r="A118" s="33">
        <v>7</v>
      </c>
      <c r="B118" s="33" t="s">
        <v>174</v>
      </c>
      <c r="C118" s="34" t="s">
        <v>175</v>
      </c>
      <c r="D118" s="51" t="s">
        <v>342</v>
      </c>
      <c r="E118" s="61" t="str">
        <f>IFERROR(VLOOKUP(D118,'Master List'!D:H,2,FALSE),"NA")</f>
        <v>190708</v>
      </c>
      <c r="F118" s="62" t="str">
        <f>IFERROR(VLOOKUP(D118,'Master List'!D:H,3,FALSE),"NA")</f>
        <v>190708</v>
      </c>
      <c r="G118" s="58" t="str">
        <f>IFERROR(VLOOKUP(D118,'Master List'!D:H,4,FALSE),"NA")</f>
        <v>190708</v>
      </c>
      <c r="H118" s="39" t="str">
        <f>IFERROR(VLOOKUP(D118,'Master List'!D:H,5,FALSE),"NA")</f>
        <v>Child Care and Support Services Management.</v>
      </c>
      <c r="I118" s="19"/>
      <c r="J118" s="20"/>
      <c r="K118" s="20"/>
      <c r="L118" s="21"/>
    </row>
    <row r="119" spans="1:12" x14ac:dyDescent="0.3">
      <c r="A119" s="33">
        <v>7</v>
      </c>
      <c r="B119" s="33" t="s">
        <v>174</v>
      </c>
      <c r="C119" s="34" t="s">
        <v>175</v>
      </c>
      <c r="D119" s="51" t="s">
        <v>345</v>
      </c>
      <c r="E119" s="61" t="str">
        <f>IFERROR(VLOOKUP(D119,'Master List'!D:H,2,FALSE),"NA")</f>
        <v>500408</v>
      </c>
      <c r="F119" s="62" t="str">
        <f>IFERROR(VLOOKUP(D119,'Master List'!D:H,3,FALSE),"NA")</f>
        <v>500408</v>
      </c>
      <c r="G119" s="58" t="str">
        <f>IFERROR(VLOOKUP(D119,'Master List'!D:H,4,FALSE),"NA")</f>
        <v>500408</v>
      </c>
      <c r="H119" s="39" t="str">
        <f>IFERROR(VLOOKUP(D119,'Master List'!D:H,5,FALSE),"NA")</f>
        <v>Interior Design.</v>
      </c>
      <c r="I119" s="19"/>
      <c r="J119" s="20"/>
      <c r="K119" s="20"/>
      <c r="L119" s="21"/>
    </row>
    <row r="120" spans="1:12" x14ac:dyDescent="0.3">
      <c r="A120" s="33">
        <v>7</v>
      </c>
      <c r="B120" s="33" t="s">
        <v>174</v>
      </c>
      <c r="C120" s="34" t="s">
        <v>175</v>
      </c>
      <c r="D120" s="51" t="s">
        <v>346</v>
      </c>
      <c r="E120" s="61" t="str">
        <f>IFERROR(VLOOKUP(D120,'Master List'!D:H,2,FALSE),"NA")</f>
        <v>110101</v>
      </c>
      <c r="F120" s="62" t="str">
        <f>IFERROR(VLOOKUP(D120,'Master List'!D:H,3,FALSE),"NA")</f>
        <v>110101</v>
      </c>
      <c r="G120" s="58">
        <f>IFERROR(VLOOKUP(D120,'Master List'!D:H,4,FALSE),"NA")</f>
        <v>307001</v>
      </c>
      <c r="H120" s="39" t="str">
        <f>IFERROR(VLOOKUP(D120,'Master List'!D:H,5,FALSE),"NA")</f>
        <v>Data Science, General.</v>
      </c>
      <c r="I120" s="19"/>
      <c r="J120" s="20"/>
      <c r="K120" s="20"/>
      <c r="L120" s="21"/>
    </row>
    <row r="121" spans="1:12" x14ac:dyDescent="0.3">
      <c r="A121" s="33">
        <v>7</v>
      </c>
      <c r="B121" s="33" t="s">
        <v>174</v>
      </c>
      <c r="C121" s="34" t="s">
        <v>175</v>
      </c>
      <c r="D121" s="51" t="s">
        <v>348</v>
      </c>
      <c r="E121" s="61" t="str">
        <f>IFERROR(VLOOKUP(D121,'Master List'!D:H,2,FALSE),"NA")</f>
        <v>NA</v>
      </c>
      <c r="F121" s="62" t="str">
        <f>IFERROR(VLOOKUP(D121,'Master List'!D:H,3,FALSE),"NA")</f>
        <v>NA</v>
      </c>
      <c r="G121" s="58" t="str">
        <f>IFERROR(VLOOKUP(D121,'Master List'!D:H,4,FALSE),"NA")</f>
        <v>NA</v>
      </c>
      <c r="H121" s="39" t="str">
        <f>IFERROR(VLOOKUP(D121,'Master List'!D:H,5,FALSE),"NA")</f>
        <v>NA</v>
      </c>
      <c r="I121" s="19"/>
      <c r="J121" s="20"/>
      <c r="K121" s="20"/>
      <c r="L121" s="21"/>
    </row>
    <row r="122" spans="1:12" x14ac:dyDescent="0.3">
      <c r="A122" s="33">
        <v>7</v>
      </c>
      <c r="B122" s="33" t="s">
        <v>174</v>
      </c>
      <c r="C122" s="34" t="s">
        <v>175</v>
      </c>
      <c r="D122" s="51" t="s">
        <v>167</v>
      </c>
      <c r="E122" s="61" t="str">
        <f>IFERROR(VLOOKUP(D122,'Master List'!D:H,2,FALSE),"NA")</f>
        <v>110103</v>
      </c>
      <c r="F122" s="62" t="str">
        <f>IFERROR(VLOOKUP(D122,'Master List'!D:H,3,FALSE),"NA")</f>
        <v>110103</v>
      </c>
      <c r="G122" s="58" t="str">
        <f>IFERROR(VLOOKUP(D122,'Master List'!D:H,4,FALSE),"NA")</f>
        <v>110103</v>
      </c>
      <c r="H122" s="39" t="str">
        <f>IFERROR(VLOOKUP(D122,'Master List'!D:H,5,FALSE),"NA")</f>
        <v>Information Technology.</v>
      </c>
      <c r="I122" s="19"/>
      <c r="J122" s="20"/>
      <c r="K122" s="20"/>
      <c r="L122" s="21"/>
    </row>
    <row r="123" spans="1:12" x14ac:dyDescent="0.3">
      <c r="A123" s="33">
        <v>7</v>
      </c>
      <c r="B123" s="33" t="s">
        <v>174</v>
      </c>
      <c r="C123" s="34" t="s">
        <v>175</v>
      </c>
      <c r="D123" s="51" t="s">
        <v>349</v>
      </c>
      <c r="E123" s="61" t="str">
        <f>IFERROR(VLOOKUP(D123,'Master List'!D:H,2,FALSE),"NA")</f>
        <v>NA</v>
      </c>
      <c r="F123" s="62" t="str">
        <f>IFERROR(VLOOKUP(D123,'Master List'!D:H,3,FALSE),"NA")</f>
        <v>NA</v>
      </c>
      <c r="G123" s="58" t="str">
        <f>IFERROR(VLOOKUP(D123,'Master List'!D:H,4,FALSE),"NA")</f>
        <v>NA</v>
      </c>
      <c r="H123" s="39" t="str">
        <f>IFERROR(VLOOKUP(D123,'Master List'!D:H,5,FALSE),"NA")</f>
        <v>NA</v>
      </c>
      <c r="I123" s="19"/>
      <c r="J123" s="20"/>
      <c r="K123" s="20"/>
      <c r="L123" s="21"/>
    </row>
    <row r="124" spans="1:12" x14ac:dyDescent="0.3">
      <c r="A124" s="33">
        <v>7</v>
      </c>
      <c r="B124" s="33" t="s">
        <v>174</v>
      </c>
      <c r="C124" s="34" t="s">
        <v>175</v>
      </c>
      <c r="D124" s="51" t="s">
        <v>350</v>
      </c>
      <c r="E124" s="61" t="str">
        <f>IFERROR(VLOOKUP(D124,'Master List'!D:H,2,FALSE),"NA")</f>
        <v>NA</v>
      </c>
      <c r="F124" s="62" t="str">
        <f>IFERROR(VLOOKUP(D124,'Master List'!D:H,3,FALSE),"NA")</f>
        <v>NA</v>
      </c>
      <c r="G124" s="58" t="str">
        <f>IFERROR(VLOOKUP(D124,'Master List'!D:H,4,FALSE),"NA")</f>
        <v>NA</v>
      </c>
      <c r="H124" s="39" t="str">
        <f>IFERROR(VLOOKUP(D124,'Master List'!D:H,5,FALSE),"NA")</f>
        <v>NA</v>
      </c>
      <c r="I124" s="19"/>
      <c r="J124" s="20"/>
      <c r="K124" s="20"/>
      <c r="L124" s="21"/>
    </row>
    <row r="125" spans="1:12" x14ac:dyDescent="0.3">
      <c r="A125" s="33">
        <v>7</v>
      </c>
      <c r="B125" s="33" t="s">
        <v>174</v>
      </c>
      <c r="C125" s="34" t="s">
        <v>175</v>
      </c>
      <c r="D125" s="51" t="s">
        <v>107</v>
      </c>
      <c r="E125" s="61" t="str">
        <f>IFERROR(VLOOKUP(D125,'Master List'!D:H,2,FALSE),"NA")</f>
        <v>520201</v>
      </c>
      <c r="F125" s="62" t="str">
        <f>IFERROR(VLOOKUP(D125,'Master List'!D:H,3,FALSE),"NA")</f>
        <v>520201</v>
      </c>
      <c r="G125" s="58" t="str">
        <f>IFERROR(VLOOKUP(D125,'Master List'!D:H,4,FALSE),"NA")</f>
        <v>520201</v>
      </c>
      <c r="H125" s="39" t="str">
        <f>IFERROR(VLOOKUP(D125,'Master List'!D:H,5,FALSE),"NA")</f>
        <v>Business Administration and Management, General.</v>
      </c>
      <c r="I125" s="19"/>
      <c r="J125" s="20"/>
      <c r="K125" s="20"/>
      <c r="L125" s="21"/>
    </row>
    <row r="126" spans="1:12" x14ac:dyDescent="0.3">
      <c r="A126" s="33">
        <v>7</v>
      </c>
      <c r="B126" s="33" t="s">
        <v>174</v>
      </c>
      <c r="C126" s="34" t="s">
        <v>175</v>
      </c>
      <c r="D126" s="51" t="s">
        <v>351</v>
      </c>
      <c r="E126" s="61" t="str">
        <f>IFERROR(VLOOKUP(D126,'Master List'!D:H,2,FALSE),"NA")</f>
        <v>520204</v>
      </c>
      <c r="F126" s="62" t="str">
        <f>IFERROR(VLOOKUP(D126,'Master List'!D:H,3,FALSE),"NA")</f>
        <v>520204</v>
      </c>
      <c r="G126" s="58" t="str">
        <f>IFERROR(VLOOKUP(D126,'Master List'!D:H,4,FALSE),"NA")</f>
        <v>520204</v>
      </c>
      <c r="H126" s="39" t="str">
        <f>IFERROR(VLOOKUP(D126,'Master List'!D:H,5,FALSE),"NA")</f>
        <v>Office Management and Supervision.</v>
      </c>
      <c r="I126" s="19"/>
      <c r="J126" s="20"/>
      <c r="K126" s="20"/>
      <c r="L126" s="21"/>
    </row>
    <row r="127" spans="1:12" x14ac:dyDescent="0.3">
      <c r="A127" s="33">
        <v>7</v>
      </c>
      <c r="B127" s="33" t="s">
        <v>174</v>
      </c>
      <c r="C127" s="34" t="s">
        <v>175</v>
      </c>
      <c r="D127" s="51" t="s">
        <v>352</v>
      </c>
      <c r="E127" s="61" t="str">
        <f>IFERROR(VLOOKUP(D127,'Master List'!D:H,2,FALSE),"NA")</f>
        <v>NA</v>
      </c>
      <c r="F127" s="62" t="str">
        <f>IFERROR(VLOOKUP(D127,'Master List'!D:H,3,FALSE),"NA")</f>
        <v>NA</v>
      </c>
      <c r="G127" s="58" t="str">
        <f>IFERROR(VLOOKUP(D127,'Master List'!D:H,4,FALSE),"NA")</f>
        <v>NA</v>
      </c>
      <c r="H127" s="39" t="str">
        <f>IFERROR(VLOOKUP(D127,'Master List'!D:H,5,FALSE),"NA")</f>
        <v>NA</v>
      </c>
      <c r="I127" s="19"/>
      <c r="J127" s="20"/>
      <c r="K127" s="20"/>
      <c r="L127" s="21"/>
    </row>
    <row r="128" spans="1:12" x14ac:dyDescent="0.3">
      <c r="A128" s="33">
        <v>7</v>
      </c>
      <c r="B128" s="33" t="s">
        <v>174</v>
      </c>
      <c r="C128" s="34" t="s">
        <v>175</v>
      </c>
      <c r="D128" s="51" t="s">
        <v>110</v>
      </c>
      <c r="E128" s="61" t="str">
        <f>IFERROR(VLOOKUP(D128,'Master List'!D:H,2,FALSE),"NA")</f>
        <v>520302</v>
      </c>
      <c r="F128" s="62" t="str">
        <f>IFERROR(VLOOKUP(D128,'Master List'!D:H,3,FALSE),"NA")</f>
        <v>520302</v>
      </c>
      <c r="G128" s="58" t="str">
        <f>IFERROR(VLOOKUP(D128,'Master List'!D:H,4,FALSE),"NA")</f>
        <v>520302</v>
      </c>
      <c r="H128" s="39" t="str">
        <f>IFERROR(VLOOKUP(D128,'Master List'!D:H,5,FALSE),"NA")</f>
        <v>Accounting Technology/Technician and Bookkeeping.</v>
      </c>
      <c r="I128" s="19"/>
      <c r="J128" s="20"/>
      <c r="K128" s="20"/>
      <c r="L128" s="21"/>
    </row>
    <row r="129" spans="1:12" x14ac:dyDescent="0.3">
      <c r="A129" s="33">
        <v>7</v>
      </c>
      <c r="B129" s="33" t="s">
        <v>174</v>
      </c>
      <c r="C129" s="34" t="s">
        <v>175</v>
      </c>
      <c r="D129" s="51" t="s">
        <v>353</v>
      </c>
      <c r="E129" s="61" t="str">
        <f>IFERROR(VLOOKUP(D129,'Master List'!D:H,2,FALSE),"NA")</f>
        <v>040901</v>
      </c>
      <c r="F129" s="62" t="str">
        <f>IFERROR(VLOOKUP(D129,'Master List'!D:H,3,FALSE),"NA")</f>
        <v>040901</v>
      </c>
      <c r="G129" s="58" t="str">
        <f>IFERROR(VLOOKUP(D129,'Master List'!D:H,4,FALSE),"NA")</f>
        <v>040901</v>
      </c>
      <c r="H129" s="39" t="str">
        <f>IFERROR(VLOOKUP(D129,'Master List'!D:H,5,FALSE),"NA")</f>
        <v>Architectural Technology/Technician.</v>
      </c>
      <c r="I129" s="19"/>
      <c r="J129" s="20"/>
      <c r="K129" s="20"/>
      <c r="L129" s="21"/>
    </row>
    <row r="130" spans="1:12" x14ac:dyDescent="0.3">
      <c r="A130" s="33">
        <v>7</v>
      </c>
      <c r="B130" s="33" t="s">
        <v>174</v>
      </c>
      <c r="C130" s="34" t="s">
        <v>175</v>
      </c>
      <c r="D130" s="51" t="s">
        <v>356</v>
      </c>
      <c r="E130" s="61" t="str">
        <f>IFERROR(VLOOKUP(D130,'Master List'!D:H,2,FALSE),"NA")</f>
        <v>NA</v>
      </c>
      <c r="F130" s="62" t="str">
        <f>IFERROR(VLOOKUP(D130,'Master List'!D:H,3,FALSE),"NA")</f>
        <v>NA</v>
      </c>
      <c r="G130" s="58" t="str">
        <f>IFERROR(VLOOKUP(D130,'Master List'!D:H,4,FALSE),"NA")</f>
        <v>NA</v>
      </c>
      <c r="H130" s="39" t="str">
        <f>IFERROR(VLOOKUP(D130,'Master List'!D:H,5,FALSE),"NA")</f>
        <v>NA</v>
      </c>
      <c r="I130" s="19"/>
      <c r="J130" s="20"/>
      <c r="K130" s="20"/>
      <c r="L130" s="21"/>
    </row>
    <row r="131" spans="1:12" x14ac:dyDescent="0.3">
      <c r="A131" s="33">
        <v>7</v>
      </c>
      <c r="B131" s="33" t="s">
        <v>174</v>
      </c>
      <c r="C131" s="34" t="s">
        <v>175</v>
      </c>
      <c r="D131" s="51" t="s">
        <v>173</v>
      </c>
      <c r="E131" s="61" t="str">
        <f>IFERROR(VLOOKUP(D131,'Master List'!D:H,2,FALSE),"NA")</f>
        <v>NA</v>
      </c>
      <c r="F131" s="62" t="str">
        <f>IFERROR(VLOOKUP(D131,'Master List'!D:H,3,FALSE),"NA")</f>
        <v>NA</v>
      </c>
      <c r="G131" s="58" t="str">
        <f>IFERROR(VLOOKUP(D131,'Master List'!D:H,4,FALSE),"NA")</f>
        <v>NA</v>
      </c>
      <c r="H131" s="39" t="str">
        <f>IFERROR(VLOOKUP(D131,'Master List'!D:H,5,FALSE),"NA")</f>
        <v>NA</v>
      </c>
      <c r="I131" s="19"/>
      <c r="J131" s="20"/>
      <c r="K131" s="20"/>
      <c r="L131" s="21"/>
    </row>
    <row r="132" spans="1:12" x14ac:dyDescent="0.3">
      <c r="A132" s="33">
        <v>7</v>
      </c>
      <c r="B132" s="33" t="s">
        <v>174</v>
      </c>
      <c r="C132" s="34" t="s">
        <v>175</v>
      </c>
      <c r="D132" s="51" t="s">
        <v>120</v>
      </c>
      <c r="E132" s="61" t="str">
        <f>IFERROR(VLOOKUP(D132,'Master List'!D:H,2,FALSE),"NA")</f>
        <v>150000</v>
      </c>
      <c r="F132" s="62" t="str">
        <f>IFERROR(VLOOKUP(D132,'Master List'!D:H,3,FALSE),"NA")</f>
        <v>150000</v>
      </c>
      <c r="G132" s="58" t="str">
        <f>IFERROR(VLOOKUP(D132,'Master List'!D:H,4,FALSE),"NA")</f>
        <v>150000</v>
      </c>
      <c r="H132" s="39" t="str">
        <f>IFERROR(VLOOKUP(D132,'Master List'!D:H,5,FALSE),"NA")</f>
        <v>Engineering Technologies/Technicians, General.</v>
      </c>
      <c r="I132" s="19"/>
      <c r="J132" s="20"/>
      <c r="K132" s="20"/>
      <c r="L132" s="21"/>
    </row>
    <row r="133" spans="1:12" x14ac:dyDescent="0.3">
      <c r="A133" s="33">
        <v>7</v>
      </c>
      <c r="B133" s="33" t="s">
        <v>174</v>
      </c>
      <c r="C133" s="34" t="s">
        <v>175</v>
      </c>
      <c r="D133" s="51" t="s">
        <v>357</v>
      </c>
      <c r="E133" s="61" t="str">
        <f>IFERROR(VLOOKUP(D133,'Master List'!D:H,2,FALSE),"NA")</f>
        <v>NA</v>
      </c>
      <c r="F133" s="62" t="str">
        <f>IFERROR(VLOOKUP(D133,'Master List'!D:H,3,FALSE),"NA")</f>
        <v>NA</v>
      </c>
      <c r="G133" s="58" t="str">
        <f>IFERROR(VLOOKUP(D133,'Master List'!D:H,4,FALSE),"NA")</f>
        <v>NA</v>
      </c>
      <c r="H133" s="39" t="str">
        <f>IFERROR(VLOOKUP(D133,'Master List'!D:H,5,FALSE),"NA")</f>
        <v>NA</v>
      </c>
      <c r="I133" s="19"/>
      <c r="J133" s="20"/>
      <c r="K133" s="20"/>
      <c r="L133" s="21"/>
    </row>
    <row r="134" spans="1:12" x14ac:dyDescent="0.3">
      <c r="A134" s="33">
        <v>7</v>
      </c>
      <c r="B134" s="33" t="s">
        <v>174</v>
      </c>
      <c r="C134" s="34" t="s">
        <v>175</v>
      </c>
      <c r="D134" s="51" t="s">
        <v>358</v>
      </c>
      <c r="E134" s="61" t="str">
        <f>IFERROR(VLOOKUP(D134,'Master List'!D:H,2,FALSE),"NA")</f>
        <v>151001</v>
      </c>
      <c r="F134" s="62" t="str">
        <f>IFERROR(VLOOKUP(D134,'Master List'!D:H,3,FALSE),"NA")</f>
        <v>151001</v>
      </c>
      <c r="G134" s="58" t="str">
        <f>IFERROR(VLOOKUP(D134,'Master List'!D:H,4,FALSE),"NA")</f>
        <v>151001</v>
      </c>
      <c r="H134" s="39" t="str">
        <f>IFERROR(VLOOKUP(D134,'Master List'!D:H,5,FALSE),"NA")</f>
        <v>Construction Engineering Technology/Technician.</v>
      </c>
      <c r="I134" s="19"/>
      <c r="J134" s="20"/>
      <c r="K134" s="20"/>
      <c r="L134" s="21"/>
    </row>
    <row r="135" spans="1:12" x14ac:dyDescent="0.3">
      <c r="A135" s="33">
        <v>7</v>
      </c>
      <c r="B135" s="33" t="s">
        <v>174</v>
      </c>
      <c r="C135" s="34" t="s">
        <v>175</v>
      </c>
      <c r="D135" s="51" t="s">
        <v>361</v>
      </c>
      <c r="E135" s="61" t="str">
        <f>IFERROR(VLOOKUP(D135,'Master List'!D:H,2,FALSE),"NA")</f>
        <v>470607</v>
      </c>
      <c r="F135" s="62" t="str">
        <f>IFERROR(VLOOKUP(D135,'Master List'!D:H,3,FALSE),"NA")</f>
        <v>470607</v>
      </c>
      <c r="G135" s="58" t="str">
        <f>IFERROR(VLOOKUP(D135,'Master List'!D:H,4,FALSE),"NA")</f>
        <v>470607</v>
      </c>
      <c r="H135" s="39" t="str">
        <f>IFERROR(VLOOKUP(D135,'Master List'!D:H,5,FALSE),"NA")</f>
        <v>Airframe Mechanics and Aircraft Maintenance Technology/Technician.</v>
      </c>
      <c r="I135" s="19"/>
      <c r="J135" s="20"/>
      <c r="K135" s="20"/>
      <c r="L135" s="21"/>
    </row>
    <row r="136" spans="1:12" x14ac:dyDescent="0.3">
      <c r="A136" s="33">
        <v>7</v>
      </c>
      <c r="B136" s="33" t="s">
        <v>174</v>
      </c>
      <c r="C136" s="34" t="s">
        <v>175</v>
      </c>
      <c r="D136" s="51" t="s">
        <v>362</v>
      </c>
      <c r="E136" s="61" t="str">
        <f>IFERROR(VLOOKUP(D136,'Master List'!D:H,2,FALSE),"NA")</f>
        <v>490102</v>
      </c>
      <c r="F136" s="62" t="str">
        <f>IFERROR(VLOOKUP(D136,'Master List'!D:H,3,FALSE),"NA")</f>
        <v>490102</v>
      </c>
      <c r="G136" s="58" t="str">
        <f>IFERROR(VLOOKUP(D136,'Master List'!D:H,4,FALSE),"NA")</f>
        <v>490102</v>
      </c>
      <c r="H136" s="39" t="str">
        <f>IFERROR(VLOOKUP(D136,'Master List'!D:H,5,FALSE),"NA")</f>
        <v>Airline/Commercial/Professional Pilot and Flight Crew.</v>
      </c>
      <c r="I136" s="19"/>
      <c r="J136" s="20"/>
      <c r="K136" s="20"/>
      <c r="L136" s="21"/>
    </row>
    <row r="137" spans="1:12" x14ac:dyDescent="0.3">
      <c r="A137" s="33">
        <v>7</v>
      </c>
      <c r="B137" s="33" t="s">
        <v>174</v>
      </c>
      <c r="C137" s="34" t="s">
        <v>175</v>
      </c>
      <c r="D137" s="51" t="s">
        <v>363</v>
      </c>
      <c r="E137" s="61" t="str">
        <f>IFERROR(VLOOKUP(D137,'Master List'!D:H,2,FALSE),"NA")</f>
        <v>NA</v>
      </c>
      <c r="F137" s="62" t="str">
        <f>IFERROR(VLOOKUP(D137,'Master List'!D:H,3,FALSE),"NA")</f>
        <v>NA</v>
      </c>
      <c r="G137" s="58" t="str">
        <f>IFERROR(VLOOKUP(D137,'Master List'!D:H,4,FALSE),"NA")</f>
        <v>NA</v>
      </c>
      <c r="H137" s="39" t="str">
        <f>IFERROR(VLOOKUP(D137,'Master List'!D:H,5,FALSE),"NA")</f>
        <v>NA</v>
      </c>
      <c r="I137" s="19"/>
      <c r="J137" s="20"/>
      <c r="K137" s="20"/>
      <c r="L137" s="21"/>
    </row>
    <row r="138" spans="1:12" x14ac:dyDescent="0.3">
      <c r="A138" s="33">
        <v>7</v>
      </c>
      <c r="B138" s="33" t="s">
        <v>174</v>
      </c>
      <c r="C138" s="34" t="s">
        <v>175</v>
      </c>
      <c r="D138" s="51" t="s">
        <v>364</v>
      </c>
      <c r="E138" s="61" t="str">
        <f>IFERROR(VLOOKUP(D138,'Master List'!D:H,2,FALSE),"NA")</f>
        <v>490104</v>
      </c>
      <c r="F138" s="62" t="str">
        <f>IFERROR(VLOOKUP(D138,'Master List'!D:H,3,FALSE),"NA")</f>
        <v>490104</v>
      </c>
      <c r="G138" s="58" t="str">
        <f>IFERROR(VLOOKUP(D138,'Master List'!D:H,4,FALSE),"NA")</f>
        <v>490104</v>
      </c>
      <c r="H138" s="39" t="str">
        <f>IFERROR(VLOOKUP(D138,'Master List'!D:H,5,FALSE),"NA")</f>
        <v>Aviation/Airway Management and Operations.</v>
      </c>
      <c r="I138" s="19"/>
      <c r="J138" s="20"/>
      <c r="K138" s="20"/>
      <c r="L138" s="21"/>
    </row>
    <row r="139" spans="1:12" x14ac:dyDescent="0.3">
      <c r="A139" s="33">
        <v>7</v>
      </c>
      <c r="B139" s="33" t="s">
        <v>174</v>
      </c>
      <c r="C139" s="34" t="s">
        <v>175</v>
      </c>
      <c r="D139" s="51" t="s">
        <v>365</v>
      </c>
      <c r="E139" s="61" t="str">
        <f>IFERROR(VLOOKUP(D139,'Master List'!D:H,2,FALSE),"NA")</f>
        <v>490104</v>
      </c>
      <c r="F139" s="62" t="str">
        <f>IFERROR(VLOOKUP(D139,'Master List'!D:H,3,FALSE),"NA")</f>
        <v>490104</v>
      </c>
      <c r="G139" s="58" t="str">
        <f>IFERROR(VLOOKUP(D139,'Master List'!D:H,4,FALSE),"NA")</f>
        <v>490104</v>
      </c>
      <c r="H139" s="39" t="str">
        <f>IFERROR(VLOOKUP(D139,'Master List'!D:H,5,FALSE),"NA")</f>
        <v>Aviation/Airway Management and Operations.</v>
      </c>
      <c r="I139" s="19"/>
      <c r="J139" s="20"/>
      <c r="K139" s="20"/>
      <c r="L139" s="21"/>
    </row>
    <row r="140" spans="1:12" x14ac:dyDescent="0.3">
      <c r="A140" s="33">
        <v>7</v>
      </c>
      <c r="B140" s="33" t="s">
        <v>174</v>
      </c>
      <c r="C140" s="34" t="s">
        <v>175</v>
      </c>
      <c r="D140" s="51" t="s">
        <v>366</v>
      </c>
      <c r="E140" s="61" t="str">
        <f>IFERROR(VLOOKUP(D140,'Master List'!D:H,2,FALSE),"NA")</f>
        <v>490104</v>
      </c>
      <c r="F140" s="62" t="str">
        <f>IFERROR(VLOOKUP(D140,'Master List'!D:H,3,FALSE),"NA")</f>
        <v>490104</v>
      </c>
      <c r="G140" s="58" t="str">
        <f>IFERROR(VLOOKUP(D140,'Master List'!D:H,4,FALSE),"NA")</f>
        <v>490104</v>
      </c>
      <c r="H140" s="39" t="str">
        <f>IFERROR(VLOOKUP(D140,'Master List'!D:H,5,FALSE),"NA")</f>
        <v>Aviation/Airway Management and Operations.</v>
      </c>
      <c r="I140" s="19"/>
      <c r="J140" s="20"/>
      <c r="K140" s="20"/>
      <c r="L140" s="21"/>
    </row>
    <row r="141" spans="1:12" x14ac:dyDescent="0.3">
      <c r="A141" s="33">
        <v>7</v>
      </c>
      <c r="B141" s="33" t="s">
        <v>174</v>
      </c>
      <c r="C141" s="34" t="s">
        <v>175</v>
      </c>
      <c r="D141" s="51" t="s">
        <v>121</v>
      </c>
      <c r="E141" s="61" t="str">
        <f>IFERROR(VLOOKUP(D141,'Master List'!D:H,2,FALSE),"NA")</f>
        <v>500502</v>
      </c>
      <c r="F141" s="62" t="str">
        <f>IFERROR(VLOOKUP(D141,'Master List'!D:H,3,FALSE),"NA")</f>
        <v>500502</v>
      </c>
      <c r="G141" s="58" t="str">
        <f>IFERROR(VLOOKUP(D141,'Master List'!D:H,4,FALSE),"NA")</f>
        <v>500502</v>
      </c>
      <c r="H141" s="39" t="str">
        <f>IFERROR(VLOOKUP(D141,'Master List'!D:H,5,FALSE),"NA")</f>
        <v>Technical Theatre/Theatre Design and Technology.</v>
      </c>
      <c r="I141" s="19"/>
      <c r="J141" s="20"/>
      <c r="K141" s="20"/>
      <c r="L141" s="21"/>
    </row>
    <row r="142" spans="1:12" x14ac:dyDescent="0.3">
      <c r="A142" s="33">
        <v>7</v>
      </c>
      <c r="B142" s="33" t="s">
        <v>174</v>
      </c>
      <c r="C142" s="34" t="s">
        <v>175</v>
      </c>
      <c r="D142" s="51" t="s">
        <v>367</v>
      </c>
      <c r="E142" s="61" t="str">
        <f>IFERROR(VLOOKUP(D142,'Master List'!D:H,2,FALSE),"NA")</f>
        <v>520205</v>
      </c>
      <c r="F142" s="62" t="str">
        <f>IFERROR(VLOOKUP(D142,'Master List'!D:H,3,FALSE),"NA")</f>
        <v>520205</v>
      </c>
      <c r="G142" s="58" t="str">
        <f>IFERROR(VLOOKUP(D142,'Master List'!D:H,4,FALSE),"NA")</f>
        <v>520205</v>
      </c>
      <c r="H142" s="39" t="str">
        <f>IFERROR(VLOOKUP(D142,'Master List'!D:H,5,FALSE),"NA")</f>
        <v>Operations Management and Supervision.</v>
      </c>
      <c r="I142" s="19"/>
      <c r="J142" s="20"/>
      <c r="K142" s="20"/>
      <c r="L142" s="21"/>
    </row>
    <row r="143" spans="1:12" x14ac:dyDescent="0.3">
      <c r="A143" s="33">
        <v>7</v>
      </c>
      <c r="B143" s="33" t="s">
        <v>174</v>
      </c>
      <c r="C143" s="34" t="s">
        <v>175</v>
      </c>
      <c r="D143" s="51" t="s">
        <v>370</v>
      </c>
      <c r="E143" s="61" t="str">
        <f>IFERROR(VLOOKUP(D143,'Master List'!D:H,2,FALSE),"NA")</f>
        <v>NA</v>
      </c>
      <c r="F143" s="62" t="str">
        <f>IFERROR(VLOOKUP(D143,'Master List'!D:H,3,FALSE),"NA")</f>
        <v>NA</v>
      </c>
      <c r="G143" s="58" t="str">
        <f>IFERROR(VLOOKUP(D143,'Master List'!D:H,4,FALSE),"NA")</f>
        <v>NA</v>
      </c>
      <c r="H143" s="39" t="str">
        <f>IFERROR(VLOOKUP(D143,'Master List'!D:H,5,FALSE),"NA")</f>
        <v>NA</v>
      </c>
      <c r="I143" s="19"/>
      <c r="J143" s="20"/>
      <c r="K143" s="20"/>
      <c r="L143" s="21"/>
    </row>
    <row r="144" spans="1:12" x14ac:dyDescent="0.3">
      <c r="A144" s="33">
        <v>7</v>
      </c>
      <c r="B144" s="33" t="s">
        <v>174</v>
      </c>
      <c r="C144" s="34" t="s">
        <v>175</v>
      </c>
      <c r="D144" s="51" t="s">
        <v>371</v>
      </c>
      <c r="E144" s="61" t="str">
        <f>IFERROR(VLOOKUP(D144,'Master List'!D:H,2,FALSE),"NA")</f>
        <v>520209</v>
      </c>
      <c r="F144" s="62" t="str">
        <f>IFERROR(VLOOKUP(D144,'Master List'!D:H,3,FALSE),"NA")</f>
        <v>520209</v>
      </c>
      <c r="G144" s="58" t="str">
        <f>IFERROR(VLOOKUP(D144,'Master List'!D:H,4,FALSE),"NA")</f>
        <v>520209</v>
      </c>
      <c r="H144" s="39" t="str">
        <f>IFERROR(VLOOKUP(D144,'Master List'!D:H,5,FALSE),"NA")</f>
        <v>Transportation/Mobility Management.</v>
      </c>
      <c r="I144" s="19"/>
      <c r="J144" s="20"/>
      <c r="K144" s="20"/>
      <c r="L144" s="21"/>
    </row>
    <row r="145" spans="1:12" x14ac:dyDescent="0.3">
      <c r="A145" s="33">
        <v>7</v>
      </c>
      <c r="B145" s="33" t="s">
        <v>174</v>
      </c>
      <c r="C145" s="34" t="s">
        <v>175</v>
      </c>
      <c r="D145" s="51" t="s">
        <v>372</v>
      </c>
      <c r="E145" s="61" t="str">
        <f>IFERROR(VLOOKUP(D145,'Master List'!D:H,2,FALSE),"NA")</f>
        <v>030104</v>
      </c>
      <c r="F145" s="62" t="str">
        <f>IFERROR(VLOOKUP(D145,'Master List'!D:H,3,FALSE),"NA")</f>
        <v>030104</v>
      </c>
      <c r="G145" s="58" t="str">
        <f>IFERROR(VLOOKUP(D145,'Master List'!D:H,4,FALSE),"NA")</f>
        <v>030104</v>
      </c>
      <c r="H145" s="39" t="str">
        <f>IFERROR(VLOOKUP(D145,'Master List'!D:H,5,FALSE),"NA")</f>
        <v>Environmental Science.</v>
      </c>
      <c r="I145" s="19"/>
      <c r="J145" s="20"/>
      <c r="K145" s="20"/>
      <c r="L145" s="21"/>
    </row>
    <row r="146" spans="1:12" x14ac:dyDescent="0.3">
      <c r="A146" s="33">
        <v>7</v>
      </c>
      <c r="B146" s="33" t="s">
        <v>174</v>
      </c>
      <c r="C146" s="34" t="s">
        <v>175</v>
      </c>
      <c r="D146" s="51" t="s">
        <v>373</v>
      </c>
      <c r="E146" s="61" t="str">
        <f>IFERROR(VLOOKUP(D146,'Master List'!D:H,2,FALSE),"NA")</f>
        <v>NA</v>
      </c>
      <c r="F146" s="62" t="str">
        <f>IFERROR(VLOOKUP(D146,'Master List'!D:H,3,FALSE),"NA")</f>
        <v>NA</v>
      </c>
      <c r="G146" s="58" t="str">
        <f>IFERROR(VLOOKUP(D146,'Master List'!D:H,4,FALSE),"NA")</f>
        <v>NA</v>
      </c>
      <c r="H146" s="39" t="str">
        <f>IFERROR(VLOOKUP(D146,'Master List'!D:H,5,FALSE),"NA")</f>
        <v>NA</v>
      </c>
      <c r="I146" s="19"/>
      <c r="J146" s="20"/>
      <c r="K146" s="20"/>
      <c r="L146" s="21"/>
    </row>
    <row r="147" spans="1:12" x14ac:dyDescent="0.3">
      <c r="A147" s="33">
        <v>7</v>
      </c>
      <c r="B147" s="33" t="s">
        <v>174</v>
      </c>
      <c r="C147" s="34" t="s">
        <v>175</v>
      </c>
      <c r="D147" s="51" t="s">
        <v>125</v>
      </c>
      <c r="E147" s="61" t="str">
        <f>IFERROR(VLOOKUP(D147,'Master List'!D:H,2,FALSE),"NA")</f>
        <v>220302</v>
      </c>
      <c r="F147" s="62" t="str">
        <f>IFERROR(VLOOKUP(D147,'Master List'!D:H,3,FALSE),"NA")</f>
        <v>220302</v>
      </c>
      <c r="G147" s="58" t="str">
        <f>IFERROR(VLOOKUP(D147,'Master List'!D:H,4,FALSE),"NA")</f>
        <v>220302</v>
      </c>
      <c r="H147" s="39" t="str">
        <f>IFERROR(VLOOKUP(D147,'Master List'!D:H,5,FALSE),"NA")</f>
        <v>Legal Assistant/Paralegal.</v>
      </c>
      <c r="I147" s="19"/>
      <c r="J147" s="20"/>
      <c r="K147" s="20"/>
      <c r="L147" s="21"/>
    </row>
    <row r="148" spans="1:12" x14ac:dyDescent="0.3">
      <c r="A148" s="33">
        <v>7</v>
      </c>
      <c r="B148" s="33" t="s">
        <v>174</v>
      </c>
      <c r="C148" s="34" t="s">
        <v>175</v>
      </c>
      <c r="D148" s="51" t="s">
        <v>374</v>
      </c>
      <c r="E148" s="61" t="str">
        <f>IFERROR(VLOOKUP(D148,'Master List'!D:H,2,FALSE),"NA")</f>
        <v>NA</v>
      </c>
      <c r="F148" s="62" t="str">
        <f>IFERROR(VLOOKUP(D148,'Master List'!D:H,3,FALSE),"NA")</f>
        <v>NA</v>
      </c>
      <c r="G148" s="58" t="str">
        <f>IFERROR(VLOOKUP(D148,'Master List'!D:H,4,FALSE),"NA")</f>
        <v>NA</v>
      </c>
      <c r="H148" s="39" t="str">
        <f>IFERROR(VLOOKUP(D148,'Master List'!D:H,5,FALSE),"NA")</f>
        <v>NA</v>
      </c>
      <c r="I148" s="19"/>
      <c r="J148" s="20"/>
      <c r="K148" s="20"/>
      <c r="L148" s="21"/>
    </row>
    <row r="149" spans="1:12" x14ac:dyDescent="0.3">
      <c r="A149" s="33">
        <v>7</v>
      </c>
      <c r="B149" s="33" t="s">
        <v>174</v>
      </c>
      <c r="C149" s="34" t="s">
        <v>175</v>
      </c>
      <c r="D149" s="51" t="s">
        <v>128</v>
      </c>
      <c r="E149" s="61" t="str">
        <f>IFERROR(VLOOKUP(D149,'Master List'!D:H,2,FALSE),"NA")</f>
        <v>430103</v>
      </c>
      <c r="F149" s="62" t="str">
        <f>IFERROR(VLOOKUP(D149,'Master List'!D:H,3,FALSE),"NA")</f>
        <v>430103</v>
      </c>
      <c r="G149" s="58" t="str">
        <f>IFERROR(VLOOKUP(D149,'Master List'!D:H,4,FALSE),"NA")</f>
        <v>430103</v>
      </c>
      <c r="H149" s="39" t="str">
        <f>IFERROR(VLOOKUP(D149,'Master List'!D:H,5,FALSE),"NA")</f>
        <v>Criminal Justice/Law Enforcement Administration.</v>
      </c>
      <c r="I149" s="19"/>
      <c r="J149" s="20"/>
      <c r="K149" s="20"/>
      <c r="L149" s="21"/>
    </row>
    <row r="150" spans="1:12" x14ac:dyDescent="0.3">
      <c r="A150" s="33">
        <v>7</v>
      </c>
      <c r="B150" s="33" t="s">
        <v>174</v>
      </c>
      <c r="C150" s="34" t="s">
        <v>175</v>
      </c>
      <c r="D150" s="51" t="s">
        <v>375</v>
      </c>
      <c r="E150" s="61" t="str">
        <f>IFERROR(VLOOKUP(D150,'Master List'!D:H,2,FALSE),"NA")</f>
        <v>430201</v>
      </c>
      <c r="F150" s="62" t="str">
        <f>IFERROR(VLOOKUP(D150,'Master List'!D:H,3,FALSE),"NA")</f>
        <v>430201</v>
      </c>
      <c r="G150" s="58" t="str">
        <f>IFERROR(VLOOKUP(D150,'Master List'!D:H,4,FALSE),"NA")</f>
        <v>430201</v>
      </c>
      <c r="H150" s="39" t="str">
        <f>IFERROR(VLOOKUP(D150,'Master List'!D:H,5,FALSE),"NA")</f>
        <v>Fire Prevention and Safety Technology/Technician.</v>
      </c>
      <c r="I150" s="19"/>
      <c r="J150" s="20"/>
      <c r="K150" s="20"/>
      <c r="L150" s="21"/>
    </row>
    <row r="151" spans="1:12" x14ac:dyDescent="0.3">
      <c r="A151" s="33">
        <v>7</v>
      </c>
      <c r="B151" s="33" t="s">
        <v>174</v>
      </c>
      <c r="C151" s="34" t="s">
        <v>175</v>
      </c>
      <c r="D151" s="51" t="s">
        <v>378</v>
      </c>
      <c r="E151" s="61" t="str">
        <f>IFERROR(VLOOKUP(D151,'Master List'!D:H,2,FALSE),"NA")</f>
        <v>430302</v>
      </c>
      <c r="F151" s="62" t="str">
        <f>IFERROR(VLOOKUP(D151,'Master List'!D:H,3,FALSE),"NA")</f>
        <v>430302</v>
      </c>
      <c r="G151" s="58" t="str">
        <f>IFERROR(VLOOKUP(D151,'Master List'!D:H,4,FALSE),"NA")</f>
        <v>430302</v>
      </c>
      <c r="H151" s="39" t="str">
        <f>IFERROR(VLOOKUP(D151,'Master List'!D:H,5,FALSE),"NA")</f>
        <v>Crisis/Emergency/Disaster Management.</v>
      </c>
      <c r="I151" s="19"/>
      <c r="J151" s="20"/>
      <c r="K151" s="20"/>
      <c r="L151" s="21"/>
    </row>
  </sheetData>
  <sheetProtection algorithmName="SHA-512" hashValue="gKRaCRR+AEXtrRxm8vrWh1NlecR9Bw14C7iArbHPFGMbhhYGBglg4a2lDiFh7GQ36g7X2RWqGyRTII9xs/1fEA==" saltValue="Oc2yZrITLrtYtFfl2bEIvQ==" spinCount="100000" sheet="1" objects="1" scenarios="1" sort="0" autoFilter="0"/>
  <autoFilter ref="A2:L151"/>
  <mergeCells count="3">
    <mergeCell ref="A1:D1"/>
    <mergeCell ref="E1:H1"/>
    <mergeCell ref="I1:L1"/>
  </mergeCells>
  <dataValidations count="1">
    <dataValidation type="list" allowBlank="1" showInputMessage="1" showErrorMessage="1" sqref="I3:I151">
      <formula1>"Agree,Disagree"</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73.9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8</v>
      </c>
      <c r="B3" s="33" t="s">
        <v>2177</v>
      </c>
      <c r="C3" s="34" t="s">
        <v>132</v>
      </c>
      <c r="D3" s="51" t="s">
        <v>133</v>
      </c>
      <c r="E3" s="61" t="str">
        <f>IFERROR(VLOOKUP(D3,'Master List'!D:H,2,FALSE),"NA")</f>
        <v>030601</v>
      </c>
      <c r="F3" s="62" t="str">
        <f>IFERROR(VLOOKUP(D3,'Master List'!D:H,3,FALSE),"NA")</f>
        <v>030601</v>
      </c>
      <c r="G3" s="58">
        <f>IFERROR(VLOOKUP(D3,'Master List'!D:H,4,FALSE),"NA")</f>
        <v>10505</v>
      </c>
      <c r="H3" s="39" t="str">
        <f>IFERROR(VLOOKUP(D3,'Master List'!D:H,5,FALSE),"NA")</f>
        <v xml:space="preserve">Animal Training </v>
      </c>
      <c r="I3" s="19"/>
      <c r="J3" s="20"/>
      <c r="K3" s="20"/>
      <c r="L3" s="21"/>
    </row>
    <row r="4" spans="1:12" x14ac:dyDescent="0.3">
      <c r="A4" s="33">
        <v>8</v>
      </c>
      <c r="B4" s="33" t="s">
        <v>2177</v>
      </c>
      <c r="C4" s="34" t="s">
        <v>132</v>
      </c>
      <c r="D4" s="51" t="s">
        <v>136</v>
      </c>
      <c r="E4" s="61" t="str">
        <f>IFERROR(VLOOKUP(D4,'Master List'!D:H,2,FALSE),"NA")</f>
        <v>030601</v>
      </c>
      <c r="F4" s="62" t="str">
        <f>IFERROR(VLOOKUP(D4,'Master List'!D:H,3,FALSE),"NA")</f>
        <v>030601</v>
      </c>
      <c r="G4" s="58">
        <f>IFERROR(VLOOKUP(D4,'Master List'!D:H,4,FALSE),"NA")</f>
        <v>10303</v>
      </c>
      <c r="H4" s="39" t="str">
        <f>IFERROR(VLOOKUP(D4,'Master List'!D:H,5,FALSE),"NA")</f>
        <v>Aquaculture</v>
      </c>
      <c r="I4" s="19"/>
      <c r="J4" s="20"/>
      <c r="K4" s="20"/>
      <c r="L4" s="21"/>
    </row>
    <row r="5" spans="1:12" x14ac:dyDescent="0.3">
      <c r="A5" s="33">
        <v>8</v>
      </c>
      <c r="B5" s="33" t="s">
        <v>2177</v>
      </c>
      <c r="C5" s="34" t="s">
        <v>132</v>
      </c>
      <c r="D5" s="51" t="s">
        <v>137</v>
      </c>
      <c r="E5" s="61" t="str">
        <f>IFERROR(VLOOKUP(D5,'Master List'!D:H,2,FALSE),"NA")</f>
        <v>490304</v>
      </c>
      <c r="F5" s="62" t="str">
        <f>IFERROR(VLOOKUP(D5,'Master List'!D:H,3,FALSE),"NA")</f>
        <v>490304</v>
      </c>
      <c r="G5" s="58" t="str">
        <f>IFERROR(VLOOKUP(D5,'Master List'!D:H,4,FALSE),"NA")</f>
        <v>490304</v>
      </c>
      <c r="H5" s="39" t="str">
        <f>IFERROR(VLOOKUP(D5,'Master List'!D:H,5,FALSE),"NA")</f>
        <v>Diver, Professional and Instructor.</v>
      </c>
      <c r="I5" s="19"/>
      <c r="J5" s="20"/>
      <c r="K5" s="20"/>
      <c r="L5" s="21"/>
    </row>
    <row r="6" spans="1:12" x14ac:dyDescent="0.3">
      <c r="A6" s="33">
        <v>8</v>
      </c>
      <c r="B6" s="33" t="s">
        <v>2177</v>
      </c>
      <c r="C6" s="34" t="s">
        <v>132</v>
      </c>
      <c r="D6" s="51" t="s">
        <v>140</v>
      </c>
      <c r="E6" s="61" t="str">
        <f>IFERROR(VLOOKUP(D6,'Master List'!D:H,2,FALSE),"NA")</f>
        <v>490304</v>
      </c>
      <c r="F6" s="62" t="str">
        <f>IFERROR(VLOOKUP(D6,'Master List'!D:H,3,FALSE),"NA")</f>
        <v>490304</v>
      </c>
      <c r="G6" s="58" t="str">
        <f>IFERROR(VLOOKUP(D6,'Master List'!D:H,4,FALSE),"NA")</f>
        <v>490304</v>
      </c>
      <c r="H6" s="39" t="str">
        <f>IFERROR(VLOOKUP(D6,'Master List'!D:H,5,FALSE),"NA")</f>
        <v>Diver, Professional and Instructor.</v>
      </c>
      <c r="I6" s="19"/>
      <c r="J6" s="20"/>
      <c r="K6" s="20"/>
      <c r="L6" s="21"/>
    </row>
    <row r="7" spans="1:12" x14ac:dyDescent="0.3">
      <c r="A7" s="33">
        <v>8</v>
      </c>
      <c r="B7" s="33" t="s">
        <v>2177</v>
      </c>
      <c r="C7" s="34" t="s">
        <v>132</v>
      </c>
      <c r="D7" s="51" t="s">
        <v>141</v>
      </c>
      <c r="E7" s="61" t="str">
        <f>IFERROR(VLOOKUP(D7,'Master List'!D:H,2,FALSE),"NA")</f>
        <v>490304</v>
      </c>
      <c r="F7" s="62" t="str">
        <f>IFERROR(VLOOKUP(D7,'Master List'!D:H,3,FALSE),"NA")</f>
        <v>490304</v>
      </c>
      <c r="G7" s="58" t="str">
        <f>IFERROR(VLOOKUP(D7,'Master List'!D:H,4,FALSE),"NA")</f>
        <v>490304</v>
      </c>
      <c r="H7" s="39" t="str">
        <f>IFERROR(VLOOKUP(D7,'Master List'!D:H,5,FALSE),"NA")</f>
        <v>Diver, Professional and Instructor.</v>
      </c>
      <c r="I7" s="19"/>
      <c r="J7" s="20"/>
      <c r="K7" s="20"/>
      <c r="L7" s="21"/>
    </row>
    <row r="8" spans="1:12" x14ac:dyDescent="0.3">
      <c r="A8" s="33">
        <v>8</v>
      </c>
      <c r="B8" s="33" t="s">
        <v>2177</v>
      </c>
      <c r="C8" s="34" t="s">
        <v>132</v>
      </c>
      <c r="D8" s="51" t="s">
        <v>142</v>
      </c>
      <c r="E8" s="61" t="str">
        <f>IFERROR(VLOOKUP(D8,'Master List'!D:H,2,FALSE),"NA")</f>
        <v>490304</v>
      </c>
      <c r="F8" s="62" t="str">
        <f>IFERROR(VLOOKUP(D8,'Master List'!D:H,3,FALSE),"NA")</f>
        <v>490304</v>
      </c>
      <c r="G8" s="58" t="str">
        <f>IFERROR(VLOOKUP(D8,'Master List'!D:H,4,FALSE),"NA")</f>
        <v>490304</v>
      </c>
      <c r="H8" s="39" t="str">
        <f>IFERROR(VLOOKUP(D8,'Master List'!D:H,5,FALSE),"NA")</f>
        <v>Diver, Professional and Instructor.</v>
      </c>
      <c r="I8" s="19"/>
      <c r="J8" s="20"/>
      <c r="K8" s="20"/>
      <c r="L8" s="21"/>
    </row>
    <row r="9" spans="1:12" x14ac:dyDescent="0.3">
      <c r="A9" s="33">
        <v>8</v>
      </c>
      <c r="B9" s="33" t="s">
        <v>2177</v>
      </c>
      <c r="C9" s="34" t="s">
        <v>132</v>
      </c>
      <c r="D9" s="51" t="s">
        <v>143</v>
      </c>
      <c r="E9" s="61" t="str">
        <f>IFERROR(VLOOKUP(D9,'Master List'!D:H,2,FALSE),"NA")</f>
        <v>520701</v>
      </c>
      <c r="F9" s="62" t="str">
        <f>IFERROR(VLOOKUP(D9,'Master List'!D:H,3,FALSE),"NA")</f>
        <v>520701</v>
      </c>
      <c r="G9" s="58" t="str">
        <f>IFERROR(VLOOKUP(D9,'Master List'!D:H,4,FALSE),"NA")</f>
        <v>520701</v>
      </c>
      <c r="H9" s="39" t="str">
        <f>IFERROR(VLOOKUP(D9,'Master List'!D:H,5,FALSE),"NA")</f>
        <v>Entrepreneurship/Entrepreneurial Studies.</v>
      </c>
      <c r="I9" s="19"/>
      <c r="J9" s="20"/>
      <c r="K9" s="20"/>
      <c r="L9" s="21"/>
    </row>
    <row r="10" spans="1:12" x14ac:dyDescent="0.3">
      <c r="A10" s="33">
        <v>8</v>
      </c>
      <c r="B10" s="33" t="s">
        <v>2177</v>
      </c>
      <c r="C10" s="34" t="s">
        <v>132</v>
      </c>
      <c r="D10" s="51" t="s">
        <v>146</v>
      </c>
      <c r="E10" s="61" t="str">
        <f>IFERROR(VLOOKUP(D10,'Master List'!D:H,2,FALSE),"NA")</f>
        <v>520904</v>
      </c>
      <c r="F10" s="62" t="str">
        <f>IFERROR(VLOOKUP(D10,'Master List'!D:H,3,FALSE),"NA")</f>
        <v>520904</v>
      </c>
      <c r="G10" s="58" t="str">
        <f>IFERROR(VLOOKUP(D10,'Master List'!D:H,4,FALSE),"NA")</f>
        <v>520904</v>
      </c>
      <c r="H10" s="39" t="str">
        <f>IFERROR(VLOOKUP(D10,'Master List'!D:H,5,FALSE),"NA")</f>
        <v>Hotel/Motel Administration/Management.</v>
      </c>
      <c r="I10" s="19"/>
      <c r="J10" s="20"/>
      <c r="K10" s="20"/>
      <c r="L10" s="21"/>
    </row>
    <row r="11" spans="1:12" x14ac:dyDescent="0.3">
      <c r="A11" s="33">
        <v>8</v>
      </c>
      <c r="B11" s="33" t="s">
        <v>2177</v>
      </c>
      <c r="C11" s="34" t="s">
        <v>132</v>
      </c>
      <c r="D11" s="51" t="s">
        <v>149</v>
      </c>
      <c r="E11" s="61" t="str">
        <f>IFERROR(VLOOKUP(D11,'Master List'!D:H,2,FALSE),"NA")</f>
        <v>520904</v>
      </c>
      <c r="F11" s="62" t="str">
        <f>IFERROR(VLOOKUP(D11,'Master List'!D:H,3,FALSE),"NA")</f>
        <v>520904</v>
      </c>
      <c r="G11" s="58" t="str">
        <f>IFERROR(VLOOKUP(D11,'Master List'!D:H,4,FALSE),"NA")</f>
        <v>520904</v>
      </c>
      <c r="H11" s="39" t="str">
        <f>IFERROR(VLOOKUP(D11,'Master List'!D:H,5,FALSE),"NA")</f>
        <v>Hotel/Motel Administration/Management.</v>
      </c>
      <c r="I11" s="19"/>
      <c r="J11" s="20"/>
      <c r="K11" s="20"/>
      <c r="L11" s="21"/>
    </row>
    <row r="12" spans="1:12" x14ac:dyDescent="0.3">
      <c r="A12" s="33">
        <v>8</v>
      </c>
      <c r="B12" s="33" t="s">
        <v>2177</v>
      </c>
      <c r="C12" s="34" t="s">
        <v>132</v>
      </c>
      <c r="D12" s="51" t="s">
        <v>150</v>
      </c>
      <c r="E12" s="61" t="str">
        <f>IFERROR(VLOOKUP(D12,'Master List'!D:H,2,FALSE),"NA")</f>
        <v>520904</v>
      </c>
      <c r="F12" s="62" t="str">
        <f>IFERROR(VLOOKUP(D12,'Master List'!D:H,3,FALSE),"NA")</f>
        <v>520904</v>
      </c>
      <c r="G12" s="58" t="str">
        <f>IFERROR(VLOOKUP(D12,'Master List'!D:H,4,FALSE),"NA")</f>
        <v>520904</v>
      </c>
      <c r="H12" s="39" t="str">
        <f>IFERROR(VLOOKUP(D12,'Master List'!D:H,5,FALSE),"NA")</f>
        <v>Hotel/Motel Administration/Management.</v>
      </c>
      <c r="I12" s="19"/>
      <c r="J12" s="20"/>
      <c r="K12" s="20"/>
      <c r="L12" s="21"/>
    </row>
    <row r="13" spans="1:12" x14ac:dyDescent="0.3">
      <c r="A13" s="33">
        <v>8</v>
      </c>
      <c r="B13" s="33" t="s">
        <v>2177</v>
      </c>
      <c r="C13" s="34" t="s">
        <v>132</v>
      </c>
      <c r="D13" s="51" t="s">
        <v>151</v>
      </c>
      <c r="E13" s="61" t="str">
        <f>IFERROR(VLOOKUP(D13,'Master List'!D:H,2,FALSE),"NA")</f>
        <v>520904</v>
      </c>
      <c r="F13" s="62" t="str">
        <f>IFERROR(VLOOKUP(D13,'Master List'!D:H,3,FALSE),"NA")</f>
        <v>520904</v>
      </c>
      <c r="G13" s="58" t="str">
        <f>IFERROR(VLOOKUP(D13,'Master List'!D:H,4,FALSE),"NA")</f>
        <v>520904</v>
      </c>
      <c r="H13" s="39" t="str">
        <f>IFERROR(VLOOKUP(D13,'Master List'!D:H,5,FALSE),"NA")</f>
        <v>Hotel/Motel Administration/Management.</v>
      </c>
      <c r="I13" s="19"/>
      <c r="J13" s="20"/>
      <c r="K13" s="20"/>
      <c r="L13" s="21"/>
    </row>
    <row r="14" spans="1:12" x14ac:dyDescent="0.3">
      <c r="A14" s="33">
        <v>8</v>
      </c>
      <c r="B14" s="33" t="s">
        <v>2177</v>
      </c>
      <c r="C14" s="34" t="s">
        <v>132</v>
      </c>
      <c r="D14" s="51" t="s">
        <v>17</v>
      </c>
      <c r="E14" s="61" t="str">
        <f>IFERROR(VLOOKUP(D14,'Master List'!D:H,2,FALSE),"NA")</f>
        <v>510904</v>
      </c>
      <c r="F14" s="62" t="str">
        <f>IFERROR(VLOOKUP(D14,'Master List'!D:H,3,FALSE),"NA")</f>
        <v>510904</v>
      </c>
      <c r="G14" s="58" t="str">
        <f>IFERROR(VLOOKUP(D14,'Master List'!D:H,4,FALSE),"NA")</f>
        <v>510904</v>
      </c>
      <c r="H14" s="39" t="str">
        <f>IFERROR(VLOOKUP(D14,'Master List'!D:H,5,FALSE),"NA")</f>
        <v>Emergency Medical Technology/Technician (EMT Paramedic).</v>
      </c>
      <c r="I14" s="19"/>
      <c r="J14" s="20"/>
      <c r="K14" s="20"/>
      <c r="L14" s="21"/>
    </row>
    <row r="15" spans="1:12" x14ac:dyDescent="0.3">
      <c r="A15" s="33">
        <v>8</v>
      </c>
      <c r="B15" s="33" t="s">
        <v>2177</v>
      </c>
      <c r="C15" s="34" t="s">
        <v>132</v>
      </c>
      <c r="D15" s="51" t="s">
        <v>152</v>
      </c>
      <c r="E15" s="61" t="str">
        <f>IFERROR(VLOOKUP(D15,'Master List'!D:H,2,FALSE),"NA")</f>
        <v>513902</v>
      </c>
      <c r="F15" s="62" t="str">
        <f>IFERROR(VLOOKUP(D15,'Master List'!D:H,3,FALSE),"NA")</f>
        <v>513902</v>
      </c>
      <c r="G15" s="58" t="str">
        <f>IFERROR(VLOOKUP(D15,'Master List'!D:H,4,FALSE),"NA")</f>
        <v>513902</v>
      </c>
      <c r="H15" s="39" t="str">
        <f>IFERROR(VLOOKUP(D15,'Master List'!D:H,5,FALSE),"NA")</f>
        <v>Nursing Assistant/Aide and Patient Care Assistant/Aide.</v>
      </c>
      <c r="I15" s="19"/>
      <c r="J15" s="20"/>
      <c r="K15" s="20"/>
      <c r="L15" s="21"/>
    </row>
    <row r="16" spans="1:12" x14ac:dyDescent="0.3">
      <c r="A16" s="33">
        <v>8</v>
      </c>
      <c r="B16" s="33" t="s">
        <v>2177</v>
      </c>
      <c r="C16" s="34" t="s">
        <v>132</v>
      </c>
      <c r="D16" s="51" t="s">
        <v>153</v>
      </c>
      <c r="E16" s="61" t="str">
        <f>IFERROR(VLOOKUP(D16,'Master List'!D:H,2,FALSE),"NA")</f>
        <v>520201</v>
      </c>
      <c r="F16" s="62" t="str">
        <f>IFERROR(VLOOKUP(D16,'Master List'!D:H,3,FALSE),"NA")</f>
        <v>520201</v>
      </c>
      <c r="G16" s="58" t="str">
        <f>IFERROR(VLOOKUP(D16,'Master List'!D:H,4,FALSE),"NA")</f>
        <v>520201</v>
      </c>
      <c r="H16" s="39" t="str">
        <f>IFERROR(VLOOKUP(D16,'Master List'!D:H,5,FALSE),"NA")</f>
        <v>Business Administration and Management, General.</v>
      </c>
      <c r="I16" s="19"/>
      <c r="J16" s="20"/>
      <c r="K16" s="20"/>
      <c r="L16" s="21"/>
    </row>
    <row r="17" spans="1:12" x14ac:dyDescent="0.3">
      <c r="A17" s="33">
        <v>8</v>
      </c>
      <c r="B17" s="33" t="s">
        <v>2177</v>
      </c>
      <c r="C17" s="34" t="s">
        <v>132</v>
      </c>
      <c r="D17" s="51" t="s">
        <v>154</v>
      </c>
      <c r="E17" s="61" t="str">
        <f>IFERROR(VLOOKUP(D17,'Master List'!D:H,2,FALSE),"NA")</f>
        <v>520201</v>
      </c>
      <c r="F17" s="62" t="str">
        <f>IFERROR(VLOOKUP(D17,'Master List'!D:H,3,FALSE),"NA")</f>
        <v>520201</v>
      </c>
      <c r="G17" s="58" t="str">
        <f>IFERROR(VLOOKUP(D17,'Master List'!D:H,4,FALSE),"NA")</f>
        <v>520201</v>
      </c>
      <c r="H17" s="39" t="str">
        <f>IFERROR(VLOOKUP(D17,'Master List'!D:H,5,FALSE),"NA")</f>
        <v>Business Administration and Management, General.</v>
      </c>
      <c r="I17" s="19"/>
      <c r="J17" s="20"/>
      <c r="K17" s="20"/>
      <c r="L17" s="21"/>
    </row>
    <row r="18" spans="1:12" x14ac:dyDescent="0.3">
      <c r="A18" s="33">
        <v>8</v>
      </c>
      <c r="B18" s="33" t="s">
        <v>2177</v>
      </c>
      <c r="C18" s="34" t="s">
        <v>132</v>
      </c>
      <c r="D18" s="51" t="s">
        <v>46</v>
      </c>
      <c r="E18" s="61" t="str">
        <f>IFERROR(VLOOKUP(D18,'Master List'!D:H,2,FALSE),"NA")</f>
        <v>120503</v>
      </c>
      <c r="F18" s="62" t="str">
        <f>IFERROR(VLOOKUP(D18,'Master List'!D:H,3,FALSE),"NA")</f>
        <v>120503</v>
      </c>
      <c r="G18" s="58" t="str">
        <f>IFERROR(VLOOKUP(D18,'Master List'!D:H,4,FALSE),"NA")</f>
        <v>120503</v>
      </c>
      <c r="H18" s="39" t="str">
        <f>IFERROR(VLOOKUP(D18,'Master List'!D:H,5,FALSE),"NA")</f>
        <v>Culinary Arts/Chef Training.</v>
      </c>
      <c r="I18" s="19"/>
      <c r="J18" s="20"/>
      <c r="K18" s="20"/>
      <c r="L18" s="21"/>
    </row>
    <row r="19" spans="1:12" x14ac:dyDescent="0.3">
      <c r="A19" s="33">
        <v>8</v>
      </c>
      <c r="B19" s="33" t="s">
        <v>2177</v>
      </c>
      <c r="C19" s="34" t="s">
        <v>132</v>
      </c>
      <c r="D19" s="51" t="s">
        <v>49</v>
      </c>
      <c r="E19" s="61" t="str">
        <f>IFERROR(VLOOKUP(D19,'Master List'!D:H,2,FALSE),"NA")</f>
        <v>120503</v>
      </c>
      <c r="F19" s="62" t="str">
        <f>IFERROR(VLOOKUP(D19,'Master List'!D:H,3,FALSE),"NA")</f>
        <v>120503</v>
      </c>
      <c r="G19" s="58" t="str">
        <f>IFERROR(VLOOKUP(D19,'Master List'!D:H,4,FALSE),"NA")</f>
        <v>120503</v>
      </c>
      <c r="H19" s="39" t="str">
        <f>IFERROR(VLOOKUP(D19,'Master List'!D:H,5,FALSE),"NA")</f>
        <v>Culinary Arts/Chef Training.</v>
      </c>
      <c r="I19" s="19"/>
      <c r="J19" s="20"/>
      <c r="K19" s="20"/>
      <c r="L19" s="21"/>
    </row>
    <row r="20" spans="1:12" x14ac:dyDescent="0.3">
      <c r="A20" s="33">
        <v>8</v>
      </c>
      <c r="B20" s="33" t="s">
        <v>2177</v>
      </c>
      <c r="C20" s="34" t="s">
        <v>132</v>
      </c>
      <c r="D20" s="51" t="s">
        <v>155</v>
      </c>
      <c r="E20" s="61" t="str">
        <f>IFERROR(VLOOKUP(D20,'Master List'!D:H,2,FALSE),"NA")</f>
        <v>120504</v>
      </c>
      <c r="F20" s="62" t="str">
        <f>IFERROR(VLOOKUP(D20,'Master List'!D:H,3,FALSE),"NA")</f>
        <v>120504</v>
      </c>
      <c r="G20" s="58" t="str">
        <f>IFERROR(VLOOKUP(D20,'Master List'!D:H,4,FALSE),"NA")</f>
        <v>120504</v>
      </c>
      <c r="H20" s="39" t="str">
        <f>IFERROR(VLOOKUP(D20,'Master List'!D:H,5,FALSE),"NA")</f>
        <v>Restaurant, Culinary, and Catering Management/Manager.</v>
      </c>
      <c r="I20" s="19"/>
      <c r="J20" s="20"/>
      <c r="K20" s="20"/>
      <c r="L20" s="21"/>
    </row>
    <row r="21" spans="1:12" x14ac:dyDescent="0.3">
      <c r="A21" s="33">
        <v>8</v>
      </c>
      <c r="B21" s="33" t="s">
        <v>2177</v>
      </c>
      <c r="C21" s="34" t="s">
        <v>132</v>
      </c>
      <c r="D21" s="51" t="s">
        <v>156</v>
      </c>
      <c r="E21" s="61" t="str">
        <f>IFERROR(VLOOKUP(D21,'Master List'!D:H,2,FALSE),"NA")</f>
        <v>470605</v>
      </c>
      <c r="F21" s="62" t="str">
        <f>IFERROR(VLOOKUP(D21,'Master List'!D:H,3,FALSE),"NA")</f>
        <v>470605</v>
      </c>
      <c r="G21" s="58" t="str">
        <f>IFERROR(VLOOKUP(D21,'Master List'!D:H,4,FALSE),"NA")</f>
        <v>470605</v>
      </c>
      <c r="H21" s="39" t="str">
        <f>IFERROR(VLOOKUP(D21,'Master List'!D:H,5,FALSE),"NA")</f>
        <v>Diesel Mechanics Technology/Technician.</v>
      </c>
      <c r="I21" s="19"/>
      <c r="J21" s="20"/>
      <c r="K21" s="20"/>
      <c r="L21" s="21"/>
    </row>
    <row r="22" spans="1:12" x14ac:dyDescent="0.3">
      <c r="A22" s="33">
        <v>8</v>
      </c>
      <c r="B22" s="33" t="s">
        <v>2177</v>
      </c>
      <c r="C22" s="34" t="s">
        <v>132</v>
      </c>
      <c r="D22" s="51" t="s">
        <v>159</v>
      </c>
      <c r="E22" s="61" t="str">
        <f>IFERROR(VLOOKUP(D22,'Master List'!D:H,2,FALSE),"NA")</f>
        <v>470605</v>
      </c>
      <c r="F22" s="62" t="str">
        <f>IFERROR(VLOOKUP(D22,'Master List'!D:H,3,FALSE),"NA")</f>
        <v>470605</v>
      </c>
      <c r="G22" s="58" t="str">
        <f>IFERROR(VLOOKUP(D22,'Master List'!D:H,4,FALSE),"NA")</f>
        <v>470605</v>
      </c>
      <c r="H22" s="39" t="str">
        <f>IFERROR(VLOOKUP(D22,'Master List'!D:H,5,FALSE),"NA")</f>
        <v>Diesel Mechanics Technology/Technician.</v>
      </c>
      <c r="I22" s="19"/>
      <c r="J22" s="20"/>
      <c r="K22" s="20"/>
      <c r="L22" s="21"/>
    </row>
    <row r="23" spans="1:12" x14ac:dyDescent="0.3">
      <c r="A23" s="33">
        <v>8</v>
      </c>
      <c r="B23" s="33" t="s">
        <v>2177</v>
      </c>
      <c r="C23" s="34" t="s">
        <v>132</v>
      </c>
      <c r="D23" s="51" t="s">
        <v>160</v>
      </c>
      <c r="E23" s="61" t="str">
        <f>IFERROR(VLOOKUP(D23,'Master List'!D:H,2,FALSE),"NA")</f>
        <v>470605</v>
      </c>
      <c r="F23" s="62" t="str">
        <f>IFERROR(VLOOKUP(D23,'Master List'!D:H,3,FALSE),"NA")</f>
        <v>470605</v>
      </c>
      <c r="G23" s="58" t="str">
        <f>IFERROR(VLOOKUP(D23,'Master List'!D:H,4,FALSE),"NA")</f>
        <v>470605</v>
      </c>
      <c r="H23" s="39" t="str">
        <f>IFERROR(VLOOKUP(D23,'Master List'!D:H,5,FALSE),"NA")</f>
        <v>Diesel Mechanics Technology/Technician.</v>
      </c>
      <c r="I23" s="19"/>
      <c r="J23" s="20"/>
      <c r="K23" s="20"/>
      <c r="L23" s="21"/>
    </row>
    <row r="24" spans="1:12" x14ac:dyDescent="0.3">
      <c r="A24" s="33">
        <v>8</v>
      </c>
      <c r="B24" s="33" t="s">
        <v>2177</v>
      </c>
      <c r="C24" s="34" t="s">
        <v>132</v>
      </c>
      <c r="D24" s="51" t="s">
        <v>68</v>
      </c>
      <c r="E24" s="61" t="str">
        <f>IFERROR(VLOOKUP(D24,'Master List'!D:H,2,FALSE),"NA")</f>
        <v>430102</v>
      </c>
      <c r="F24" s="62" t="str">
        <f>IFERROR(VLOOKUP(D24,'Master List'!D:H,3,FALSE),"NA")</f>
        <v>430102</v>
      </c>
      <c r="G24" s="58" t="str">
        <f>IFERROR(VLOOKUP(D24,'Master List'!D:H,4,FALSE),"NA")</f>
        <v>430102</v>
      </c>
      <c r="H24" s="39" t="str">
        <f>IFERROR(VLOOKUP(D24,'Master List'!D:H,5,FALSE),"NA")</f>
        <v>Corrections.</v>
      </c>
      <c r="I24" s="19"/>
      <c r="J24" s="20"/>
      <c r="K24" s="20"/>
      <c r="L24" s="21"/>
    </row>
    <row r="25" spans="1:12" x14ac:dyDescent="0.3">
      <c r="A25" s="33">
        <v>8</v>
      </c>
      <c r="B25" s="33" t="s">
        <v>2177</v>
      </c>
      <c r="C25" s="34" t="s">
        <v>132</v>
      </c>
      <c r="D25" s="51" t="s">
        <v>71</v>
      </c>
      <c r="E25" s="61" t="str">
        <f>IFERROR(VLOOKUP(D25,'Master List'!D:H,2,FALSE),"NA")</f>
        <v>430107</v>
      </c>
      <c r="F25" s="62" t="str">
        <f>IFERROR(VLOOKUP(D25,'Master List'!D:H,3,FALSE),"NA")</f>
        <v>430107</v>
      </c>
      <c r="G25" s="58" t="str">
        <f>IFERROR(VLOOKUP(D25,'Master List'!D:H,4,FALSE),"NA")</f>
        <v>430107</v>
      </c>
      <c r="H25" s="39" t="str">
        <f>IFERROR(VLOOKUP(D25,'Master List'!D:H,5,FALSE),"NA")</f>
        <v>Criminal Justice/Police Science.</v>
      </c>
      <c r="I25" s="19"/>
      <c r="J25" s="20"/>
      <c r="K25" s="20"/>
      <c r="L25" s="21"/>
    </row>
    <row r="26" spans="1:12" x14ac:dyDescent="0.3">
      <c r="A26" s="33">
        <v>8</v>
      </c>
      <c r="B26" s="33" t="s">
        <v>2177</v>
      </c>
      <c r="C26" s="34" t="s">
        <v>132</v>
      </c>
      <c r="D26" s="51" t="s">
        <v>74</v>
      </c>
      <c r="E26" s="61" t="str">
        <f>IFERROR(VLOOKUP(D26,'Master List'!D:H,2,FALSE),"NA")</f>
        <v>430107</v>
      </c>
      <c r="F26" s="62" t="str">
        <f>IFERROR(VLOOKUP(D26,'Master List'!D:H,3,FALSE),"NA")</f>
        <v>430107</v>
      </c>
      <c r="G26" s="58" t="str">
        <f>IFERROR(VLOOKUP(D26,'Master List'!D:H,4,FALSE),"NA")</f>
        <v>430107</v>
      </c>
      <c r="H26" s="39" t="str">
        <f>IFERROR(VLOOKUP(D26,'Master List'!D:H,5,FALSE),"NA")</f>
        <v>Criminal Justice/Police Science.</v>
      </c>
      <c r="I26" s="19"/>
      <c r="J26" s="20"/>
      <c r="K26" s="20"/>
      <c r="L26" s="21"/>
    </row>
    <row r="27" spans="1:12" x14ac:dyDescent="0.3">
      <c r="A27" s="33">
        <v>8</v>
      </c>
      <c r="B27" s="33" t="s">
        <v>2177</v>
      </c>
      <c r="C27" s="34" t="s">
        <v>132</v>
      </c>
      <c r="D27" s="51" t="s">
        <v>165</v>
      </c>
      <c r="E27" s="61" t="str">
        <f>IFERROR(VLOOKUP(D27,'Master List'!D:H,2,FALSE),"NA")</f>
        <v>030601</v>
      </c>
      <c r="F27" s="62" t="str">
        <f>IFERROR(VLOOKUP(D27,'Master List'!D:H,3,FALSE),"NA")</f>
        <v>030601</v>
      </c>
      <c r="G27" s="58" t="str">
        <f>IFERROR(VLOOKUP(D27,'Master List'!D:H,4,FALSE),"NA")</f>
        <v>030601</v>
      </c>
      <c r="H27" s="39" t="str">
        <f>IFERROR(VLOOKUP(D27,'Master List'!D:H,5,FALSE),"NA")</f>
        <v>Wildlife, Fish and Wildlands Science and Management.</v>
      </c>
      <c r="I27" s="19"/>
      <c r="J27" s="20"/>
      <c r="K27" s="20"/>
      <c r="L27" s="21"/>
    </row>
    <row r="28" spans="1:12" x14ac:dyDescent="0.3">
      <c r="A28" s="33">
        <v>8</v>
      </c>
      <c r="B28" s="33" t="s">
        <v>2177</v>
      </c>
      <c r="C28" s="34" t="s">
        <v>132</v>
      </c>
      <c r="D28" s="51" t="s">
        <v>166</v>
      </c>
      <c r="E28" s="61" t="str">
        <f>IFERROR(VLOOKUP(D28,'Master List'!D:H,2,FALSE),"NA")</f>
        <v>NA</v>
      </c>
      <c r="F28" s="62" t="str">
        <f>IFERROR(VLOOKUP(D28,'Master List'!D:H,3,FALSE),"NA")</f>
        <v>NA</v>
      </c>
      <c r="G28" s="58" t="str">
        <f>IFERROR(VLOOKUP(D28,'Master List'!D:H,4,FALSE),"NA")</f>
        <v>NA</v>
      </c>
      <c r="H28" s="39" t="str">
        <f>IFERROR(VLOOKUP(D28,'Master List'!D:H,5,FALSE),"NA")</f>
        <v>NA</v>
      </c>
      <c r="I28" s="19"/>
      <c r="J28" s="20"/>
      <c r="K28" s="20"/>
      <c r="L28" s="21"/>
    </row>
    <row r="29" spans="1:12" x14ac:dyDescent="0.3">
      <c r="A29" s="33">
        <v>8</v>
      </c>
      <c r="B29" s="33" t="s">
        <v>2177</v>
      </c>
      <c r="C29" s="34" t="s">
        <v>132</v>
      </c>
      <c r="D29" s="51" t="s">
        <v>79</v>
      </c>
      <c r="E29" s="61" t="str">
        <f>IFERROR(VLOOKUP(D29,'Master List'!D:H,2,FALSE),"NA")</f>
        <v>520901</v>
      </c>
      <c r="F29" s="62" t="str">
        <f>IFERROR(VLOOKUP(D29,'Master List'!D:H,3,FALSE),"NA")</f>
        <v>520901</v>
      </c>
      <c r="G29" s="58" t="str">
        <f>IFERROR(VLOOKUP(D29,'Master List'!D:H,4,FALSE),"NA")</f>
        <v>520901</v>
      </c>
      <c r="H29" s="39" t="str">
        <f>IFERROR(VLOOKUP(D29,'Master List'!D:H,5,FALSE),"NA")</f>
        <v>Hospitality Administration/Management, General.</v>
      </c>
      <c r="I29" s="19"/>
      <c r="J29" s="20"/>
      <c r="K29" s="20"/>
      <c r="L29" s="21"/>
    </row>
    <row r="30" spans="1:12" x14ac:dyDescent="0.3">
      <c r="A30" s="33">
        <v>8</v>
      </c>
      <c r="B30" s="33" t="s">
        <v>2177</v>
      </c>
      <c r="C30" s="34" t="s">
        <v>132</v>
      </c>
      <c r="D30" s="51" t="s">
        <v>90</v>
      </c>
      <c r="E30" s="61" t="str">
        <f>IFERROR(VLOOKUP(D30,'Master List'!D:H,2,FALSE),"NA")</f>
        <v>510904</v>
      </c>
      <c r="F30" s="62" t="str">
        <f>IFERROR(VLOOKUP(D30,'Master List'!D:H,3,FALSE),"NA")</f>
        <v>510904</v>
      </c>
      <c r="G30" s="58" t="str">
        <f>IFERROR(VLOOKUP(D30,'Master List'!D:H,4,FALSE),"NA")</f>
        <v>510904</v>
      </c>
      <c r="H30" s="39" t="str">
        <f>IFERROR(VLOOKUP(D30,'Master List'!D:H,5,FALSE),"NA")</f>
        <v>Emergency Medical Technology/Technician (EMT Paramedic).</v>
      </c>
      <c r="I30" s="19"/>
      <c r="J30" s="20"/>
      <c r="K30" s="20"/>
      <c r="L30" s="21"/>
    </row>
    <row r="31" spans="1:12" x14ac:dyDescent="0.3">
      <c r="A31" s="33">
        <v>8</v>
      </c>
      <c r="B31" s="33" t="s">
        <v>2177</v>
      </c>
      <c r="C31" s="34" t="s">
        <v>132</v>
      </c>
      <c r="D31" s="51" t="s">
        <v>101</v>
      </c>
      <c r="E31" s="61" t="str">
        <f>IFERROR(VLOOKUP(D31,'Master List'!D:H,2,FALSE),"NA")</f>
        <v>513801</v>
      </c>
      <c r="F31" s="62" t="str">
        <f>IFERROR(VLOOKUP(D31,'Master List'!D:H,3,FALSE),"NA")</f>
        <v>513801</v>
      </c>
      <c r="G31" s="58" t="str">
        <f>IFERROR(VLOOKUP(D31,'Master List'!D:H,4,FALSE),"NA")</f>
        <v>513801</v>
      </c>
      <c r="H31" s="39" t="str">
        <f>IFERROR(VLOOKUP(D31,'Master List'!D:H,5,FALSE),"NA")</f>
        <v>Registered Nursing/Registered Nurse.</v>
      </c>
      <c r="I31" s="19"/>
      <c r="J31" s="20"/>
      <c r="K31" s="20"/>
      <c r="L31" s="21"/>
    </row>
    <row r="32" spans="1:12" x14ac:dyDescent="0.3">
      <c r="A32" s="33">
        <v>8</v>
      </c>
      <c r="B32" s="33" t="s">
        <v>2177</v>
      </c>
      <c r="C32" s="34" t="s">
        <v>132</v>
      </c>
      <c r="D32" s="51" t="s">
        <v>167</v>
      </c>
      <c r="E32" s="61" t="str">
        <f>IFERROR(VLOOKUP(D32,'Master List'!D:H,2,FALSE),"NA")</f>
        <v>110103</v>
      </c>
      <c r="F32" s="62" t="str">
        <f>IFERROR(VLOOKUP(D32,'Master List'!D:H,3,FALSE),"NA")</f>
        <v>110103</v>
      </c>
      <c r="G32" s="58" t="str">
        <f>IFERROR(VLOOKUP(D32,'Master List'!D:H,4,FALSE),"NA")</f>
        <v>110103</v>
      </c>
      <c r="H32" s="39" t="str">
        <f>IFERROR(VLOOKUP(D32,'Master List'!D:H,5,FALSE),"NA")</f>
        <v>Information Technology.</v>
      </c>
      <c r="I32" s="19"/>
      <c r="J32" s="20"/>
      <c r="K32" s="20"/>
      <c r="L32" s="21"/>
    </row>
    <row r="33" spans="1:12" x14ac:dyDescent="0.3">
      <c r="A33" s="33">
        <v>8</v>
      </c>
      <c r="B33" s="33" t="s">
        <v>2177</v>
      </c>
      <c r="C33" s="34" t="s">
        <v>132</v>
      </c>
      <c r="D33" s="51" t="s">
        <v>170</v>
      </c>
      <c r="E33" s="61" t="str">
        <f>IFERROR(VLOOKUP(D33,'Master List'!D:H,2,FALSE),"NA")</f>
        <v>110201</v>
      </c>
      <c r="F33" s="62" t="str">
        <f>IFERROR(VLOOKUP(D33,'Master List'!D:H,3,FALSE),"NA")</f>
        <v>110201</v>
      </c>
      <c r="G33" s="58" t="str">
        <f>IFERROR(VLOOKUP(D33,'Master List'!D:H,4,FALSE),"NA")</f>
        <v>110201</v>
      </c>
      <c r="H33" s="39" t="str">
        <f>IFERROR(VLOOKUP(D33,'Master List'!D:H,5,FALSE),"NA")</f>
        <v>Computer Programming/Programmer, General.</v>
      </c>
      <c r="I33" s="19"/>
      <c r="J33" s="20"/>
      <c r="K33" s="20"/>
      <c r="L33" s="21"/>
    </row>
    <row r="34" spans="1:12" x14ac:dyDescent="0.3">
      <c r="A34" s="33">
        <v>8</v>
      </c>
      <c r="B34" s="33" t="s">
        <v>2177</v>
      </c>
      <c r="C34" s="34" t="s">
        <v>132</v>
      </c>
      <c r="D34" s="51" t="s">
        <v>107</v>
      </c>
      <c r="E34" s="61" t="str">
        <f>IFERROR(VLOOKUP(D34,'Master List'!D:H,2,FALSE),"NA")</f>
        <v>520201</v>
      </c>
      <c r="F34" s="62" t="str">
        <f>IFERROR(VLOOKUP(D34,'Master List'!D:H,3,FALSE),"NA")</f>
        <v>520201</v>
      </c>
      <c r="G34" s="58" t="str">
        <f>IFERROR(VLOOKUP(D34,'Master List'!D:H,4,FALSE),"NA")</f>
        <v>520201</v>
      </c>
      <c r="H34" s="39" t="str">
        <f>IFERROR(VLOOKUP(D34,'Master List'!D:H,5,FALSE),"NA")</f>
        <v>Business Administration and Management, General.</v>
      </c>
      <c r="I34" s="19"/>
      <c r="J34" s="20"/>
      <c r="K34" s="20"/>
      <c r="L34" s="21"/>
    </row>
    <row r="35" spans="1:12" x14ac:dyDescent="0.3">
      <c r="A35" s="33">
        <v>8</v>
      </c>
      <c r="B35" s="33" t="s">
        <v>2177</v>
      </c>
      <c r="C35" s="34" t="s">
        <v>132</v>
      </c>
      <c r="D35" s="51" t="s">
        <v>173</v>
      </c>
      <c r="E35" s="61" t="str">
        <f>IFERROR(VLOOKUP(D35,'Master List'!D:H,2,FALSE),"NA")</f>
        <v>NA</v>
      </c>
      <c r="F35" s="62" t="str">
        <f>IFERROR(VLOOKUP(D35,'Master List'!D:H,3,FALSE),"NA")</f>
        <v>NA</v>
      </c>
      <c r="G35" s="58" t="str">
        <f>IFERROR(VLOOKUP(D35,'Master List'!D:H,4,FALSE),"NA")</f>
        <v>NA</v>
      </c>
      <c r="H35" s="39" t="str">
        <f>IFERROR(VLOOKUP(D35,'Master List'!D:H,5,FALSE),"NA")</f>
        <v>NA</v>
      </c>
      <c r="I35" s="19"/>
      <c r="J35" s="20"/>
      <c r="K35" s="20"/>
      <c r="L35" s="21"/>
    </row>
    <row r="36" spans="1:12" x14ac:dyDescent="0.3">
      <c r="A36" s="33">
        <v>8</v>
      </c>
      <c r="B36" s="33" t="s">
        <v>2177</v>
      </c>
      <c r="C36" s="34" t="s">
        <v>132</v>
      </c>
      <c r="D36" s="51" t="s">
        <v>117</v>
      </c>
      <c r="E36" s="61" t="str">
        <f>IFERROR(VLOOKUP(D36,'Master List'!D:H,2,FALSE),"NA")</f>
        <v>120504</v>
      </c>
      <c r="F36" s="62" t="str">
        <f>IFERROR(VLOOKUP(D36,'Master List'!D:H,3,FALSE),"NA")</f>
        <v>120504</v>
      </c>
      <c r="G36" s="58" t="str">
        <f>IFERROR(VLOOKUP(D36,'Master List'!D:H,4,FALSE),"NA")</f>
        <v>120504</v>
      </c>
      <c r="H36" s="39" t="str">
        <f>IFERROR(VLOOKUP(D36,'Master List'!D:H,5,FALSE),"NA")</f>
        <v>Restaurant, Culinary, and Catering Management/Manager.</v>
      </c>
      <c r="I36" s="19"/>
      <c r="J36" s="20"/>
      <c r="K36" s="20"/>
      <c r="L36" s="21"/>
    </row>
    <row r="37" spans="1:12" x14ac:dyDescent="0.3">
      <c r="A37" s="33">
        <v>8</v>
      </c>
      <c r="B37" s="33" t="s">
        <v>2177</v>
      </c>
      <c r="C37" s="34" t="s">
        <v>132</v>
      </c>
      <c r="D37" s="51" t="s">
        <v>120</v>
      </c>
      <c r="E37" s="61" t="str">
        <f>IFERROR(VLOOKUP(D37,'Master List'!D:H,2,FALSE),"NA")</f>
        <v>150000</v>
      </c>
      <c r="F37" s="62" t="str">
        <f>IFERROR(VLOOKUP(D37,'Master List'!D:H,3,FALSE),"NA")</f>
        <v>150000</v>
      </c>
      <c r="G37" s="58" t="str">
        <f>IFERROR(VLOOKUP(D37,'Master List'!D:H,4,FALSE),"NA")</f>
        <v>150000</v>
      </c>
      <c r="H37" s="39" t="str">
        <f>IFERROR(VLOOKUP(D37,'Master List'!D:H,5,FALSE),"NA")</f>
        <v>Engineering Technologies/Technicians, General.</v>
      </c>
      <c r="I37" s="19"/>
      <c r="J37" s="20"/>
      <c r="K37" s="20"/>
      <c r="L37" s="21"/>
    </row>
  </sheetData>
  <sheetProtection algorithmName="SHA-512" hashValue="CBlqxQNElz2OfEuXSgRIItlesq3KFgKJDW/qbwyLPerV1nS3cfmWC8CcoBcaSSBbXpyREYS/wRkhXWCIY3/q2Q==" saltValue="PcE30xGw1ejTWLqrEZsszw==" spinCount="100000" sheet="1" objects="1" scenarios="1" sort="0" autoFilter="0"/>
  <autoFilter ref="A2:L37"/>
  <mergeCells count="3">
    <mergeCell ref="A1:D1"/>
    <mergeCell ref="E1:H1"/>
    <mergeCell ref="I1:L1"/>
  </mergeCells>
  <dataValidations count="1">
    <dataValidation type="list" allowBlank="1" showInputMessage="1" showErrorMessage="1" sqref="I3:I37">
      <formula1>"Agree,Disagree"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73.9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9</v>
      </c>
      <c r="B3" s="33" t="s">
        <v>2155</v>
      </c>
      <c r="C3" s="34" t="s">
        <v>9</v>
      </c>
      <c r="D3" s="51" t="s">
        <v>10</v>
      </c>
      <c r="E3" s="61" t="str">
        <f>IFERROR(VLOOKUP(D3,'Master List'!D:H,2,FALSE),"NA")</f>
        <v>510601</v>
      </c>
      <c r="F3" s="62" t="str">
        <f>IFERROR(VLOOKUP(D3,'Master List'!D:H,3,FALSE),"NA")</f>
        <v>510601</v>
      </c>
      <c r="G3" s="58" t="str">
        <f>IFERROR(VLOOKUP(D3,'Master List'!D:H,4,FALSE),"NA")</f>
        <v>510601</v>
      </c>
      <c r="H3" s="39" t="str">
        <f>IFERROR(VLOOKUP(D3,'Master List'!D:H,5,FALSE),"NA")</f>
        <v>Dental Assisting/Assistant.</v>
      </c>
      <c r="I3" s="19"/>
      <c r="J3" s="20"/>
      <c r="K3" s="20"/>
      <c r="L3" s="21"/>
    </row>
    <row r="4" spans="1:12" x14ac:dyDescent="0.3">
      <c r="A4" s="33">
        <v>9</v>
      </c>
      <c r="B4" s="33" t="s">
        <v>2155</v>
      </c>
      <c r="C4" s="34" t="s">
        <v>9</v>
      </c>
      <c r="D4" s="51" t="s">
        <v>11</v>
      </c>
      <c r="E4" s="61" t="str">
        <f>IFERROR(VLOOKUP(D4,'Master List'!D:H,2,FALSE),"NA")</f>
        <v>510805</v>
      </c>
      <c r="F4" s="62" t="str">
        <f>IFERROR(VLOOKUP(D4,'Master List'!D:H,3,FALSE),"NA")</f>
        <v>510805</v>
      </c>
      <c r="G4" s="58" t="str">
        <f>IFERROR(VLOOKUP(D4,'Master List'!D:H,4,FALSE),"NA")</f>
        <v>510805</v>
      </c>
      <c r="H4" s="39" t="str">
        <f>IFERROR(VLOOKUP(D4,'Master List'!D:H,5,FALSE),"NA")</f>
        <v>Pharmacy Technician/Assistant.</v>
      </c>
      <c r="I4" s="19"/>
      <c r="J4" s="20"/>
      <c r="K4" s="20"/>
      <c r="L4" s="21"/>
    </row>
    <row r="5" spans="1:12" x14ac:dyDescent="0.3">
      <c r="A5" s="33">
        <v>9</v>
      </c>
      <c r="B5" s="33" t="s">
        <v>2155</v>
      </c>
      <c r="C5" s="34" t="s">
        <v>9</v>
      </c>
      <c r="D5" s="51" t="s">
        <v>14</v>
      </c>
      <c r="E5" s="61" t="str">
        <f>IFERROR(VLOOKUP(D5,'Master List'!D:H,2,FALSE),"NA")</f>
        <v>510904</v>
      </c>
      <c r="F5" s="62" t="str">
        <f>IFERROR(VLOOKUP(D5,'Master List'!D:H,3,FALSE),"NA")</f>
        <v>510904</v>
      </c>
      <c r="G5" s="58" t="str">
        <f>IFERROR(VLOOKUP(D5,'Master List'!D:H,4,FALSE),"NA")</f>
        <v>510904</v>
      </c>
      <c r="H5" s="39" t="str">
        <f>IFERROR(VLOOKUP(D5,'Master List'!D:H,5,FALSE),"NA")</f>
        <v>Emergency Medical Technology/Technician (EMT Paramedic).</v>
      </c>
      <c r="I5" s="19"/>
      <c r="J5" s="20"/>
      <c r="K5" s="20"/>
      <c r="L5" s="21"/>
    </row>
    <row r="6" spans="1:12" x14ac:dyDescent="0.3">
      <c r="A6" s="33">
        <v>9</v>
      </c>
      <c r="B6" s="33" t="s">
        <v>2155</v>
      </c>
      <c r="C6" s="34" t="s">
        <v>9</v>
      </c>
      <c r="D6" s="51" t="s">
        <v>17</v>
      </c>
      <c r="E6" s="61" t="str">
        <f>IFERROR(VLOOKUP(D6,'Master List'!D:H,2,FALSE),"NA")</f>
        <v>510904</v>
      </c>
      <c r="F6" s="62" t="str">
        <f>IFERROR(VLOOKUP(D6,'Master List'!D:H,3,FALSE),"NA")</f>
        <v>510904</v>
      </c>
      <c r="G6" s="58" t="str">
        <f>IFERROR(VLOOKUP(D6,'Master List'!D:H,4,FALSE),"NA")</f>
        <v>510904</v>
      </c>
      <c r="H6" s="39" t="str">
        <f>IFERROR(VLOOKUP(D6,'Master List'!D:H,5,FALSE),"NA")</f>
        <v>Emergency Medical Technology/Technician (EMT Paramedic).</v>
      </c>
      <c r="I6" s="19"/>
      <c r="J6" s="20"/>
      <c r="K6" s="20"/>
      <c r="L6" s="21"/>
    </row>
    <row r="7" spans="1:12" x14ac:dyDescent="0.3">
      <c r="A7" s="33">
        <v>9</v>
      </c>
      <c r="B7" s="33" t="s">
        <v>2155</v>
      </c>
      <c r="C7" s="34" t="s">
        <v>9</v>
      </c>
      <c r="D7" s="51" t="s">
        <v>18</v>
      </c>
      <c r="E7" s="61" t="str">
        <f>IFERROR(VLOOKUP(D7,'Master List'!D:H,2,FALSE),"NA")</f>
        <v>510909</v>
      </c>
      <c r="F7" s="62" t="str">
        <f>IFERROR(VLOOKUP(D7,'Master List'!D:H,3,FALSE),"NA")</f>
        <v>510909</v>
      </c>
      <c r="G7" s="58" t="str">
        <f>IFERROR(VLOOKUP(D7,'Master List'!D:H,4,FALSE),"NA")</f>
        <v>510909</v>
      </c>
      <c r="H7" s="39" t="str">
        <f>IFERROR(VLOOKUP(D7,'Master List'!D:H,5,FALSE),"NA")</f>
        <v>Surgical Technology/Technologist.</v>
      </c>
      <c r="I7" s="19"/>
      <c r="J7" s="20"/>
      <c r="K7" s="20"/>
      <c r="L7" s="21"/>
    </row>
    <row r="8" spans="1:12" x14ac:dyDescent="0.3">
      <c r="A8" s="33">
        <v>9</v>
      </c>
      <c r="B8" s="33" t="s">
        <v>2155</v>
      </c>
      <c r="C8" s="34" t="s">
        <v>9</v>
      </c>
      <c r="D8" s="51" t="s">
        <v>21</v>
      </c>
      <c r="E8" s="61" t="str">
        <f>IFERROR(VLOOKUP(D8,'Master List'!D:H,2,FALSE),"NA")</f>
        <v>510909</v>
      </c>
      <c r="F8" s="62" t="str">
        <f>IFERROR(VLOOKUP(D8,'Master List'!D:H,3,FALSE),"NA")</f>
        <v>510909</v>
      </c>
      <c r="G8" s="58" t="str">
        <f>IFERROR(VLOOKUP(D8,'Master List'!D:H,4,FALSE),"NA")</f>
        <v>510909</v>
      </c>
      <c r="H8" s="39" t="str">
        <f>IFERROR(VLOOKUP(D8,'Master List'!D:H,5,FALSE),"NA")</f>
        <v>Surgical Technology/Technologist.</v>
      </c>
      <c r="I8" s="19"/>
      <c r="J8" s="20"/>
      <c r="K8" s="20"/>
      <c r="L8" s="21"/>
    </row>
    <row r="9" spans="1:12" x14ac:dyDescent="0.3">
      <c r="A9" s="33">
        <v>9</v>
      </c>
      <c r="B9" s="33" t="s">
        <v>2155</v>
      </c>
      <c r="C9" s="34" t="s">
        <v>9</v>
      </c>
      <c r="D9" s="51" t="s">
        <v>24</v>
      </c>
      <c r="E9" s="61" t="str">
        <f>IFERROR(VLOOKUP(D9,'Master List'!D:H,2,FALSE),"NA")</f>
        <v>NA</v>
      </c>
      <c r="F9" s="62" t="str">
        <f>IFERROR(VLOOKUP(D9,'Master List'!D:H,3,FALSE),"NA")</f>
        <v>NA</v>
      </c>
      <c r="G9" s="58" t="str">
        <f>IFERROR(VLOOKUP(D9,'Master List'!D:H,4,FALSE),"NA")</f>
        <v>NA</v>
      </c>
      <c r="H9" s="39" t="str">
        <f>IFERROR(VLOOKUP(D9,'Master List'!D:H,5,FALSE),"NA")</f>
        <v>NA</v>
      </c>
      <c r="I9" s="19"/>
      <c r="J9" s="20"/>
      <c r="K9" s="20"/>
      <c r="L9" s="21"/>
    </row>
    <row r="10" spans="1:12" x14ac:dyDescent="0.3">
      <c r="A10" s="33">
        <v>9</v>
      </c>
      <c r="B10" s="33" t="s">
        <v>2155</v>
      </c>
      <c r="C10" s="34" t="s">
        <v>9</v>
      </c>
      <c r="D10" s="51" t="s">
        <v>25</v>
      </c>
      <c r="E10" s="61" t="str">
        <f>IFERROR(VLOOKUP(D10,'Master List'!D:H,2,FALSE),"NA")</f>
        <v>513902</v>
      </c>
      <c r="F10" s="62" t="str">
        <f>IFERROR(VLOOKUP(D10,'Master List'!D:H,3,FALSE),"NA")</f>
        <v>513902</v>
      </c>
      <c r="G10" s="58" t="str">
        <f>IFERROR(VLOOKUP(D10,'Master List'!D:H,4,FALSE),"NA")</f>
        <v>513902</v>
      </c>
      <c r="H10" s="39" t="str">
        <f>IFERROR(VLOOKUP(D10,'Master List'!D:H,5,FALSE),"NA")</f>
        <v>Nursing Assistant/Aide and Patient Care Assistant/Aide.</v>
      </c>
      <c r="I10" s="19"/>
      <c r="J10" s="20"/>
      <c r="K10" s="20"/>
      <c r="L10" s="21"/>
    </row>
    <row r="11" spans="1:12" x14ac:dyDescent="0.3">
      <c r="A11" s="33">
        <v>9</v>
      </c>
      <c r="B11" s="33" t="s">
        <v>2155</v>
      </c>
      <c r="C11" s="34" t="s">
        <v>9</v>
      </c>
      <c r="D11" s="51" t="s">
        <v>28</v>
      </c>
      <c r="E11" s="61" t="str">
        <f>IFERROR(VLOOKUP(D11,'Master List'!D:H,2,FALSE),"NA")</f>
        <v>190709</v>
      </c>
      <c r="F11" s="62" t="str">
        <f>IFERROR(VLOOKUP(D11,'Master List'!D:H,3,FALSE),"NA")</f>
        <v>190709</v>
      </c>
      <c r="G11" s="58" t="str">
        <f>IFERROR(VLOOKUP(D11,'Master List'!D:H,4,FALSE),"NA")</f>
        <v>190709</v>
      </c>
      <c r="H11" s="39" t="str">
        <f>IFERROR(VLOOKUP(D11,'Master List'!D:H,5,FALSE),"NA")</f>
        <v>Child Care Provider/Assistant.</v>
      </c>
      <c r="I11" s="19"/>
      <c r="J11" s="20"/>
      <c r="K11" s="20"/>
      <c r="L11" s="21"/>
    </row>
    <row r="12" spans="1:12" x14ac:dyDescent="0.3">
      <c r="A12" s="33">
        <v>9</v>
      </c>
      <c r="B12" s="33" t="s">
        <v>2155</v>
      </c>
      <c r="C12" s="34" t="s">
        <v>9</v>
      </c>
      <c r="D12" s="51" t="s">
        <v>31</v>
      </c>
      <c r="E12" s="61" t="str">
        <f>IFERROR(VLOOKUP(D12,'Master List'!D:H,2,FALSE),"NA")</f>
        <v>111001</v>
      </c>
      <c r="F12" s="62" t="str">
        <f>IFERROR(VLOOKUP(D12,'Master List'!D:H,3,FALSE),"NA")</f>
        <v>111001</v>
      </c>
      <c r="G12" s="58" t="str">
        <f>IFERROR(VLOOKUP(D12,'Master List'!D:H,4,FALSE),"NA")</f>
        <v>111001</v>
      </c>
      <c r="H12" s="39" t="str">
        <f>IFERROR(VLOOKUP(D12,'Master List'!D:H,5,FALSE),"NA")</f>
        <v>Network and System Administration/Administrator.</v>
      </c>
      <c r="I12" s="19"/>
      <c r="J12" s="20"/>
      <c r="K12" s="20"/>
      <c r="L12" s="21"/>
    </row>
    <row r="13" spans="1:12" x14ac:dyDescent="0.3">
      <c r="A13" s="33">
        <v>9</v>
      </c>
      <c r="B13" s="33" t="s">
        <v>2155</v>
      </c>
      <c r="C13" s="34" t="s">
        <v>9</v>
      </c>
      <c r="D13" s="51" t="s">
        <v>34</v>
      </c>
      <c r="E13" s="61" t="str">
        <f>IFERROR(VLOOKUP(D13,'Master List'!D:H,2,FALSE),"NA")</f>
        <v>111001</v>
      </c>
      <c r="F13" s="62" t="str">
        <f>IFERROR(VLOOKUP(D13,'Master List'!D:H,3,FALSE),"NA")</f>
        <v>111001</v>
      </c>
      <c r="G13" s="58" t="str">
        <f>IFERROR(VLOOKUP(D13,'Master List'!D:H,4,FALSE),"NA")</f>
        <v>111001</v>
      </c>
      <c r="H13" s="39" t="str">
        <f>IFERROR(VLOOKUP(D13,'Master List'!D:H,5,FALSE),"NA")</f>
        <v>Network and System Administration/Administrator.</v>
      </c>
      <c r="I13" s="19"/>
      <c r="J13" s="20"/>
      <c r="K13" s="20"/>
      <c r="L13" s="21"/>
    </row>
    <row r="14" spans="1:12" x14ac:dyDescent="0.3">
      <c r="A14" s="33">
        <v>9</v>
      </c>
      <c r="B14" s="33" t="s">
        <v>2155</v>
      </c>
      <c r="C14" s="34" t="s">
        <v>9</v>
      </c>
      <c r="D14" s="51" t="s">
        <v>35</v>
      </c>
      <c r="E14" s="61" t="str">
        <f>IFERROR(VLOOKUP(D14,'Master List'!D:H,2,FALSE),"NA")</f>
        <v>111001</v>
      </c>
      <c r="F14" s="62" t="str">
        <f>IFERROR(VLOOKUP(D14,'Master List'!D:H,3,FALSE),"NA")</f>
        <v>111001</v>
      </c>
      <c r="G14" s="58" t="str">
        <f>IFERROR(VLOOKUP(D14,'Master List'!D:H,4,FALSE),"NA")</f>
        <v>111001</v>
      </c>
      <c r="H14" s="39" t="str">
        <f>IFERROR(VLOOKUP(D14,'Master List'!D:H,5,FALSE),"NA")</f>
        <v>Network and System Administration/Administrator.</v>
      </c>
      <c r="I14" s="19"/>
      <c r="J14" s="20"/>
      <c r="K14" s="20"/>
      <c r="L14" s="21"/>
    </row>
    <row r="15" spans="1:12" x14ac:dyDescent="0.3">
      <c r="A15" s="33">
        <v>9</v>
      </c>
      <c r="B15" s="33" t="s">
        <v>2155</v>
      </c>
      <c r="C15" s="34" t="s">
        <v>9</v>
      </c>
      <c r="D15" s="51" t="s">
        <v>36</v>
      </c>
      <c r="E15" s="61" t="str">
        <f>IFERROR(VLOOKUP(D15,'Master List'!D:H,2,FALSE),"NA")</f>
        <v>111001</v>
      </c>
      <c r="F15" s="62" t="str">
        <f>IFERROR(VLOOKUP(D15,'Master List'!D:H,3,FALSE),"NA")</f>
        <v>111001</v>
      </c>
      <c r="G15" s="58" t="str">
        <f>IFERROR(VLOOKUP(D15,'Master List'!D:H,4,FALSE),"NA")</f>
        <v>111001</v>
      </c>
      <c r="H15" s="39" t="str">
        <f>IFERROR(VLOOKUP(D15,'Master List'!D:H,5,FALSE),"NA")</f>
        <v>Network and System Administration/Administrator.</v>
      </c>
      <c r="I15" s="19"/>
      <c r="J15" s="20"/>
      <c r="K15" s="20"/>
      <c r="L15" s="21"/>
    </row>
    <row r="16" spans="1:12" x14ac:dyDescent="0.3">
      <c r="A16" s="33">
        <v>9</v>
      </c>
      <c r="B16" s="33" t="s">
        <v>2155</v>
      </c>
      <c r="C16" s="34" t="s">
        <v>9</v>
      </c>
      <c r="D16" s="51" t="s">
        <v>37</v>
      </c>
      <c r="E16" s="61" t="str">
        <f>IFERROR(VLOOKUP(D16,'Master List'!D:H,2,FALSE),"NA")</f>
        <v>520204</v>
      </c>
      <c r="F16" s="62" t="str">
        <f>IFERROR(VLOOKUP(D16,'Master List'!D:H,3,FALSE),"NA")</f>
        <v>520204</v>
      </c>
      <c r="G16" s="58" t="str">
        <f>IFERROR(VLOOKUP(D16,'Master List'!D:H,4,FALSE),"NA")</f>
        <v>520204</v>
      </c>
      <c r="H16" s="39" t="str">
        <f>IFERROR(VLOOKUP(D16,'Master List'!D:H,5,FALSE),"NA")</f>
        <v>Office Management and Supervision.</v>
      </c>
      <c r="I16" s="19"/>
      <c r="J16" s="20"/>
      <c r="K16" s="20"/>
      <c r="L16" s="21"/>
    </row>
    <row r="17" spans="1:12" x14ac:dyDescent="0.3">
      <c r="A17" s="33">
        <v>9</v>
      </c>
      <c r="B17" s="33" t="s">
        <v>2155</v>
      </c>
      <c r="C17" s="34" t="s">
        <v>9</v>
      </c>
      <c r="D17" s="51" t="s">
        <v>40</v>
      </c>
      <c r="E17" s="61" t="str">
        <f>IFERROR(VLOOKUP(D17,'Master List'!D:H,2,FALSE),"NA")</f>
        <v>520302</v>
      </c>
      <c r="F17" s="62" t="str">
        <f>IFERROR(VLOOKUP(D17,'Master List'!D:H,3,FALSE),"NA")</f>
        <v>520302</v>
      </c>
      <c r="G17" s="58" t="str">
        <f>IFERROR(VLOOKUP(D17,'Master List'!D:H,4,FALSE),"NA")</f>
        <v>520302</v>
      </c>
      <c r="H17" s="39" t="str">
        <f>IFERROR(VLOOKUP(D17,'Master List'!D:H,5,FALSE),"NA")</f>
        <v>Accounting Technology/Technician and Bookkeeping.</v>
      </c>
      <c r="I17" s="19"/>
      <c r="J17" s="20"/>
      <c r="K17" s="20"/>
      <c r="L17" s="21"/>
    </row>
    <row r="18" spans="1:12" x14ac:dyDescent="0.3">
      <c r="A18" s="33">
        <v>9</v>
      </c>
      <c r="B18" s="33" t="s">
        <v>2155</v>
      </c>
      <c r="C18" s="34" t="s">
        <v>9</v>
      </c>
      <c r="D18" s="51" t="s">
        <v>43</v>
      </c>
      <c r="E18" s="61" t="str">
        <f>IFERROR(VLOOKUP(D18,'Master List'!D:H,2,FALSE),"NA")</f>
        <v>100105</v>
      </c>
      <c r="F18" s="62" t="str">
        <f>IFERROR(VLOOKUP(D18,'Master List'!D:H,3,FALSE),"NA")</f>
        <v>100105</v>
      </c>
      <c r="G18" s="58" t="str">
        <f>IFERROR(VLOOKUP(D18,'Master List'!D:H,4,FALSE),"NA")</f>
        <v>100105</v>
      </c>
      <c r="H18" s="39" t="str">
        <f>IFERROR(VLOOKUP(D18,'Master List'!D:H,5,FALSE),"NA")</f>
        <v>Communications Technology/Technician.</v>
      </c>
      <c r="I18" s="19"/>
      <c r="J18" s="20"/>
      <c r="K18" s="20"/>
      <c r="L18" s="21"/>
    </row>
    <row r="19" spans="1:12" x14ac:dyDescent="0.3">
      <c r="A19" s="33">
        <v>9</v>
      </c>
      <c r="B19" s="33" t="s">
        <v>2155</v>
      </c>
      <c r="C19" s="34" t="s">
        <v>9</v>
      </c>
      <c r="D19" s="51" t="s">
        <v>46</v>
      </c>
      <c r="E19" s="61" t="str">
        <f>IFERROR(VLOOKUP(D19,'Master List'!D:H,2,FALSE),"NA")</f>
        <v>120503</v>
      </c>
      <c r="F19" s="62" t="str">
        <f>IFERROR(VLOOKUP(D19,'Master List'!D:H,3,FALSE),"NA")</f>
        <v>120503</v>
      </c>
      <c r="G19" s="58" t="str">
        <f>IFERROR(VLOOKUP(D19,'Master List'!D:H,4,FALSE),"NA")</f>
        <v>120503</v>
      </c>
      <c r="H19" s="39" t="str">
        <f>IFERROR(VLOOKUP(D19,'Master List'!D:H,5,FALSE),"NA")</f>
        <v>Culinary Arts/Chef Training.</v>
      </c>
      <c r="I19" s="19"/>
      <c r="J19" s="20"/>
      <c r="K19" s="20"/>
      <c r="L19" s="21"/>
    </row>
    <row r="20" spans="1:12" x14ac:dyDescent="0.3">
      <c r="A20" s="33">
        <v>9</v>
      </c>
      <c r="B20" s="33" t="s">
        <v>2155</v>
      </c>
      <c r="C20" s="34" t="s">
        <v>9</v>
      </c>
      <c r="D20" s="51" t="s">
        <v>49</v>
      </c>
      <c r="E20" s="61" t="str">
        <f>IFERROR(VLOOKUP(D20,'Master List'!D:H,2,FALSE),"NA")</f>
        <v>120503</v>
      </c>
      <c r="F20" s="62" t="str">
        <f>IFERROR(VLOOKUP(D20,'Master List'!D:H,3,FALSE),"NA")</f>
        <v>120503</v>
      </c>
      <c r="G20" s="58" t="str">
        <f>IFERROR(VLOOKUP(D20,'Master List'!D:H,4,FALSE),"NA")</f>
        <v>120503</v>
      </c>
      <c r="H20" s="39" t="str">
        <f>IFERROR(VLOOKUP(D20,'Master List'!D:H,5,FALSE),"NA")</f>
        <v>Culinary Arts/Chef Training.</v>
      </c>
      <c r="I20" s="19"/>
      <c r="J20" s="20"/>
      <c r="K20" s="20"/>
      <c r="L20" s="21"/>
    </row>
    <row r="21" spans="1:12" x14ac:dyDescent="0.3">
      <c r="A21" s="33">
        <v>9</v>
      </c>
      <c r="B21" s="33" t="s">
        <v>2155</v>
      </c>
      <c r="C21" s="34" t="s">
        <v>9</v>
      </c>
      <c r="D21" s="51" t="s">
        <v>50</v>
      </c>
      <c r="E21" s="61" t="str">
        <f>IFERROR(VLOOKUP(D21,'Master List'!D:H,2,FALSE),"NA")</f>
        <v>150000</v>
      </c>
      <c r="F21" s="62" t="str">
        <f>IFERROR(VLOOKUP(D21,'Master List'!D:H,3,FALSE),"NA")</f>
        <v>150000</v>
      </c>
      <c r="G21" s="58" t="str">
        <f>IFERROR(VLOOKUP(D21,'Master List'!D:H,4,FALSE),"NA")</f>
        <v>150000</v>
      </c>
      <c r="H21" s="39" t="str">
        <f>IFERROR(VLOOKUP(D21,'Master List'!D:H,5,FALSE),"NA")</f>
        <v>Engineering Technologies/Technicians, General.</v>
      </c>
      <c r="I21" s="19"/>
      <c r="J21" s="20"/>
      <c r="K21" s="20"/>
      <c r="L21" s="21"/>
    </row>
    <row r="22" spans="1:12" x14ac:dyDescent="0.3">
      <c r="A22" s="33">
        <v>9</v>
      </c>
      <c r="B22" s="33" t="s">
        <v>2155</v>
      </c>
      <c r="C22" s="34" t="s">
        <v>9</v>
      </c>
      <c r="D22" s="51" t="s">
        <v>53</v>
      </c>
      <c r="E22" s="61" t="str">
        <f>IFERROR(VLOOKUP(D22,'Master List'!D:H,2,FALSE),"NA")</f>
        <v>150303</v>
      </c>
      <c r="F22" s="62" t="str">
        <f>IFERROR(VLOOKUP(D22,'Master List'!D:H,3,FALSE),"NA")</f>
        <v>150303</v>
      </c>
      <c r="G22" s="58" t="str">
        <f>IFERROR(VLOOKUP(D22,'Master List'!D:H,4,FALSE),"NA")</f>
        <v>150303</v>
      </c>
      <c r="H22" s="39" t="str">
        <f>IFERROR(VLOOKUP(D22,'Master List'!D:H,5,FALSE),"NA")</f>
        <v>Electrical, Electronic, and Communications Engineering Technology/Technician.</v>
      </c>
      <c r="I22" s="19"/>
      <c r="J22" s="20"/>
      <c r="K22" s="20"/>
      <c r="L22" s="21"/>
    </row>
    <row r="23" spans="1:12" x14ac:dyDescent="0.3">
      <c r="A23" s="33">
        <v>9</v>
      </c>
      <c r="B23" s="33" t="s">
        <v>2155</v>
      </c>
      <c r="C23" s="34" t="s">
        <v>9</v>
      </c>
      <c r="D23" s="51" t="s">
        <v>56</v>
      </c>
      <c r="E23" s="61" t="str">
        <f>IFERROR(VLOOKUP(D23,'Master List'!D:H,2,FALSE),"NA")</f>
        <v>150406</v>
      </c>
      <c r="F23" s="62" t="str">
        <f>IFERROR(VLOOKUP(D23,'Master List'!D:H,3,FALSE),"NA")</f>
        <v>150406</v>
      </c>
      <c r="G23" s="58" t="str">
        <f>IFERROR(VLOOKUP(D23,'Master List'!D:H,4,FALSE),"NA")</f>
        <v>150406</v>
      </c>
      <c r="H23" s="39" t="str">
        <f>IFERROR(VLOOKUP(D23,'Master List'!D:H,5,FALSE),"NA")</f>
        <v>Automation Engineer Technology/Technician.</v>
      </c>
      <c r="I23" s="19"/>
      <c r="J23" s="20"/>
      <c r="K23" s="20"/>
      <c r="L23" s="21"/>
    </row>
    <row r="24" spans="1:12" x14ac:dyDescent="0.3">
      <c r="A24" s="33">
        <v>9</v>
      </c>
      <c r="B24" s="33" t="s">
        <v>2155</v>
      </c>
      <c r="C24" s="34" t="s">
        <v>9</v>
      </c>
      <c r="D24" s="51" t="s">
        <v>59</v>
      </c>
      <c r="E24" s="61" t="str">
        <f>IFERROR(VLOOKUP(D24,'Master List'!D:H,2,FALSE),"NA")</f>
        <v>500102</v>
      </c>
      <c r="F24" s="62" t="str">
        <f>IFERROR(VLOOKUP(D24,'Master List'!D:H,3,FALSE),"NA")</f>
        <v>500102</v>
      </c>
      <c r="G24" s="58" t="str">
        <f>IFERROR(VLOOKUP(D24,'Master List'!D:H,4,FALSE),"NA")</f>
        <v>500102</v>
      </c>
      <c r="H24" s="39" t="str">
        <f>IFERROR(VLOOKUP(D24,'Master List'!D:H,5,FALSE),"NA")</f>
        <v>Digital Arts.</v>
      </c>
      <c r="I24" s="19"/>
      <c r="J24" s="20"/>
      <c r="K24" s="20"/>
      <c r="L24" s="21"/>
    </row>
    <row r="25" spans="1:12" x14ac:dyDescent="0.3">
      <c r="A25" s="33">
        <v>9</v>
      </c>
      <c r="B25" s="33" t="s">
        <v>2155</v>
      </c>
      <c r="C25" s="34" t="s">
        <v>9</v>
      </c>
      <c r="D25" s="51" t="s">
        <v>62</v>
      </c>
      <c r="E25" s="61" t="str">
        <f>IFERROR(VLOOKUP(D25,'Master List'!D:H,2,FALSE),"NA")</f>
        <v>500602</v>
      </c>
      <c r="F25" s="62" t="str">
        <f>IFERROR(VLOOKUP(D25,'Master List'!D:H,3,FALSE),"NA")</f>
        <v>500602</v>
      </c>
      <c r="G25" s="58">
        <f>IFERROR(VLOOKUP(D25,'Master List'!D:H,4,FALSE),"NA")</f>
        <v>100203</v>
      </c>
      <c r="H25" s="39" t="str">
        <f>IFERROR(VLOOKUP(D25,'Master List'!D:H,5,FALSE),"NA")</f>
        <v>Recording Arts Technology/Technician</v>
      </c>
      <c r="I25" s="19"/>
      <c r="J25" s="20"/>
      <c r="K25" s="20"/>
      <c r="L25" s="21"/>
    </row>
    <row r="26" spans="1:12" x14ac:dyDescent="0.3">
      <c r="A26" s="33">
        <v>9</v>
      </c>
      <c r="B26" s="33" t="s">
        <v>2155</v>
      </c>
      <c r="C26" s="34" t="s">
        <v>9</v>
      </c>
      <c r="D26" s="51" t="s">
        <v>65</v>
      </c>
      <c r="E26" s="61" t="str">
        <f>IFERROR(VLOOKUP(D26,'Master List'!D:H,2,FALSE),"NA")</f>
        <v>520209</v>
      </c>
      <c r="F26" s="62" t="str">
        <f>IFERROR(VLOOKUP(D26,'Master List'!D:H,3,FALSE),"NA")</f>
        <v>520209</v>
      </c>
      <c r="G26" s="58" t="str">
        <f>IFERROR(VLOOKUP(D26,'Master List'!D:H,4,FALSE),"NA")</f>
        <v>520209</v>
      </c>
      <c r="H26" s="39" t="str">
        <f>IFERROR(VLOOKUP(D26,'Master List'!D:H,5,FALSE),"NA")</f>
        <v>Transportation/Mobility Management.</v>
      </c>
      <c r="I26" s="19"/>
      <c r="J26" s="20"/>
      <c r="K26" s="20"/>
      <c r="L26" s="21"/>
    </row>
    <row r="27" spans="1:12" x14ac:dyDescent="0.3">
      <c r="A27" s="33">
        <v>9</v>
      </c>
      <c r="B27" s="33" t="s">
        <v>2155</v>
      </c>
      <c r="C27" s="34" t="s">
        <v>9</v>
      </c>
      <c r="D27" s="51" t="s">
        <v>68</v>
      </c>
      <c r="E27" s="61" t="str">
        <f>IFERROR(VLOOKUP(D27,'Master List'!D:H,2,FALSE),"NA")</f>
        <v>430102</v>
      </c>
      <c r="F27" s="62" t="str">
        <f>IFERROR(VLOOKUP(D27,'Master List'!D:H,3,FALSE),"NA")</f>
        <v>430102</v>
      </c>
      <c r="G27" s="58" t="str">
        <f>IFERROR(VLOOKUP(D27,'Master List'!D:H,4,FALSE),"NA")</f>
        <v>430102</v>
      </c>
      <c r="H27" s="39" t="str">
        <f>IFERROR(VLOOKUP(D27,'Master List'!D:H,5,FALSE),"NA")</f>
        <v>Corrections.</v>
      </c>
      <c r="I27" s="19"/>
      <c r="J27" s="20"/>
      <c r="K27" s="20"/>
      <c r="L27" s="21"/>
    </row>
    <row r="28" spans="1:12" x14ac:dyDescent="0.3">
      <c r="A28" s="33">
        <v>9</v>
      </c>
      <c r="B28" s="33" t="s">
        <v>2155</v>
      </c>
      <c r="C28" s="34" t="s">
        <v>9</v>
      </c>
      <c r="D28" s="51" t="s">
        <v>71</v>
      </c>
      <c r="E28" s="61" t="str">
        <f>IFERROR(VLOOKUP(D28,'Master List'!D:H,2,FALSE),"NA")</f>
        <v>430107</v>
      </c>
      <c r="F28" s="62" t="str">
        <f>IFERROR(VLOOKUP(D28,'Master List'!D:H,3,FALSE),"NA")</f>
        <v>430107</v>
      </c>
      <c r="G28" s="58" t="str">
        <f>IFERROR(VLOOKUP(D28,'Master List'!D:H,4,FALSE),"NA")</f>
        <v>430107</v>
      </c>
      <c r="H28" s="39" t="str">
        <f>IFERROR(VLOOKUP(D28,'Master List'!D:H,5,FALSE),"NA")</f>
        <v>Criminal Justice/Police Science.</v>
      </c>
      <c r="I28" s="19"/>
      <c r="J28" s="20"/>
      <c r="K28" s="20"/>
      <c r="L28" s="21"/>
    </row>
    <row r="29" spans="1:12" x14ac:dyDescent="0.3">
      <c r="A29" s="33">
        <v>9</v>
      </c>
      <c r="B29" s="33" t="s">
        <v>2155</v>
      </c>
      <c r="C29" s="34" t="s">
        <v>9</v>
      </c>
      <c r="D29" s="51" t="s">
        <v>74</v>
      </c>
      <c r="E29" s="61" t="str">
        <f>IFERROR(VLOOKUP(D29,'Master List'!D:H,2,FALSE),"NA")</f>
        <v>430107</v>
      </c>
      <c r="F29" s="62" t="str">
        <f>IFERROR(VLOOKUP(D29,'Master List'!D:H,3,FALSE),"NA")</f>
        <v>430107</v>
      </c>
      <c r="G29" s="58" t="str">
        <f>IFERROR(VLOOKUP(D29,'Master List'!D:H,4,FALSE),"NA")</f>
        <v>430107</v>
      </c>
      <c r="H29" s="39" t="str">
        <f>IFERROR(VLOOKUP(D29,'Master List'!D:H,5,FALSE),"NA")</f>
        <v>Criminal Justice/Police Science.</v>
      </c>
      <c r="I29" s="19"/>
      <c r="J29" s="20"/>
      <c r="K29" s="20"/>
      <c r="L29" s="21"/>
    </row>
    <row r="30" spans="1:12" x14ac:dyDescent="0.3">
      <c r="A30" s="33">
        <v>9</v>
      </c>
      <c r="B30" s="33" t="s">
        <v>2155</v>
      </c>
      <c r="C30" s="34" t="s">
        <v>9</v>
      </c>
      <c r="D30" s="51" t="s">
        <v>75</v>
      </c>
      <c r="E30" s="61" t="str">
        <f>IFERROR(VLOOKUP(D30,'Master List'!D:H,2,FALSE),"NA")</f>
        <v>430203</v>
      </c>
      <c r="F30" s="62" t="str">
        <f>IFERROR(VLOOKUP(D30,'Master List'!D:H,3,FALSE),"NA")</f>
        <v>430203</v>
      </c>
      <c r="G30" s="58" t="str">
        <f>IFERROR(VLOOKUP(D30,'Master List'!D:H,4,FALSE),"NA")</f>
        <v>430203</v>
      </c>
      <c r="H30" s="39" t="str">
        <f>IFERROR(VLOOKUP(D30,'Master List'!D:H,5,FALSE),"NA")</f>
        <v>Fire Science/Fire-fighting.</v>
      </c>
      <c r="I30" s="19"/>
      <c r="J30" s="20"/>
      <c r="K30" s="20"/>
      <c r="L30" s="21"/>
    </row>
    <row r="31" spans="1:12" x14ac:dyDescent="0.3">
      <c r="A31" s="33">
        <v>9</v>
      </c>
      <c r="B31" s="33" t="s">
        <v>2155</v>
      </c>
      <c r="C31" s="34" t="s">
        <v>9</v>
      </c>
      <c r="D31" s="51" t="s">
        <v>79</v>
      </c>
      <c r="E31" s="61" t="str">
        <f>IFERROR(VLOOKUP(D31,'Master List'!D:H,2,FALSE),"NA")</f>
        <v>520901</v>
      </c>
      <c r="F31" s="62" t="str">
        <f>IFERROR(VLOOKUP(D31,'Master List'!D:H,3,FALSE),"NA")</f>
        <v>520901</v>
      </c>
      <c r="G31" s="58" t="str">
        <f>IFERROR(VLOOKUP(D31,'Master List'!D:H,4,FALSE),"NA")</f>
        <v>520901</v>
      </c>
      <c r="H31" s="39" t="str">
        <f>IFERROR(VLOOKUP(D31,'Master List'!D:H,5,FALSE),"NA")</f>
        <v>Hospitality Administration/Management, General.</v>
      </c>
      <c r="I31" s="19"/>
      <c r="J31" s="20"/>
      <c r="K31" s="20"/>
      <c r="L31" s="21"/>
    </row>
    <row r="32" spans="1:12" x14ac:dyDescent="0.3">
      <c r="A32" s="33">
        <v>9</v>
      </c>
      <c r="B32" s="33" t="s">
        <v>2155</v>
      </c>
      <c r="C32" s="34" t="s">
        <v>9</v>
      </c>
      <c r="D32" s="51" t="s">
        <v>82</v>
      </c>
      <c r="E32" s="61" t="str">
        <f>IFERROR(VLOOKUP(D32,'Master List'!D:H,2,FALSE),"NA")</f>
        <v>510000</v>
      </c>
      <c r="F32" s="62" t="str">
        <f>IFERROR(VLOOKUP(D32,'Master List'!D:H,3,FALSE),"NA")</f>
        <v>510000</v>
      </c>
      <c r="G32" s="58">
        <f>IFERROR(VLOOKUP(D32,'Master List'!D:H,4,FALSE),"NA")</f>
        <v>510909</v>
      </c>
      <c r="H32" s="39" t="str">
        <f>IFERROR(VLOOKUP(D32,'Master List'!D:H,5,FALSE),"NA")</f>
        <v>Surgical Technology/Technologist</v>
      </c>
      <c r="I32" s="19"/>
      <c r="J32" s="20"/>
      <c r="K32" s="20"/>
      <c r="L32" s="21"/>
    </row>
    <row r="33" spans="1:12" x14ac:dyDescent="0.3">
      <c r="A33" s="33">
        <v>9</v>
      </c>
      <c r="B33" s="33" t="s">
        <v>2155</v>
      </c>
      <c r="C33" s="34" t="s">
        <v>9</v>
      </c>
      <c r="D33" s="51" t="s">
        <v>84</v>
      </c>
      <c r="E33" s="61" t="str">
        <f>IFERROR(VLOOKUP(D33,'Master List'!D:H,2,FALSE),"NA")</f>
        <v>510602</v>
      </c>
      <c r="F33" s="62" t="str">
        <f>IFERROR(VLOOKUP(D33,'Master List'!D:H,3,FALSE),"NA")</f>
        <v>510602</v>
      </c>
      <c r="G33" s="58" t="str">
        <f>IFERROR(VLOOKUP(D33,'Master List'!D:H,4,FALSE),"NA")</f>
        <v>510602</v>
      </c>
      <c r="H33" s="39" t="str">
        <f>IFERROR(VLOOKUP(D33,'Master List'!D:H,5,FALSE),"NA")</f>
        <v>Dental Hygiene/Hygienist.</v>
      </c>
      <c r="I33" s="19"/>
      <c r="J33" s="20"/>
      <c r="K33" s="20"/>
      <c r="L33" s="21"/>
    </row>
    <row r="34" spans="1:12" x14ac:dyDescent="0.3">
      <c r="A34" s="33">
        <v>9</v>
      </c>
      <c r="B34" s="33" t="s">
        <v>2155</v>
      </c>
      <c r="C34" s="34" t="s">
        <v>9</v>
      </c>
      <c r="D34" s="51" t="s">
        <v>87</v>
      </c>
      <c r="E34" s="61" t="str">
        <f>IFERROR(VLOOKUP(D34,'Master List'!D:H,2,FALSE),"NA")</f>
        <v>510806</v>
      </c>
      <c r="F34" s="62" t="str">
        <f>IFERROR(VLOOKUP(D34,'Master List'!D:H,3,FALSE),"NA")</f>
        <v>510806</v>
      </c>
      <c r="G34" s="58" t="str">
        <f>IFERROR(VLOOKUP(D34,'Master List'!D:H,4,FALSE),"NA")</f>
        <v>510806</v>
      </c>
      <c r="H34" s="39" t="str">
        <f>IFERROR(VLOOKUP(D34,'Master List'!D:H,5,FALSE),"NA")</f>
        <v>Physical Therapy Assistant.</v>
      </c>
      <c r="I34" s="19"/>
      <c r="J34" s="20"/>
      <c r="K34" s="20"/>
      <c r="L34" s="21"/>
    </row>
    <row r="35" spans="1:12" x14ac:dyDescent="0.3">
      <c r="A35" s="33">
        <v>9</v>
      </c>
      <c r="B35" s="33" t="s">
        <v>2155</v>
      </c>
      <c r="C35" s="34" t="s">
        <v>9</v>
      </c>
      <c r="D35" s="51" t="s">
        <v>90</v>
      </c>
      <c r="E35" s="61" t="str">
        <f>IFERROR(VLOOKUP(D35,'Master List'!D:H,2,FALSE),"NA")</f>
        <v>510904</v>
      </c>
      <c r="F35" s="62" t="str">
        <f>IFERROR(VLOOKUP(D35,'Master List'!D:H,3,FALSE),"NA")</f>
        <v>510904</v>
      </c>
      <c r="G35" s="58" t="str">
        <f>IFERROR(VLOOKUP(D35,'Master List'!D:H,4,FALSE),"NA")</f>
        <v>510904</v>
      </c>
      <c r="H35" s="39" t="str">
        <f>IFERROR(VLOOKUP(D35,'Master List'!D:H,5,FALSE),"NA")</f>
        <v>Emergency Medical Technology/Technician (EMT Paramedic).</v>
      </c>
      <c r="I35" s="19"/>
      <c r="J35" s="20"/>
      <c r="K35" s="20"/>
      <c r="L35" s="21"/>
    </row>
    <row r="36" spans="1:12" x14ac:dyDescent="0.3">
      <c r="A36" s="33">
        <v>9</v>
      </c>
      <c r="B36" s="33" t="s">
        <v>2155</v>
      </c>
      <c r="C36" s="34" t="s">
        <v>9</v>
      </c>
      <c r="D36" s="51" t="s">
        <v>91</v>
      </c>
      <c r="E36" s="61" t="str">
        <f>IFERROR(VLOOKUP(D36,'Master List'!D:H,2,FALSE),"NA")</f>
        <v>510907</v>
      </c>
      <c r="F36" s="62" t="str">
        <f>IFERROR(VLOOKUP(D36,'Master List'!D:H,3,FALSE),"NA")</f>
        <v>510907</v>
      </c>
      <c r="G36" s="58">
        <f>IFERROR(VLOOKUP(D36,'Master List'!D:H,4,FALSE),"NA")</f>
        <v>510911</v>
      </c>
      <c r="H36" s="39" t="str">
        <f>IFERROR(VLOOKUP(D36,'Master List'!D:H,5,FALSE),"NA")</f>
        <v>Radiologic Technology/Science - Radiographer</v>
      </c>
      <c r="I36" s="19"/>
      <c r="J36" s="20"/>
      <c r="K36" s="20"/>
      <c r="L36" s="21"/>
    </row>
    <row r="37" spans="1:12" x14ac:dyDescent="0.3">
      <c r="A37" s="33">
        <v>9</v>
      </c>
      <c r="B37" s="33" t="s">
        <v>2155</v>
      </c>
      <c r="C37" s="34" t="s">
        <v>9</v>
      </c>
      <c r="D37" s="51" t="s">
        <v>94</v>
      </c>
      <c r="E37" s="61" t="str">
        <f>IFERROR(VLOOKUP(D37,'Master List'!D:H,2,FALSE),"NA")</f>
        <v>510908</v>
      </c>
      <c r="F37" s="62" t="str">
        <f>IFERROR(VLOOKUP(D37,'Master List'!D:H,3,FALSE),"NA")</f>
        <v>510908</v>
      </c>
      <c r="G37" s="58" t="str">
        <f>IFERROR(VLOOKUP(D37,'Master List'!D:H,4,FALSE),"NA")</f>
        <v>510908</v>
      </c>
      <c r="H37" s="39" t="str">
        <f>IFERROR(VLOOKUP(D37,'Master List'!D:H,5,FALSE),"NA")</f>
        <v>Respiratory Care Therapy/Therapist.</v>
      </c>
      <c r="I37" s="19"/>
      <c r="J37" s="20"/>
      <c r="K37" s="20"/>
      <c r="L37" s="21"/>
    </row>
    <row r="38" spans="1:12" x14ac:dyDescent="0.3">
      <c r="A38" s="33">
        <v>9</v>
      </c>
      <c r="B38" s="33" t="s">
        <v>2155</v>
      </c>
      <c r="C38" s="34" t="s">
        <v>9</v>
      </c>
      <c r="D38" s="51" t="s">
        <v>97</v>
      </c>
      <c r="E38" s="61" t="str">
        <f>IFERROR(VLOOKUP(D38,'Master List'!D:H,2,FALSE),"NA")</f>
        <v>510909</v>
      </c>
      <c r="F38" s="62" t="str">
        <f>IFERROR(VLOOKUP(D38,'Master List'!D:H,3,FALSE),"NA")</f>
        <v>510909</v>
      </c>
      <c r="G38" s="58" t="str">
        <f>IFERROR(VLOOKUP(D38,'Master List'!D:H,4,FALSE),"NA")</f>
        <v>510909</v>
      </c>
      <c r="H38" s="39" t="str">
        <f>IFERROR(VLOOKUP(D38,'Master List'!D:H,5,FALSE),"NA")</f>
        <v>Surgical Technology/Technologist.</v>
      </c>
      <c r="I38" s="19"/>
      <c r="J38" s="20"/>
      <c r="K38" s="20"/>
      <c r="L38" s="21"/>
    </row>
    <row r="39" spans="1:12" x14ac:dyDescent="0.3">
      <c r="A39" s="33">
        <v>9</v>
      </c>
      <c r="B39" s="33" t="s">
        <v>2155</v>
      </c>
      <c r="C39" s="34" t="s">
        <v>9</v>
      </c>
      <c r="D39" s="51" t="s">
        <v>98</v>
      </c>
      <c r="E39" s="61" t="str">
        <f>IFERROR(VLOOKUP(D39,'Master List'!D:H,2,FALSE),"NA")</f>
        <v>510910</v>
      </c>
      <c r="F39" s="62" t="str">
        <f>IFERROR(VLOOKUP(D39,'Master List'!D:H,3,FALSE),"NA")</f>
        <v>510910</v>
      </c>
      <c r="G39" s="58" t="str">
        <f>IFERROR(VLOOKUP(D39,'Master List'!D:H,4,FALSE),"NA")</f>
        <v>510910</v>
      </c>
      <c r="H39" s="39" t="str">
        <f>IFERROR(VLOOKUP(D39,'Master List'!D:H,5,FALSE),"NA")</f>
        <v>Diagnostic Medical Sonography/Sonographer and Ultrasound Technician.</v>
      </c>
      <c r="I39" s="19"/>
      <c r="J39" s="20"/>
      <c r="K39" s="20"/>
      <c r="L39" s="21"/>
    </row>
    <row r="40" spans="1:12" x14ac:dyDescent="0.3">
      <c r="A40" s="33">
        <v>9</v>
      </c>
      <c r="B40" s="33" t="s">
        <v>2155</v>
      </c>
      <c r="C40" s="34" t="s">
        <v>9</v>
      </c>
      <c r="D40" s="51" t="s">
        <v>101</v>
      </c>
      <c r="E40" s="61" t="str">
        <f>IFERROR(VLOOKUP(D40,'Master List'!D:H,2,FALSE),"NA")</f>
        <v>513801</v>
      </c>
      <c r="F40" s="62" t="str">
        <f>IFERROR(VLOOKUP(D40,'Master List'!D:H,3,FALSE),"NA")</f>
        <v>513801</v>
      </c>
      <c r="G40" s="58" t="str">
        <f>IFERROR(VLOOKUP(D40,'Master List'!D:H,4,FALSE),"NA")</f>
        <v>513801</v>
      </c>
      <c r="H40" s="39" t="str">
        <f>IFERROR(VLOOKUP(D40,'Master List'!D:H,5,FALSE),"NA")</f>
        <v>Registered Nursing/Registered Nurse.</v>
      </c>
      <c r="I40" s="19"/>
      <c r="J40" s="20"/>
      <c r="K40" s="20"/>
      <c r="L40" s="21"/>
    </row>
    <row r="41" spans="1:12" x14ac:dyDescent="0.3">
      <c r="A41" s="33">
        <v>9</v>
      </c>
      <c r="B41" s="33" t="s">
        <v>2155</v>
      </c>
      <c r="C41" s="34" t="s">
        <v>9</v>
      </c>
      <c r="D41" s="51" t="s">
        <v>104</v>
      </c>
      <c r="E41" s="61" t="str">
        <f>IFERROR(VLOOKUP(D41,'Master List'!D:H,2,FALSE),"NA")</f>
        <v>NA</v>
      </c>
      <c r="F41" s="62" t="str">
        <f>IFERROR(VLOOKUP(D41,'Master List'!D:H,3,FALSE),"NA")</f>
        <v>NA</v>
      </c>
      <c r="G41" s="58" t="str">
        <f>IFERROR(VLOOKUP(D41,'Master List'!D:H,4,FALSE),"NA")</f>
        <v>NA</v>
      </c>
      <c r="H41" s="39" t="str">
        <f>IFERROR(VLOOKUP(D41,'Master List'!D:H,5,FALSE),"NA")</f>
        <v>NA</v>
      </c>
      <c r="I41" s="19"/>
      <c r="J41" s="20"/>
      <c r="K41" s="20"/>
      <c r="L41" s="21"/>
    </row>
    <row r="42" spans="1:12" x14ac:dyDescent="0.3">
      <c r="A42" s="33">
        <v>9</v>
      </c>
      <c r="B42" s="33" t="s">
        <v>2155</v>
      </c>
      <c r="C42" s="34" t="s">
        <v>9</v>
      </c>
      <c r="D42" s="51" t="s">
        <v>105</v>
      </c>
      <c r="E42" s="61" t="str">
        <f>IFERROR(VLOOKUP(D42,'Master List'!D:H,2,FALSE),"NA")</f>
        <v>NA</v>
      </c>
      <c r="F42" s="62" t="str">
        <f>IFERROR(VLOOKUP(D42,'Master List'!D:H,3,FALSE),"NA")</f>
        <v>NA</v>
      </c>
      <c r="G42" s="58" t="str">
        <f>IFERROR(VLOOKUP(D42,'Master List'!D:H,4,FALSE),"NA")</f>
        <v>NA</v>
      </c>
      <c r="H42" s="39" t="str">
        <f>IFERROR(VLOOKUP(D42,'Master List'!D:H,5,FALSE),"NA")</f>
        <v>NA</v>
      </c>
      <c r="I42" s="19"/>
      <c r="J42" s="20"/>
      <c r="K42" s="20"/>
      <c r="L42" s="21"/>
    </row>
    <row r="43" spans="1:12" x14ac:dyDescent="0.3">
      <c r="A43" s="33">
        <v>9</v>
      </c>
      <c r="B43" s="33" t="s">
        <v>2155</v>
      </c>
      <c r="C43" s="34" t="s">
        <v>9</v>
      </c>
      <c r="D43" s="51" t="s">
        <v>106</v>
      </c>
      <c r="E43" s="61" t="str">
        <f>IFERROR(VLOOKUP(D43,'Master List'!D:H,2,FALSE),"NA")</f>
        <v>111001</v>
      </c>
      <c r="F43" s="62" t="str">
        <f>IFERROR(VLOOKUP(D43,'Master List'!D:H,3,FALSE),"NA")</f>
        <v>111001</v>
      </c>
      <c r="G43" s="58" t="str">
        <f>IFERROR(VLOOKUP(D43,'Master List'!D:H,4,FALSE),"NA")</f>
        <v>111001</v>
      </c>
      <c r="H43" s="39" t="str">
        <f>IFERROR(VLOOKUP(D43,'Master List'!D:H,5,FALSE),"NA")</f>
        <v>Network and System Administration/Administrator.</v>
      </c>
      <c r="I43" s="19"/>
      <c r="J43" s="20"/>
      <c r="K43" s="20"/>
      <c r="L43" s="21"/>
    </row>
    <row r="44" spans="1:12" x14ac:dyDescent="0.3">
      <c r="A44" s="33">
        <v>9</v>
      </c>
      <c r="B44" s="33" t="s">
        <v>2155</v>
      </c>
      <c r="C44" s="34" t="s">
        <v>9</v>
      </c>
      <c r="D44" s="51" t="s">
        <v>107</v>
      </c>
      <c r="E44" s="61" t="str">
        <f>IFERROR(VLOOKUP(D44,'Master List'!D:H,2,FALSE),"NA")</f>
        <v>520201</v>
      </c>
      <c r="F44" s="62" t="str">
        <f>IFERROR(VLOOKUP(D44,'Master List'!D:H,3,FALSE),"NA")</f>
        <v>520201</v>
      </c>
      <c r="G44" s="58" t="str">
        <f>IFERROR(VLOOKUP(D44,'Master List'!D:H,4,FALSE),"NA")</f>
        <v>520201</v>
      </c>
      <c r="H44" s="39" t="str">
        <f>IFERROR(VLOOKUP(D44,'Master List'!D:H,5,FALSE),"NA")</f>
        <v>Business Administration and Management, General.</v>
      </c>
      <c r="I44" s="19"/>
      <c r="J44" s="20"/>
      <c r="K44" s="20"/>
      <c r="L44" s="21"/>
    </row>
    <row r="45" spans="1:12" x14ac:dyDescent="0.3">
      <c r="A45" s="33">
        <v>9</v>
      </c>
      <c r="B45" s="33" t="s">
        <v>2155</v>
      </c>
      <c r="C45" s="34" t="s">
        <v>9</v>
      </c>
      <c r="D45" s="51" t="s">
        <v>110</v>
      </c>
      <c r="E45" s="61" t="str">
        <f>IFERROR(VLOOKUP(D45,'Master List'!D:H,2,FALSE),"NA")</f>
        <v>520302</v>
      </c>
      <c r="F45" s="62" t="str">
        <f>IFERROR(VLOOKUP(D45,'Master List'!D:H,3,FALSE),"NA")</f>
        <v>520302</v>
      </c>
      <c r="G45" s="58" t="str">
        <f>IFERROR(VLOOKUP(D45,'Master List'!D:H,4,FALSE),"NA")</f>
        <v>520302</v>
      </c>
      <c r="H45" s="39" t="str">
        <f>IFERROR(VLOOKUP(D45,'Master List'!D:H,5,FALSE),"NA")</f>
        <v>Accounting Technology/Technician and Bookkeeping.</v>
      </c>
      <c r="I45" s="19"/>
      <c r="J45" s="20"/>
      <c r="K45" s="20"/>
      <c r="L45" s="21"/>
    </row>
    <row r="46" spans="1:12" x14ac:dyDescent="0.3">
      <c r="A46" s="33">
        <v>9</v>
      </c>
      <c r="B46" s="33" t="s">
        <v>2155</v>
      </c>
      <c r="C46" s="34" t="s">
        <v>9</v>
      </c>
      <c r="D46" s="51" t="s">
        <v>111</v>
      </c>
      <c r="E46" s="61" t="str">
        <f>IFERROR(VLOOKUP(D46,'Master List'!D:H,2,FALSE),"NA")</f>
        <v>520703</v>
      </c>
      <c r="F46" s="62" t="str">
        <f>IFERROR(VLOOKUP(D46,'Master List'!D:H,3,FALSE),"NA")</f>
        <v>520703</v>
      </c>
      <c r="G46" s="58" t="str">
        <f>IFERROR(VLOOKUP(D46,'Master List'!D:H,4,FALSE),"NA")</f>
        <v>520703</v>
      </c>
      <c r="H46" s="39" t="str">
        <f>IFERROR(VLOOKUP(D46,'Master List'!D:H,5,FALSE),"NA")</f>
        <v>Small Business Administration/Management.</v>
      </c>
      <c r="I46" s="19"/>
      <c r="J46" s="20"/>
      <c r="K46" s="20"/>
      <c r="L46" s="21"/>
    </row>
    <row r="47" spans="1:12" x14ac:dyDescent="0.3">
      <c r="A47" s="33">
        <v>9</v>
      </c>
      <c r="B47" s="33" t="s">
        <v>2155</v>
      </c>
      <c r="C47" s="34" t="s">
        <v>9</v>
      </c>
      <c r="D47" s="51" t="s">
        <v>114</v>
      </c>
      <c r="E47" s="61" t="str">
        <f>IFERROR(VLOOKUP(D47,'Master List'!D:H,2,FALSE),"NA")</f>
        <v>110801</v>
      </c>
      <c r="F47" s="62" t="str">
        <f>IFERROR(VLOOKUP(D47,'Master List'!D:H,3,FALSE),"NA")</f>
        <v>110801</v>
      </c>
      <c r="G47" s="58" t="str">
        <f>IFERROR(VLOOKUP(D47,'Master List'!D:H,4,FALSE),"NA")</f>
        <v>110801</v>
      </c>
      <c r="H47" s="39" t="str">
        <f>IFERROR(VLOOKUP(D47,'Master List'!D:H,5,FALSE),"NA")</f>
        <v>Web Page, Digital/Multimedia and Information Resources Design.</v>
      </c>
      <c r="I47" s="19"/>
      <c r="J47" s="20"/>
      <c r="K47" s="20"/>
      <c r="L47" s="21"/>
    </row>
    <row r="48" spans="1:12" x14ac:dyDescent="0.3">
      <c r="A48" s="33">
        <v>9</v>
      </c>
      <c r="B48" s="33" t="s">
        <v>2155</v>
      </c>
      <c r="C48" s="34" t="s">
        <v>9</v>
      </c>
      <c r="D48" s="51" t="s">
        <v>117</v>
      </c>
      <c r="E48" s="61" t="str">
        <f>IFERROR(VLOOKUP(D48,'Master List'!D:H,2,FALSE),"NA")</f>
        <v>120504</v>
      </c>
      <c r="F48" s="62" t="str">
        <f>IFERROR(VLOOKUP(D48,'Master List'!D:H,3,FALSE),"NA")</f>
        <v>120504</v>
      </c>
      <c r="G48" s="58" t="str">
        <f>IFERROR(VLOOKUP(D48,'Master List'!D:H,4,FALSE),"NA")</f>
        <v>120504</v>
      </c>
      <c r="H48" s="39" t="str">
        <f>IFERROR(VLOOKUP(D48,'Master List'!D:H,5,FALSE),"NA")</f>
        <v>Restaurant, Culinary, and Catering Management/Manager.</v>
      </c>
      <c r="I48" s="19"/>
      <c r="J48" s="20"/>
      <c r="K48" s="20"/>
      <c r="L48" s="21"/>
    </row>
    <row r="49" spans="1:12" x14ac:dyDescent="0.3">
      <c r="A49" s="33">
        <v>9</v>
      </c>
      <c r="B49" s="33" t="s">
        <v>2155</v>
      </c>
      <c r="C49" s="34" t="s">
        <v>9</v>
      </c>
      <c r="D49" s="51" t="s">
        <v>120</v>
      </c>
      <c r="E49" s="61" t="str">
        <f>IFERROR(VLOOKUP(D49,'Master List'!D:H,2,FALSE),"NA")</f>
        <v>150000</v>
      </c>
      <c r="F49" s="62" t="str">
        <f>IFERROR(VLOOKUP(D49,'Master List'!D:H,3,FALSE),"NA")</f>
        <v>150000</v>
      </c>
      <c r="G49" s="58" t="str">
        <f>IFERROR(VLOOKUP(D49,'Master List'!D:H,4,FALSE),"NA")</f>
        <v>150000</v>
      </c>
      <c r="H49" s="39" t="str">
        <f>IFERROR(VLOOKUP(D49,'Master List'!D:H,5,FALSE),"NA")</f>
        <v>Engineering Technologies/Technicians, General.</v>
      </c>
      <c r="I49" s="19"/>
      <c r="J49" s="20"/>
      <c r="K49" s="20"/>
      <c r="L49" s="21"/>
    </row>
    <row r="50" spans="1:12" x14ac:dyDescent="0.3">
      <c r="A50" s="33">
        <v>9</v>
      </c>
      <c r="B50" s="33" t="s">
        <v>2155</v>
      </c>
      <c r="C50" s="34" t="s">
        <v>9</v>
      </c>
      <c r="D50" s="51" t="s">
        <v>121</v>
      </c>
      <c r="E50" s="61" t="str">
        <f>IFERROR(VLOOKUP(D50,'Master List'!D:H,2,FALSE),"NA")</f>
        <v>500502</v>
      </c>
      <c r="F50" s="62" t="str">
        <f>IFERROR(VLOOKUP(D50,'Master List'!D:H,3,FALSE),"NA")</f>
        <v>500502</v>
      </c>
      <c r="G50" s="58" t="str">
        <f>IFERROR(VLOOKUP(D50,'Master List'!D:H,4,FALSE),"NA")</f>
        <v>500502</v>
      </c>
      <c r="H50" s="39" t="str">
        <f>IFERROR(VLOOKUP(D50,'Master List'!D:H,5,FALSE),"NA")</f>
        <v>Technical Theatre/Theatre Design and Technology.</v>
      </c>
      <c r="I50" s="19"/>
      <c r="J50" s="20"/>
      <c r="K50" s="20"/>
      <c r="L50" s="21"/>
    </row>
    <row r="51" spans="1:12" x14ac:dyDescent="0.3">
      <c r="A51" s="33">
        <v>9</v>
      </c>
      <c r="B51" s="33" t="s">
        <v>2155</v>
      </c>
      <c r="C51" s="34" t="s">
        <v>9</v>
      </c>
      <c r="D51" s="51" t="s">
        <v>124</v>
      </c>
      <c r="E51" s="61" t="str">
        <f>IFERROR(VLOOKUP(D51,'Master List'!D:H,2,FALSE),"NA")</f>
        <v>150201</v>
      </c>
      <c r="F51" s="62" t="str">
        <f>IFERROR(VLOOKUP(D51,'Master List'!D:H,3,FALSE),"NA")</f>
        <v>150201</v>
      </c>
      <c r="G51" s="58" t="str">
        <f>IFERROR(VLOOKUP(D51,'Master List'!D:H,4,FALSE),"NA")</f>
        <v>150201</v>
      </c>
      <c r="H51" s="39" t="str">
        <f>IFERROR(VLOOKUP(D51,'Master List'!D:H,5,FALSE),"NA")</f>
        <v>Civil Engineering Technologies/Technicians.</v>
      </c>
      <c r="I51" s="19"/>
      <c r="J51" s="20"/>
      <c r="K51" s="20"/>
      <c r="L51" s="21"/>
    </row>
    <row r="52" spans="1:12" x14ac:dyDescent="0.3">
      <c r="A52" s="33">
        <v>9</v>
      </c>
      <c r="B52" s="33" t="s">
        <v>2155</v>
      </c>
      <c r="C52" s="34" t="s">
        <v>9</v>
      </c>
      <c r="D52" s="51" t="s">
        <v>125</v>
      </c>
      <c r="E52" s="61" t="str">
        <f>IFERROR(VLOOKUP(D52,'Master List'!D:H,2,FALSE),"NA")</f>
        <v>220302</v>
      </c>
      <c r="F52" s="62" t="str">
        <f>IFERROR(VLOOKUP(D52,'Master List'!D:H,3,FALSE),"NA")</f>
        <v>220302</v>
      </c>
      <c r="G52" s="58" t="str">
        <f>IFERROR(VLOOKUP(D52,'Master List'!D:H,4,FALSE),"NA")</f>
        <v>220302</v>
      </c>
      <c r="H52" s="39" t="str">
        <f>IFERROR(VLOOKUP(D52,'Master List'!D:H,5,FALSE),"NA")</f>
        <v>Legal Assistant/Paralegal.</v>
      </c>
      <c r="I52" s="19"/>
      <c r="J52" s="20"/>
      <c r="K52" s="20"/>
      <c r="L52" s="21"/>
    </row>
    <row r="53" spans="1:12" x14ac:dyDescent="0.3">
      <c r="A53" s="33">
        <v>9</v>
      </c>
      <c r="B53" s="33" t="s">
        <v>2155</v>
      </c>
      <c r="C53" s="34" t="s">
        <v>9</v>
      </c>
      <c r="D53" s="51" t="s">
        <v>128</v>
      </c>
      <c r="E53" s="61" t="str">
        <f>IFERROR(VLOOKUP(D53,'Master List'!D:H,2,FALSE),"NA")</f>
        <v>430103</v>
      </c>
      <c r="F53" s="62" t="str">
        <f>IFERROR(VLOOKUP(D53,'Master List'!D:H,3,FALSE),"NA")</f>
        <v>430103</v>
      </c>
      <c r="G53" s="58" t="str">
        <f>IFERROR(VLOOKUP(D53,'Master List'!D:H,4,FALSE),"NA")</f>
        <v>430103</v>
      </c>
      <c r="H53" s="39" t="str">
        <f>IFERROR(VLOOKUP(D53,'Master List'!D:H,5,FALSE),"NA")</f>
        <v>Criminal Justice/Law Enforcement Administration.</v>
      </c>
      <c r="I53" s="19"/>
      <c r="J53" s="20"/>
      <c r="K53" s="20"/>
      <c r="L53" s="21"/>
    </row>
    <row r="54" spans="1:12" x14ac:dyDescent="0.3">
      <c r="A54" s="33">
        <v>9</v>
      </c>
      <c r="B54" s="33" t="s">
        <v>2155</v>
      </c>
      <c r="C54" s="34" t="s">
        <v>9</v>
      </c>
      <c r="D54" s="51" t="s">
        <v>131</v>
      </c>
      <c r="E54" s="61" t="str">
        <f>IFERROR(VLOOKUP(D54,'Master List'!D:H,2,FALSE),"NA")</f>
        <v>NA</v>
      </c>
      <c r="F54" s="62" t="str">
        <f>IFERROR(VLOOKUP(D54,'Master List'!D:H,3,FALSE),"NA")</f>
        <v>NA</v>
      </c>
      <c r="G54" s="58" t="str">
        <f>IFERROR(VLOOKUP(D54,'Master List'!D:H,4,FALSE),"NA")</f>
        <v>NA</v>
      </c>
      <c r="H54" s="39" t="str">
        <f>IFERROR(VLOOKUP(D54,'Master List'!D:H,5,FALSE),"NA")</f>
        <v>NA</v>
      </c>
      <c r="I54" s="19"/>
      <c r="J54" s="20"/>
      <c r="K54" s="20"/>
      <c r="L54" s="21"/>
    </row>
  </sheetData>
  <sheetProtection algorithmName="SHA-512" hashValue="h3/byOVMb2JJ4iiZWAsvGGlNLa48YTgstoBj+UbJLJrZhDrNNGgirDtX1iPF+5BtZHlKaFHrDqubZVn2kojpig==" saltValue="gfLMLVNtYkljPCq+H6zWsw==" spinCount="100000" sheet="1" objects="1" scenarios="1" sort="0" autoFilter="0"/>
  <autoFilter ref="A2:L54"/>
  <mergeCells count="3">
    <mergeCell ref="A1:D1"/>
    <mergeCell ref="E1:H1"/>
    <mergeCell ref="I1:L1"/>
  </mergeCells>
  <dataValidations count="1">
    <dataValidation type="list" allowBlank="1" showInputMessage="1" showErrorMessage="1" sqref="I3:I54">
      <formula1>"Agree,Disagree"</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92.2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10</v>
      </c>
      <c r="B3" s="33" t="s">
        <v>2156</v>
      </c>
      <c r="C3" s="34" t="s">
        <v>886</v>
      </c>
      <c r="D3" s="51" t="s">
        <v>859</v>
      </c>
      <c r="E3" s="61" t="str">
        <f>IFERROR(VLOOKUP(D3,'Master List'!D:H,2,FALSE),"NA")</f>
        <v>010303</v>
      </c>
      <c r="F3" s="62" t="str">
        <f>IFERROR(VLOOKUP(D3,'Master List'!D:H,3,FALSE),"NA")</f>
        <v>010303</v>
      </c>
      <c r="G3" s="58" t="str">
        <f>IFERROR(VLOOKUP(D3,'Master List'!D:H,4,FALSE),"NA")</f>
        <v>010303</v>
      </c>
      <c r="H3" s="39" t="str">
        <f>IFERROR(VLOOKUP(D3,'Master List'!D:H,5,FALSE),"NA")</f>
        <v>Aquaculture.</v>
      </c>
      <c r="I3" s="19"/>
      <c r="J3" s="20"/>
      <c r="K3" s="20"/>
      <c r="L3" s="21"/>
    </row>
    <row r="4" spans="1:12" x14ac:dyDescent="0.3">
      <c r="A4" s="33">
        <v>10</v>
      </c>
      <c r="B4" s="33" t="s">
        <v>2156</v>
      </c>
      <c r="C4" s="34" t="s">
        <v>886</v>
      </c>
      <c r="D4" s="51" t="s">
        <v>176</v>
      </c>
      <c r="E4" s="61" t="str">
        <f>IFERROR(VLOOKUP(D4,'Master List'!D:H,2,FALSE),"NA")</f>
        <v>520905</v>
      </c>
      <c r="F4" s="62" t="str">
        <f>IFERROR(VLOOKUP(D4,'Master List'!D:H,3,FALSE),"NA")</f>
        <v>520905</v>
      </c>
      <c r="G4" s="58" t="str">
        <f>IFERROR(VLOOKUP(D4,'Master List'!D:H,4,FALSE),"NA")</f>
        <v>520905</v>
      </c>
      <c r="H4" s="39" t="str">
        <f>IFERROR(VLOOKUP(D4,'Master List'!D:H,5,FALSE),"NA")</f>
        <v>Restaurant/Food Services Management.</v>
      </c>
      <c r="I4" s="19"/>
      <c r="J4" s="20"/>
      <c r="K4" s="20"/>
      <c r="L4" s="21"/>
    </row>
    <row r="5" spans="1:12" x14ac:dyDescent="0.3">
      <c r="A5" s="33">
        <v>10</v>
      </c>
      <c r="B5" s="33" t="s">
        <v>2156</v>
      </c>
      <c r="C5" s="34" t="s">
        <v>886</v>
      </c>
      <c r="D5" s="51" t="s">
        <v>535</v>
      </c>
      <c r="E5" s="61" t="str">
        <f>IFERROR(VLOOKUP(D5,'Master List'!D:H,2,FALSE),"NA")</f>
        <v>520905</v>
      </c>
      <c r="F5" s="62" t="str">
        <f>IFERROR(VLOOKUP(D5,'Master List'!D:H,3,FALSE),"NA")</f>
        <v>520905</v>
      </c>
      <c r="G5" s="58" t="str">
        <f>IFERROR(VLOOKUP(D5,'Master List'!D:H,4,FALSE),"NA")</f>
        <v>520905</v>
      </c>
      <c r="H5" s="39" t="str">
        <f>IFERROR(VLOOKUP(D5,'Master List'!D:H,5,FALSE),"NA")</f>
        <v>Restaurant/Food Services Management.</v>
      </c>
      <c r="I5" s="19"/>
      <c r="J5" s="20"/>
      <c r="K5" s="20"/>
      <c r="L5" s="21"/>
    </row>
    <row r="6" spans="1:12" x14ac:dyDescent="0.3">
      <c r="A6" s="33">
        <v>10</v>
      </c>
      <c r="B6" s="33" t="s">
        <v>2156</v>
      </c>
      <c r="C6" s="34" t="s">
        <v>886</v>
      </c>
      <c r="D6" s="51" t="s">
        <v>536</v>
      </c>
      <c r="E6" s="61" t="str">
        <f>IFERROR(VLOOKUP(D6,'Master List'!D:H,2,FALSE),"NA")</f>
        <v>520909</v>
      </c>
      <c r="F6" s="62" t="str">
        <f>IFERROR(VLOOKUP(D6,'Master List'!D:H,3,FALSE),"NA")</f>
        <v>520909</v>
      </c>
      <c r="G6" s="58" t="str">
        <f>IFERROR(VLOOKUP(D6,'Master List'!D:H,4,FALSE),"NA")</f>
        <v>520909</v>
      </c>
      <c r="H6" s="39" t="str">
        <f>IFERROR(VLOOKUP(D6,'Master List'!D:H,5,FALSE),"NA")</f>
        <v>Hotel, Motel, and Restaurant Management.</v>
      </c>
      <c r="I6" s="19"/>
      <c r="J6" s="20"/>
      <c r="K6" s="20"/>
      <c r="L6" s="21"/>
    </row>
    <row r="7" spans="1:12" x14ac:dyDescent="0.3">
      <c r="A7" s="33">
        <v>10</v>
      </c>
      <c r="B7" s="33" t="s">
        <v>2156</v>
      </c>
      <c r="C7" s="34" t="s">
        <v>886</v>
      </c>
      <c r="D7" s="51" t="s">
        <v>10</v>
      </c>
      <c r="E7" s="61" t="str">
        <f>IFERROR(VLOOKUP(D7,'Master List'!D:H,2,FALSE),"NA")</f>
        <v>510601</v>
      </c>
      <c r="F7" s="62" t="str">
        <f>IFERROR(VLOOKUP(D7,'Master List'!D:H,3,FALSE),"NA")</f>
        <v>510601</v>
      </c>
      <c r="G7" s="58" t="str">
        <f>IFERROR(VLOOKUP(D7,'Master List'!D:H,4,FALSE),"NA")</f>
        <v>510601</v>
      </c>
      <c r="H7" s="39" t="str">
        <f>IFERROR(VLOOKUP(D7,'Master List'!D:H,5,FALSE),"NA")</f>
        <v>Dental Assisting/Assistant.</v>
      </c>
      <c r="I7" s="19"/>
      <c r="J7" s="20"/>
      <c r="K7" s="20"/>
      <c r="L7" s="21"/>
    </row>
    <row r="8" spans="1:12" x14ac:dyDescent="0.3">
      <c r="A8" s="33">
        <v>10</v>
      </c>
      <c r="B8" s="33" t="s">
        <v>2156</v>
      </c>
      <c r="C8" s="34" t="s">
        <v>886</v>
      </c>
      <c r="D8" s="51" t="s">
        <v>198</v>
      </c>
      <c r="E8" s="61" t="str">
        <f>IFERROR(VLOOKUP(D8,'Master List'!D:H,2,FALSE),"NA")</f>
        <v>510707</v>
      </c>
      <c r="F8" s="62" t="str">
        <f>IFERROR(VLOOKUP(D8,'Master List'!D:H,3,FALSE),"NA")</f>
        <v>510707</v>
      </c>
      <c r="G8" s="58">
        <f>IFERROR(VLOOKUP(D8,'Master List'!D:H,4,FALSE),"NA")</f>
        <v>510714</v>
      </c>
      <c r="H8" s="39" t="str">
        <f>IFERROR(VLOOKUP(D8,'Master List'!D:H,5,FALSE),"NA")</f>
        <v>Medical Insurance Specialist/Medical Biller</v>
      </c>
      <c r="I8" s="19"/>
      <c r="J8" s="20"/>
      <c r="K8" s="20"/>
      <c r="L8" s="21"/>
    </row>
    <row r="9" spans="1:12" x14ac:dyDescent="0.3">
      <c r="A9" s="33">
        <v>10</v>
      </c>
      <c r="B9" s="33" t="s">
        <v>2156</v>
      </c>
      <c r="C9" s="34" t="s">
        <v>886</v>
      </c>
      <c r="D9" s="51" t="s">
        <v>887</v>
      </c>
      <c r="E9" s="61" t="str">
        <f>IFERROR(VLOOKUP(D9,'Master List'!D:H,2,FALSE),"NA")</f>
        <v>510719</v>
      </c>
      <c r="F9" s="62" t="str">
        <f>IFERROR(VLOOKUP(D9,'Master List'!D:H,3,FALSE),"NA")</f>
        <v>510719</v>
      </c>
      <c r="G9" s="58" t="str">
        <f>IFERROR(VLOOKUP(D9,'Master List'!D:H,4,FALSE),"NA")</f>
        <v>510719</v>
      </c>
      <c r="H9" s="39" t="str">
        <f>IFERROR(VLOOKUP(D9,'Master List'!D:H,5,FALSE),"NA")</f>
        <v>Clinical Research Coordinator.</v>
      </c>
      <c r="I9" s="19"/>
      <c r="J9" s="20"/>
      <c r="K9" s="20"/>
      <c r="L9" s="21"/>
    </row>
    <row r="10" spans="1:12" x14ac:dyDescent="0.3">
      <c r="A10" s="33">
        <v>10</v>
      </c>
      <c r="B10" s="33" t="s">
        <v>2156</v>
      </c>
      <c r="C10" s="34" t="s">
        <v>886</v>
      </c>
      <c r="D10" s="51" t="s">
        <v>14</v>
      </c>
      <c r="E10" s="61" t="str">
        <f>IFERROR(VLOOKUP(D10,'Master List'!D:H,2,FALSE),"NA")</f>
        <v>510904</v>
      </c>
      <c r="F10" s="62" t="str">
        <f>IFERROR(VLOOKUP(D10,'Master List'!D:H,3,FALSE),"NA")</f>
        <v>510904</v>
      </c>
      <c r="G10" s="58" t="str">
        <f>IFERROR(VLOOKUP(D10,'Master List'!D:H,4,FALSE),"NA")</f>
        <v>510904</v>
      </c>
      <c r="H10" s="39" t="str">
        <f>IFERROR(VLOOKUP(D10,'Master List'!D:H,5,FALSE),"NA")</f>
        <v>Emergency Medical Technology/Technician (EMT Paramedic).</v>
      </c>
      <c r="I10" s="19"/>
      <c r="J10" s="20"/>
      <c r="K10" s="20"/>
      <c r="L10" s="21"/>
    </row>
    <row r="11" spans="1:12" x14ac:dyDescent="0.3">
      <c r="A11" s="33">
        <v>10</v>
      </c>
      <c r="B11" s="33" t="s">
        <v>2156</v>
      </c>
      <c r="C11" s="34" t="s">
        <v>886</v>
      </c>
      <c r="D11" s="51" t="s">
        <v>204</v>
      </c>
      <c r="E11" s="61" t="str">
        <f>IFERROR(VLOOKUP(D11,'Master List'!D:H,2,FALSE),"NA")</f>
        <v>510904</v>
      </c>
      <c r="F11" s="62" t="str">
        <f>IFERROR(VLOOKUP(D11,'Master List'!D:H,3,FALSE),"NA")</f>
        <v>510904</v>
      </c>
      <c r="G11" s="58" t="str">
        <f>IFERROR(VLOOKUP(D11,'Master List'!D:H,4,FALSE),"NA")</f>
        <v>510904</v>
      </c>
      <c r="H11" s="39" t="str">
        <f>IFERROR(VLOOKUP(D11,'Master List'!D:H,5,FALSE),"NA")</f>
        <v>Emergency Medical Technology/Technician (EMT Paramedic).</v>
      </c>
      <c r="I11" s="19"/>
      <c r="J11" s="20"/>
      <c r="K11" s="20"/>
      <c r="L11" s="21"/>
    </row>
    <row r="12" spans="1:12" x14ac:dyDescent="0.3">
      <c r="A12" s="33">
        <v>10</v>
      </c>
      <c r="B12" s="33" t="s">
        <v>2156</v>
      </c>
      <c r="C12" s="34" t="s">
        <v>886</v>
      </c>
      <c r="D12" s="51" t="s">
        <v>206</v>
      </c>
      <c r="E12" s="61" t="str">
        <f>IFERROR(VLOOKUP(D12,'Master List'!D:H,2,FALSE),"NA")</f>
        <v>510907</v>
      </c>
      <c r="F12" s="62" t="str">
        <f>IFERROR(VLOOKUP(D12,'Master List'!D:H,3,FALSE),"NA")</f>
        <v>510907</v>
      </c>
      <c r="G12" s="58" t="str">
        <f>IFERROR(VLOOKUP(D12,'Master List'!D:H,4,FALSE),"NA")</f>
        <v>510907</v>
      </c>
      <c r="H12" s="39" t="str">
        <f>IFERROR(VLOOKUP(D12,'Master List'!D:H,5,FALSE),"NA")</f>
        <v>Medical Radiologic Technology/Science - Radiation Therapist.</v>
      </c>
      <c r="I12" s="19"/>
      <c r="J12" s="20"/>
      <c r="K12" s="20"/>
      <c r="L12" s="21"/>
    </row>
    <row r="13" spans="1:12" x14ac:dyDescent="0.3">
      <c r="A13" s="33">
        <v>10</v>
      </c>
      <c r="B13" s="33" t="s">
        <v>2156</v>
      </c>
      <c r="C13" s="34" t="s">
        <v>886</v>
      </c>
      <c r="D13" s="51" t="s">
        <v>891</v>
      </c>
      <c r="E13" s="61" t="str">
        <f>IFERROR(VLOOKUP(D13,'Master List'!D:H,2,FALSE),"NA")</f>
        <v>511006</v>
      </c>
      <c r="F13" s="62" t="str">
        <f>IFERROR(VLOOKUP(D13,'Master List'!D:H,3,FALSE),"NA")</f>
        <v>511006</v>
      </c>
      <c r="G13" s="58" t="str">
        <f>IFERROR(VLOOKUP(D13,'Master List'!D:H,4,FALSE),"NA")</f>
        <v>511006</v>
      </c>
      <c r="H13" s="39" t="str">
        <f>IFERROR(VLOOKUP(D13,'Master List'!D:H,5,FALSE),"NA")</f>
        <v>Ophthalmic Laboratory Technology/Technician.</v>
      </c>
      <c r="I13" s="19"/>
      <c r="J13" s="20"/>
      <c r="K13" s="20"/>
      <c r="L13" s="21"/>
    </row>
    <row r="14" spans="1:12" x14ac:dyDescent="0.3">
      <c r="A14" s="33">
        <v>10</v>
      </c>
      <c r="B14" s="33" t="s">
        <v>2156</v>
      </c>
      <c r="C14" s="34" t="s">
        <v>886</v>
      </c>
      <c r="D14" s="51" t="s">
        <v>895</v>
      </c>
      <c r="E14" s="61" t="str">
        <f>IFERROR(VLOOKUP(D14,'Master List'!D:H,2,FALSE),"NA")</f>
        <v>511803</v>
      </c>
      <c r="F14" s="62" t="str">
        <f>IFERROR(VLOOKUP(D14,'Master List'!D:H,3,FALSE),"NA")</f>
        <v>511803</v>
      </c>
      <c r="G14" s="58" t="str">
        <f>IFERROR(VLOOKUP(D14,'Master List'!D:H,4,FALSE),"NA")</f>
        <v>511803</v>
      </c>
      <c r="H14" s="39" t="str">
        <f>IFERROR(VLOOKUP(D14,'Master List'!D:H,5,FALSE),"NA")</f>
        <v>Ophthalmic Technician/Technologist.</v>
      </c>
      <c r="I14" s="19"/>
      <c r="J14" s="20"/>
      <c r="K14" s="20"/>
      <c r="L14" s="21"/>
    </row>
    <row r="15" spans="1:12" x14ac:dyDescent="0.3">
      <c r="A15" s="33">
        <v>10</v>
      </c>
      <c r="B15" s="33" t="s">
        <v>2156</v>
      </c>
      <c r="C15" s="34" t="s">
        <v>886</v>
      </c>
      <c r="D15" s="51" t="s">
        <v>208</v>
      </c>
      <c r="E15" s="61" t="str">
        <f>IFERROR(VLOOKUP(D15,'Master List'!D:H,2,FALSE),"NA")</f>
        <v>512211</v>
      </c>
      <c r="F15" s="62" t="str">
        <f>IFERROR(VLOOKUP(D15,'Master List'!D:H,3,FALSE),"NA")</f>
        <v>512211</v>
      </c>
      <c r="G15" s="58">
        <f>IFERROR(VLOOKUP(D15,'Master List'!D:H,4,FALSE),"NA")</f>
        <v>512208</v>
      </c>
      <c r="H15" s="39" t="str">
        <f>IFERROR(VLOOKUP(D15,'Master List'!D:H,5,FALSE),"NA")</f>
        <v>Community Health and Preventive Medicine.</v>
      </c>
      <c r="I15" s="19"/>
      <c r="J15" s="20"/>
      <c r="K15" s="20"/>
      <c r="L15" s="21"/>
    </row>
    <row r="16" spans="1:12" x14ac:dyDescent="0.3">
      <c r="A16" s="33">
        <v>10</v>
      </c>
      <c r="B16" s="33" t="s">
        <v>2156</v>
      </c>
      <c r="C16" s="34" t="s">
        <v>886</v>
      </c>
      <c r="D16" s="51" t="s">
        <v>502</v>
      </c>
      <c r="E16" s="61" t="str">
        <f>IFERROR(VLOOKUP(D16,'Master List'!D:H,2,FALSE),"NA")</f>
        <v>110103</v>
      </c>
      <c r="F16" s="62" t="str">
        <f>IFERROR(VLOOKUP(D16,'Master List'!D:H,3,FALSE),"NA")</f>
        <v>110103</v>
      </c>
      <c r="G16" s="58" t="str">
        <f>IFERROR(VLOOKUP(D16,'Master List'!D:H,4,FALSE),"NA")</f>
        <v>110103</v>
      </c>
      <c r="H16" s="39" t="str">
        <f>IFERROR(VLOOKUP(D16,'Master List'!D:H,5,FALSE),"NA")</f>
        <v>Information Technology.</v>
      </c>
      <c r="I16" s="19"/>
      <c r="J16" s="20"/>
      <c r="K16" s="20"/>
      <c r="L16" s="21"/>
    </row>
    <row r="17" spans="1:12" x14ac:dyDescent="0.3">
      <c r="A17" s="33">
        <v>10</v>
      </c>
      <c r="B17" s="33" t="s">
        <v>2156</v>
      </c>
      <c r="C17" s="34" t="s">
        <v>886</v>
      </c>
      <c r="D17" s="51" t="s">
        <v>389</v>
      </c>
      <c r="E17" s="61" t="str">
        <f>IFERROR(VLOOKUP(D17,'Master List'!D:H,2,FALSE),"NA")</f>
        <v>110201</v>
      </c>
      <c r="F17" s="62" t="str">
        <f>IFERROR(VLOOKUP(D17,'Master List'!D:H,3,FALSE),"NA")</f>
        <v>110201</v>
      </c>
      <c r="G17" s="58" t="str">
        <f>IFERROR(VLOOKUP(D17,'Master List'!D:H,4,FALSE),"NA")</f>
        <v>110201</v>
      </c>
      <c r="H17" s="39" t="str">
        <f>IFERROR(VLOOKUP(D17,'Master List'!D:H,5,FALSE),"NA")</f>
        <v>Computer Programming/Programmer, General.</v>
      </c>
      <c r="I17" s="19"/>
      <c r="J17" s="20"/>
      <c r="K17" s="20"/>
      <c r="L17" s="21"/>
    </row>
    <row r="18" spans="1:12" x14ac:dyDescent="0.3">
      <c r="A18" s="33">
        <v>10</v>
      </c>
      <c r="B18" s="33" t="s">
        <v>2156</v>
      </c>
      <c r="C18" s="34" t="s">
        <v>886</v>
      </c>
      <c r="D18" s="51" t="s">
        <v>390</v>
      </c>
      <c r="E18" s="61" t="str">
        <f>IFERROR(VLOOKUP(D18,'Master List'!D:H,2,FALSE),"NA")</f>
        <v>110202</v>
      </c>
      <c r="F18" s="62" t="str">
        <f>IFERROR(VLOOKUP(D18,'Master List'!D:H,3,FALSE),"NA")</f>
        <v>110202</v>
      </c>
      <c r="G18" s="58" t="str">
        <f>IFERROR(VLOOKUP(D18,'Master List'!D:H,4,FALSE),"NA")</f>
        <v>110202</v>
      </c>
      <c r="H18" s="39" t="str">
        <f>IFERROR(VLOOKUP(D18,'Master List'!D:H,5,FALSE),"NA")</f>
        <v>Computer Programming, Specific Applications.</v>
      </c>
      <c r="I18" s="19"/>
      <c r="J18" s="20"/>
      <c r="K18" s="20"/>
      <c r="L18" s="21"/>
    </row>
    <row r="19" spans="1:12" x14ac:dyDescent="0.3">
      <c r="A19" s="33">
        <v>10</v>
      </c>
      <c r="B19" s="33" t="s">
        <v>2156</v>
      </c>
      <c r="C19" s="34" t="s">
        <v>886</v>
      </c>
      <c r="D19" s="51" t="s">
        <v>811</v>
      </c>
      <c r="E19" s="61" t="str">
        <f>IFERROR(VLOOKUP(D19,'Master List'!D:H,2,FALSE),"NA")</f>
        <v>110203</v>
      </c>
      <c r="F19" s="62" t="str">
        <f>IFERROR(VLOOKUP(D19,'Master List'!D:H,3,FALSE),"NA")</f>
        <v>110203</v>
      </c>
      <c r="G19" s="58" t="str">
        <f>IFERROR(VLOOKUP(D19,'Master List'!D:H,4,FALSE),"NA")</f>
        <v>110203</v>
      </c>
      <c r="H19" s="39" t="str">
        <f>IFERROR(VLOOKUP(D19,'Master List'!D:H,5,FALSE),"NA")</f>
        <v>Computer Programming, Vendor/Product Certification.</v>
      </c>
      <c r="I19" s="19"/>
      <c r="J19" s="20"/>
      <c r="K19" s="20"/>
      <c r="L19" s="21"/>
    </row>
    <row r="20" spans="1:12" x14ac:dyDescent="0.3">
      <c r="A20" s="33">
        <v>10</v>
      </c>
      <c r="B20" s="33" t="s">
        <v>2156</v>
      </c>
      <c r="C20" s="34" t="s">
        <v>886</v>
      </c>
      <c r="D20" s="51" t="s">
        <v>421</v>
      </c>
      <c r="E20" s="61" t="str">
        <f>IFERROR(VLOOKUP(D20,'Master List'!D:H,2,FALSE),"NA")</f>
        <v>110801</v>
      </c>
      <c r="F20" s="62" t="str">
        <f>IFERROR(VLOOKUP(D20,'Master List'!D:H,3,FALSE),"NA")</f>
        <v>110801</v>
      </c>
      <c r="G20" s="58" t="str">
        <f>IFERROR(VLOOKUP(D20,'Master List'!D:H,4,FALSE),"NA")</f>
        <v>110801</v>
      </c>
      <c r="H20" s="39" t="str">
        <f>IFERROR(VLOOKUP(D20,'Master List'!D:H,5,FALSE),"NA")</f>
        <v>Web Page, Digital/Multimedia and Information Resources Design.</v>
      </c>
      <c r="I20" s="19"/>
      <c r="J20" s="20"/>
      <c r="K20" s="20"/>
      <c r="L20" s="21"/>
    </row>
    <row r="21" spans="1:12" x14ac:dyDescent="0.3">
      <c r="A21" s="33">
        <v>10</v>
      </c>
      <c r="B21" s="33" t="s">
        <v>2156</v>
      </c>
      <c r="C21" s="34" t="s">
        <v>886</v>
      </c>
      <c r="D21" s="51" t="s">
        <v>31</v>
      </c>
      <c r="E21" s="61" t="str">
        <f>IFERROR(VLOOKUP(D21,'Master List'!D:H,2,FALSE),"NA")</f>
        <v>111001</v>
      </c>
      <c r="F21" s="62" t="str">
        <f>IFERROR(VLOOKUP(D21,'Master List'!D:H,3,FALSE),"NA")</f>
        <v>111001</v>
      </c>
      <c r="G21" s="58" t="str">
        <f>IFERROR(VLOOKUP(D21,'Master List'!D:H,4,FALSE),"NA")</f>
        <v>111001</v>
      </c>
      <c r="H21" s="39" t="str">
        <f>IFERROR(VLOOKUP(D21,'Master List'!D:H,5,FALSE),"NA")</f>
        <v>Network and System Administration/Administrator.</v>
      </c>
      <c r="I21" s="19"/>
      <c r="J21" s="20"/>
      <c r="K21" s="20"/>
      <c r="L21" s="21"/>
    </row>
    <row r="22" spans="1:12" x14ac:dyDescent="0.3">
      <c r="A22" s="33">
        <v>10</v>
      </c>
      <c r="B22" s="33" t="s">
        <v>2156</v>
      </c>
      <c r="C22" s="34" t="s">
        <v>886</v>
      </c>
      <c r="D22" s="51" t="s">
        <v>219</v>
      </c>
      <c r="E22" s="61" t="str">
        <f>IFERROR(VLOOKUP(D22,'Master List'!D:H,2,FALSE),"NA")</f>
        <v>111001</v>
      </c>
      <c r="F22" s="62" t="str">
        <f>IFERROR(VLOOKUP(D22,'Master List'!D:H,3,FALSE),"NA")</f>
        <v>111001</v>
      </c>
      <c r="G22" s="58" t="str">
        <f>IFERROR(VLOOKUP(D22,'Master List'!D:H,4,FALSE),"NA")</f>
        <v>111001</v>
      </c>
      <c r="H22" s="39" t="str">
        <f>IFERROR(VLOOKUP(D22,'Master List'!D:H,5,FALSE),"NA")</f>
        <v>Network and System Administration/Administrator.</v>
      </c>
      <c r="I22" s="19"/>
      <c r="J22" s="20"/>
      <c r="K22" s="20"/>
      <c r="L22" s="21"/>
    </row>
    <row r="23" spans="1:12" x14ac:dyDescent="0.3">
      <c r="A23" s="33">
        <v>10</v>
      </c>
      <c r="B23" s="33" t="s">
        <v>2156</v>
      </c>
      <c r="C23" s="34" t="s">
        <v>886</v>
      </c>
      <c r="D23" s="51" t="s">
        <v>34</v>
      </c>
      <c r="E23" s="61" t="str">
        <f>IFERROR(VLOOKUP(D23,'Master List'!D:H,2,FALSE),"NA")</f>
        <v>111001</v>
      </c>
      <c r="F23" s="62" t="str">
        <f>IFERROR(VLOOKUP(D23,'Master List'!D:H,3,FALSE),"NA")</f>
        <v>111001</v>
      </c>
      <c r="G23" s="58" t="str">
        <f>IFERROR(VLOOKUP(D23,'Master List'!D:H,4,FALSE),"NA")</f>
        <v>111001</v>
      </c>
      <c r="H23" s="39" t="str">
        <f>IFERROR(VLOOKUP(D23,'Master List'!D:H,5,FALSE),"NA")</f>
        <v>Network and System Administration/Administrator.</v>
      </c>
      <c r="I23" s="19"/>
      <c r="J23" s="20"/>
      <c r="K23" s="20"/>
      <c r="L23" s="21"/>
    </row>
    <row r="24" spans="1:12" x14ac:dyDescent="0.3">
      <c r="A24" s="33">
        <v>10</v>
      </c>
      <c r="B24" s="33" t="s">
        <v>2156</v>
      </c>
      <c r="C24" s="34" t="s">
        <v>886</v>
      </c>
      <c r="D24" s="51" t="s">
        <v>541</v>
      </c>
      <c r="E24" s="61" t="str">
        <f>IFERROR(VLOOKUP(D24,'Master List'!D:H,2,FALSE),"NA")</f>
        <v>111001</v>
      </c>
      <c r="F24" s="62" t="str">
        <f>IFERROR(VLOOKUP(D24,'Master List'!D:H,3,FALSE),"NA")</f>
        <v>111001</v>
      </c>
      <c r="G24" s="58" t="str">
        <f>IFERROR(VLOOKUP(D24,'Master List'!D:H,4,FALSE),"NA")</f>
        <v>111001</v>
      </c>
      <c r="H24" s="39" t="str">
        <f>IFERROR(VLOOKUP(D24,'Master List'!D:H,5,FALSE),"NA")</f>
        <v>Network and System Administration/Administrator.</v>
      </c>
      <c r="I24" s="19"/>
      <c r="J24" s="20"/>
      <c r="K24" s="20"/>
      <c r="L24" s="21"/>
    </row>
    <row r="25" spans="1:12" x14ac:dyDescent="0.3">
      <c r="A25" s="33">
        <v>10</v>
      </c>
      <c r="B25" s="33" t="s">
        <v>2156</v>
      </c>
      <c r="C25" s="34" t="s">
        <v>886</v>
      </c>
      <c r="D25" s="51" t="s">
        <v>35</v>
      </c>
      <c r="E25" s="61" t="str">
        <f>IFERROR(VLOOKUP(D25,'Master List'!D:H,2,FALSE),"NA")</f>
        <v>111001</v>
      </c>
      <c r="F25" s="62" t="str">
        <f>IFERROR(VLOOKUP(D25,'Master List'!D:H,3,FALSE),"NA")</f>
        <v>111001</v>
      </c>
      <c r="G25" s="58" t="str">
        <f>IFERROR(VLOOKUP(D25,'Master List'!D:H,4,FALSE),"NA")</f>
        <v>111001</v>
      </c>
      <c r="H25" s="39" t="str">
        <f>IFERROR(VLOOKUP(D25,'Master List'!D:H,5,FALSE),"NA")</f>
        <v>Network and System Administration/Administrator.</v>
      </c>
      <c r="I25" s="19"/>
      <c r="J25" s="20"/>
      <c r="K25" s="20"/>
      <c r="L25" s="21"/>
    </row>
    <row r="26" spans="1:12" x14ac:dyDescent="0.3">
      <c r="A26" s="33">
        <v>10</v>
      </c>
      <c r="B26" s="33" t="s">
        <v>2156</v>
      </c>
      <c r="C26" s="34" t="s">
        <v>886</v>
      </c>
      <c r="D26" s="51" t="s">
        <v>221</v>
      </c>
      <c r="E26" s="61" t="str">
        <f>IFERROR(VLOOKUP(D26,'Master List'!D:H,2,FALSE),"NA")</f>
        <v>111001</v>
      </c>
      <c r="F26" s="62" t="str">
        <f>IFERROR(VLOOKUP(D26,'Master List'!D:H,3,FALSE),"NA")</f>
        <v>111001</v>
      </c>
      <c r="G26" s="58" t="str">
        <f>IFERROR(VLOOKUP(D26,'Master List'!D:H,4,FALSE),"NA")</f>
        <v>111001</v>
      </c>
      <c r="H26" s="39" t="str">
        <f>IFERROR(VLOOKUP(D26,'Master List'!D:H,5,FALSE),"NA")</f>
        <v>Network and System Administration/Administrator.</v>
      </c>
      <c r="I26" s="19"/>
      <c r="J26" s="20"/>
      <c r="K26" s="20"/>
      <c r="L26" s="21"/>
    </row>
    <row r="27" spans="1:12" x14ac:dyDescent="0.3">
      <c r="A27" s="33">
        <v>10</v>
      </c>
      <c r="B27" s="33" t="s">
        <v>2156</v>
      </c>
      <c r="C27" s="34" t="s">
        <v>886</v>
      </c>
      <c r="D27" s="51" t="s">
        <v>36</v>
      </c>
      <c r="E27" s="61" t="str">
        <f>IFERROR(VLOOKUP(D27,'Master List'!D:H,2,FALSE),"NA")</f>
        <v>111001</v>
      </c>
      <c r="F27" s="62" t="str">
        <f>IFERROR(VLOOKUP(D27,'Master List'!D:H,3,FALSE),"NA")</f>
        <v>111001</v>
      </c>
      <c r="G27" s="58" t="str">
        <f>IFERROR(VLOOKUP(D27,'Master List'!D:H,4,FALSE),"NA")</f>
        <v>111001</v>
      </c>
      <c r="H27" s="39" t="str">
        <f>IFERROR(VLOOKUP(D27,'Master List'!D:H,5,FALSE),"NA")</f>
        <v>Network and System Administration/Administrator.</v>
      </c>
      <c r="I27" s="19"/>
      <c r="J27" s="20"/>
      <c r="K27" s="20"/>
      <c r="L27" s="21"/>
    </row>
    <row r="28" spans="1:12" x14ac:dyDescent="0.3">
      <c r="A28" s="33">
        <v>10</v>
      </c>
      <c r="B28" s="33" t="s">
        <v>2156</v>
      </c>
      <c r="C28" s="34" t="s">
        <v>886</v>
      </c>
      <c r="D28" s="51" t="s">
        <v>422</v>
      </c>
      <c r="E28" s="61" t="str">
        <f>IFERROR(VLOOKUP(D28,'Master List'!D:H,2,FALSE),"NA")</f>
        <v>510716</v>
      </c>
      <c r="F28" s="62" t="str">
        <f>IFERROR(VLOOKUP(D28,'Master List'!D:H,3,FALSE),"NA")</f>
        <v>510716</v>
      </c>
      <c r="G28" s="58">
        <f>IFERROR(VLOOKUP(D28,'Master List'!D:H,4,FALSE),"NA")</f>
        <v>510705</v>
      </c>
      <c r="H28" s="39" t="str">
        <f>IFERROR(VLOOKUP(D28,'Master List'!D:H,5,FALSE),"NA")</f>
        <v>Medical Office Management/Administration</v>
      </c>
      <c r="I28" s="19"/>
      <c r="J28" s="20"/>
      <c r="K28" s="20"/>
      <c r="L28" s="21"/>
    </row>
    <row r="29" spans="1:12" x14ac:dyDescent="0.3">
      <c r="A29" s="33">
        <v>10</v>
      </c>
      <c r="B29" s="33" t="s">
        <v>2156</v>
      </c>
      <c r="C29" s="34" t="s">
        <v>886</v>
      </c>
      <c r="D29" s="51" t="s">
        <v>153</v>
      </c>
      <c r="E29" s="61" t="str">
        <f>IFERROR(VLOOKUP(D29,'Master List'!D:H,2,FALSE),"NA")</f>
        <v>520201</v>
      </c>
      <c r="F29" s="62" t="str">
        <f>IFERROR(VLOOKUP(D29,'Master List'!D:H,3,FALSE),"NA")</f>
        <v>520201</v>
      </c>
      <c r="G29" s="58" t="str">
        <f>IFERROR(VLOOKUP(D29,'Master List'!D:H,4,FALSE),"NA")</f>
        <v>520201</v>
      </c>
      <c r="H29" s="39" t="str">
        <f>IFERROR(VLOOKUP(D29,'Master List'!D:H,5,FALSE),"NA")</f>
        <v>Business Administration and Management, General.</v>
      </c>
      <c r="I29" s="19"/>
      <c r="J29" s="20"/>
      <c r="K29" s="20"/>
      <c r="L29" s="21"/>
    </row>
    <row r="30" spans="1:12" x14ac:dyDescent="0.3">
      <c r="A30" s="33">
        <v>10</v>
      </c>
      <c r="B30" s="33" t="s">
        <v>2156</v>
      </c>
      <c r="C30" s="34" t="s">
        <v>886</v>
      </c>
      <c r="D30" s="51" t="s">
        <v>154</v>
      </c>
      <c r="E30" s="61" t="str">
        <f>IFERROR(VLOOKUP(D30,'Master List'!D:H,2,FALSE),"NA")</f>
        <v>520201</v>
      </c>
      <c r="F30" s="62" t="str">
        <f>IFERROR(VLOOKUP(D30,'Master List'!D:H,3,FALSE),"NA")</f>
        <v>520201</v>
      </c>
      <c r="G30" s="58" t="str">
        <f>IFERROR(VLOOKUP(D30,'Master List'!D:H,4,FALSE),"NA")</f>
        <v>520201</v>
      </c>
      <c r="H30" s="39" t="str">
        <f>IFERROR(VLOOKUP(D30,'Master List'!D:H,5,FALSE),"NA")</f>
        <v>Business Administration and Management, General.</v>
      </c>
      <c r="I30" s="19"/>
      <c r="J30" s="20"/>
      <c r="K30" s="20"/>
      <c r="L30" s="21"/>
    </row>
    <row r="31" spans="1:12" x14ac:dyDescent="0.3">
      <c r="A31" s="33">
        <v>10</v>
      </c>
      <c r="B31" s="33" t="s">
        <v>2156</v>
      </c>
      <c r="C31" s="34" t="s">
        <v>886</v>
      </c>
      <c r="D31" s="51" t="s">
        <v>37</v>
      </c>
      <c r="E31" s="61" t="str">
        <f>IFERROR(VLOOKUP(D31,'Master List'!D:H,2,FALSE),"NA")</f>
        <v>520204</v>
      </c>
      <c r="F31" s="62" t="str">
        <f>IFERROR(VLOOKUP(D31,'Master List'!D:H,3,FALSE),"NA")</f>
        <v>520204</v>
      </c>
      <c r="G31" s="58" t="str">
        <f>IFERROR(VLOOKUP(D31,'Master List'!D:H,4,FALSE),"NA")</f>
        <v>520204</v>
      </c>
      <c r="H31" s="39" t="str">
        <f>IFERROR(VLOOKUP(D31,'Master List'!D:H,5,FALSE),"NA")</f>
        <v>Office Management and Supervision.</v>
      </c>
      <c r="I31" s="19"/>
      <c r="J31" s="20"/>
      <c r="K31" s="20"/>
      <c r="L31" s="21"/>
    </row>
    <row r="32" spans="1:12" x14ac:dyDescent="0.3">
      <c r="A32" s="33">
        <v>10</v>
      </c>
      <c r="B32" s="33" t="s">
        <v>2156</v>
      </c>
      <c r="C32" s="34" t="s">
        <v>886</v>
      </c>
      <c r="D32" s="51" t="s">
        <v>226</v>
      </c>
      <c r="E32" s="61" t="str">
        <f>IFERROR(VLOOKUP(D32,'Master List'!D:H,2,FALSE),"NA")</f>
        <v>520204</v>
      </c>
      <c r="F32" s="62" t="str">
        <f>IFERROR(VLOOKUP(D32,'Master List'!D:H,3,FALSE),"NA")</f>
        <v>520204</v>
      </c>
      <c r="G32" s="58" t="str">
        <f>IFERROR(VLOOKUP(D32,'Master List'!D:H,4,FALSE),"NA")</f>
        <v>520204</v>
      </c>
      <c r="H32" s="39" t="str">
        <f>IFERROR(VLOOKUP(D32,'Master List'!D:H,5,FALSE),"NA")</f>
        <v>Office Management and Supervision.</v>
      </c>
      <c r="I32" s="19"/>
      <c r="J32" s="20"/>
      <c r="K32" s="20"/>
      <c r="L32" s="21"/>
    </row>
    <row r="33" spans="1:12" x14ac:dyDescent="0.3">
      <c r="A33" s="33">
        <v>10</v>
      </c>
      <c r="B33" s="33" t="s">
        <v>2156</v>
      </c>
      <c r="C33" s="34" t="s">
        <v>886</v>
      </c>
      <c r="D33" s="51" t="s">
        <v>227</v>
      </c>
      <c r="E33" s="61" t="str">
        <f>IFERROR(VLOOKUP(D33,'Master List'!D:H,2,FALSE),"NA")</f>
        <v>520302</v>
      </c>
      <c r="F33" s="62" t="str">
        <f>IFERROR(VLOOKUP(D33,'Master List'!D:H,3,FALSE),"NA")</f>
        <v>520302</v>
      </c>
      <c r="G33" s="58" t="str">
        <f>IFERROR(VLOOKUP(D33,'Master List'!D:H,4,FALSE),"NA")</f>
        <v>520302</v>
      </c>
      <c r="H33" s="39" t="str">
        <f>IFERROR(VLOOKUP(D33,'Master List'!D:H,5,FALSE),"NA")</f>
        <v>Accounting Technology/Technician and Bookkeeping.</v>
      </c>
      <c r="I33" s="19"/>
      <c r="J33" s="20"/>
      <c r="K33" s="20"/>
      <c r="L33" s="21"/>
    </row>
    <row r="34" spans="1:12" x14ac:dyDescent="0.3">
      <c r="A34" s="33">
        <v>10</v>
      </c>
      <c r="B34" s="33" t="s">
        <v>2156</v>
      </c>
      <c r="C34" s="34" t="s">
        <v>886</v>
      </c>
      <c r="D34" s="51" t="s">
        <v>228</v>
      </c>
      <c r="E34" s="61" t="str">
        <f>IFERROR(VLOOKUP(D34,'Master List'!D:H,2,FALSE),"NA")</f>
        <v>520302</v>
      </c>
      <c r="F34" s="62" t="str">
        <f>IFERROR(VLOOKUP(D34,'Master List'!D:H,3,FALSE),"NA")</f>
        <v>520302</v>
      </c>
      <c r="G34" s="58" t="str">
        <f>IFERROR(VLOOKUP(D34,'Master List'!D:H,4,FALSE),"NA")</f>
        <v>520302</v>
      </c>
      <c r="H34" s="39" t="str">
        <f>IFERROR(VLOOKUP(D34,'Master List'!D:H,5,FALSE),"NA")</f>
        <v>Accounting Technology/Technician and Bookkeeping.</v>
      </c>
      <c r="I34" s="19"/>
      <c r="J34" s="20"/>
      <c r="K34" s="20"/>
      <c r="L34" s="21"/>
    </row>
    <row r="35" spans="1:12" x14ac:dyDescent="0.3">
      <c r="A35" s="33">
        <v>10</v>
      </c>
      <c r="B35" s="33" t="s">
        <v>2156</v>
      </c>
      <c r="C35" s="34" t="s">
        <v>886</v>
      </c>
      <c r="D35" s="51" t="s">
        <v>40</v>
      </c>
      <c r="E35" s="61" t="str">
        <f>IFERROR(VLOOKUP(D35,'Master List'!D:H,2,FALSE),"NA")</f>
        <v>520302</v>
      </c>
      <c r="F35" s="62" t="str">
        <f>IFERROR(VLOOKUP(D35,'Master List'!D:H,3,FALSE),"NA")</f>
        <v>520302</v>
      </c>
      <c r="G35" s="58" t="str">
        <f>IFERROR(VLOOKUP(D35,'Master List'!D:H,4,FALSE),"NA")</f>
        <v>520302</v>
      </c>
      <c r="H35" s="39" t="str">
        <f>IFERROR(VLOOKUP(D35,'Master List'!D:H,5,FALSE),"NA")</f>
        <v>Accounting Technology/Technician and Bookkeeping.</v>
      </c>
      <c r="I35" s="19"/>
      <c r="J35" s="20"/>
      <c r="K35" s="20"/>
      <c r="L35" s="21"/>
    </row>
    <row r="36" spans="1:12" x14ac:dyDescent="0.3">
      <c r="A36" s="33">
        <v>10</v>
      </c>
      <c r="B36" s="33" t="s">
        <v>2156</v>
      </c>
      <c r="C36" s="34" t="s">
        <v>886</v>
      </c>
      <c r="D36" s="51" t="s">
        <v>229</v>
      </c>
      <c r="E36" s="61" t="str">
        <f>IFERROR(VLOOKUP(D36,'Master List'!D:H,2,FALSE),"NA")</f>
        <v>520407</v>
      </c>
      <c r="F36" s="62" t="str">
        <f>IFERROR(VLOOKUP(D36,'Master List'!D:H,3,FALSE),"NA")</f>
        <v>520407</v>
      </c>
      <c r="G36" s="58" t="str">
        <f>IFERROR(VLOOKUP(D36,'Master List'!D:H,4,FALSE),"NA")</f>
        <v>520407</v>
      </c>
      <c r="H36" s="39" t="str">
        <f>IFERROR(VLOOKUP(D36,'Master List'!D:H,5,FALSE),"NA")</f>
        <v>Business/Office Automation/Technology/Data Entry.</v>
      </c>
      <c r="I36" s="19"/>
      <c r="J36" s="20"/>
      <c r="K36" s="20"/>
      <c r="L36" s="21"/>
    </row>
    <row r="37" spans="1:12" x14ac:dyDescent="0.3">
      <c r="A37" s="33">
        <v>10</v>
      </c>
      <c r="B37" s="33" t="s">
        <v>2156</v>
      </c>
      <c r="C37" s="34" t="s">
        <v>886</v>
      </c>
      <c r="D37" s="51" t="s">
        <v>232</v>
      </c>
      <c r="E37" s="61" t="str">
        <f>IFERROR(VLOOKUP(D37,'Master List'!D:H,2,FALSE),"NA")</f>
        <v>520701</v>
      </c>
      <c r="F37" s="62" t="str">
        <f>IFERROR(VLOOKUP(D37,'Master List'!D:H,3,FALSE),"NA")</f>
        <v>520701</v>
      </c>
      <c r="G37" s="58" t="str">
        <f>IFERROR(VLOOKUP(D37,'Master List'!D:H,4,FALSE),"NA")</f>
        <v>520701</v>
      </c>
      <c r="H37" s="39" t="str">
        <f>IFERROR(VLOOKUP(D37,'Master List'!D:H,5,FALSE),"NA")</f>
        <v>Entrepreneurship/Entrepreneurial Studies.</v>
      </c>
      <c r="I37" s="19"/>
      <c r="J37" s="20"/>
      <c r="K37" s="20"/>
      <c r="L37" s="21"/>
    </row>
    <row r="38" spans="1:12" x14ac:dyDescent="0.3">
      <c r="A38" s="33">
        <v>10</v>
      </c>
      <c r="B38" s="33" t="s">
        <v>2156</v>
      </c>
      <c r="C38" s="34" t="s">
        <v>886</v>
      </c>
      <c r="D38" s="51" t="s">
        <v>394</v>
      </c>
      <c r="E38" s="61" t="str">
        <f>IFERROR(VLOOKUP(D38,'Master List'!D:H,2,FALSE),"NA")</f>
        <v>520703</v>
      </c>
      <c r="F38" s="62" t="str">
        <f>IFERROR(VLOOKUP(D38,'Master List'!D:H,3,FALSE),"NA")</f>
        <v>520703</v>
      </c>
      <c r="G38" s="58" t="str">
        <f>IFERROR(VLOOKUP(D38,'Master List'!D:H,4,FALSE),"NA")</f>
        <v>520703</v>
      </c>
      <c r="H38" s="39" t="str">
        <f>IFERROR(VLOOKUP(D38,'Master List'!D:H,5,FALSE),"NA")</f>
        <v>Small Business Administration/Management.</v>
      </c>
      <c r="I38" s="19"/>
      <c r="J38" s="20"/>
      <c r="K38" s="20"/>
      <c r="L38" s="21"/>
    </row>
    <row r="39" spans="1:12" x14ac:dyDescent="0.3">
      <c r="A39" s="33">
        <v>10</v>
      </c>
      <c r="B39" s="33" t="s">
        <v>2156</v>
      </c>
      <c r="C39" s="34" t="s">
        <v>886</v>
      </c>
      <c r="D39" s="51" t="s">
        <v>233</v>
      </c>
      <c r="E39" s="61" t="str">
        <f>IFERROR(VLOOKUP(D39,'Master List'!D:H,2,FALSE),"NA")</f>
        <v>520703</v>
      </c>
      <c r="F39" s="62" t="str">
        <f>IFERROR(VLOOKUP(D39,'Master List'!D:H,3,FALSE),"NA")</f>
        <v>520703</v>
      </c>
      <c r="G39" s="58" t="str">
        <f>IFERROR(VLOOKUP(D39,'Master List'!D:H,4,FALSE),"NA")</f>
        <v>520703</v>
      </c>
      <c r="H39" s="39" t="str">
        <f>IFERROR(VLOOKUP(D39,'Master List'!D:H,5,FALSE),"NA")</f>
        <v>Small Business Administration/Management.</v>
      </c>
      <c r="I39" s="19"/>
      <c r="J39" s="20"/>
      <c r="K39" s="20"/>
      <c r="L39" s="21"/>
    </row>
    <row r="40" spans="1:12" x14ac:dyDescent="0.3">
      <c r="A40" s="33">
        <v>10</v>
      </c>
      <c r="B40" s="33" t="s">
        <v>2156</v>
      </c>
      <c r="C40" s="34" t="s">
        <v>886</v>
      </c>
      <c r="D40" s="51" t="s">
        <v>544</v>
      </c>
      <c r="E40" s="61" t="str">
        <f>IFERROR(VLOOKUP(D40,'Master List'!D:H,2,FALSE),"NA")</f>
        <v>090402</v>
      </c>
      <c r="F40" s="62" t="str">
        <f>IFERROR(VLOOKUP(D40,'Master List'!D:H,3,FALSE),"NA")</f>
        <v>090402</v>
      </c>
      <c r="G40" s="58" t="str">
        <f>IFERROR(VLOOKUP(D40,'Master List'!D:H,4,FALSE),"NA")</f>
        <v>090402</v>
      </c>
      <c r="H40" s="39" t="str">
        <f>IFERROR(VLOOKUP(D40,'Master List'!D:H,5,FALSE),"NA")</f>
        <v>Broadcast Journalism.</v>
      </c>
      <c r="I40" s="19"/>
      <c r="J40" s="20"/>
      <c r="K40" s="20"/>
      <c r="L40" s="21"/>
    </row>
    <row r="41" spans="1:12" x14ac:dyDescent="0.3">
      <c r="A41" s="33">
        <v>10</v>
      </c>
      <c r="B41" s="33" t="s">
        <v>2156</v>
      </c>
      <c r="C41" s="34" t="s">
        <v>886</v>
      </c>
      <c r="D41" s="51" t="s">
        <v>511</v>
      </c>
      <c r="E41" s="61" t="str">
        <f>IFERROR(VLOOKUP(D41,'Master List'!D:H,2,FALSE),"NA")</f>
        <v>090702</v>
      </c>
      <c r="F41" s="62" t="str">
        <f>IFERROR(VLOOKUP(D41,'Master List'!D:H,3,FALSE),"NA")</f>
        <v>090702</v>
      </c>
      <c r="G41" s="58" t="str">
        <f>IFERROR(VLOOKUP(D41,'Master List'!D:H,4,FALSE),"NA")</f>
        <v>090702</v>
      </c>
      <c r="H41" s="39" t="str">
        <f>IFERROR(VLOOKUP(D41,'Master List'!D:H,5,FALSE),"NA")</f>
        <v>Digital Communication and Media/Multimedia.</v>
      </c>
      <c r="I41" s="19"/>
      <c r="J41" s="20"/>
      <c r="K41" s="20"/>
      <c r="L41" s="21"/>
    </row>
    <row r="42" spans="1:12" x14ac:dyDescent="0.3">
      <c r="A42" s="33">
        <v>10</v>
      </c>
      <c r="B42" s="33" t="s">
        <v>2156</v>
      </c>
      <c r="C42" s="34" t="s">
        <v>886</v>
      </c>
      <c r="D42" s="51" t="s">
        <v>625</v>
      </c>
      <c r="E42" s="61" t="str">
        <f>IFERROR(VLOOKUP(D42,'Master List'!D:H,2,FALSE),"NA")</f>
        <v>090702</v>
      </c>
      <c r="F42" s="62" t="str">
        <f>IFERROR(VLOOKUP(D42,'Master List'!D:H,3,FALSE),"NA")</f>
        <v>090702</v>
      </c>
      <c r="G42" s="58" t="str">
        <f>IFERROR(VLOOKUP(D42,'Master List'!D:H,4,FALSE),"NA")</f>
        <v>090702</v>
      </c>
      <c r="H42" s="39" t="str">
        <f>IFERROR(VLOOKUP(D42,'Master List'!D:H,5,FALSE),"NA")</f>
        <v>Digital Communication and Media/Multimedia.</v>
      </c>
      <c r="I42" s="19"/>
      <c r="J42" s="20"/>
      <c r="K42" s="20"/>
      <c r="L42" s="21"/>
    </row>
    <row r="43" spans="1:12" x14ac:dyDescent="0.3">
      <c r="A43" s="33">
        <v>10</v>
      </c>
      <c r="B43" s="33" t="s">
        <v>2156</v>
      </c>
      <c r="C43" s="34" t="s">
        <v>886</v>
      </c>
      <c r="D43" s="51" t="s">
        <v>43</v>
      </c>
      <c r="E43" s="61" t="str">
        <f>IFERROR(VLOOKUP(D43,'Master List'!D:H,2,FALSE),"NA")</f>
        <v>100105</v>
      </c>
      <c r="F43" s="62" t="str">
        <f>IFERROR(VLOOKUP(D43,'Master List'!D:H,3,FALSE),"NA")</f>
        <v>100105</v>
      </c>
      <c r="G43" s="58" t="str">
        <f>IFERROR(VLOOKUP(D43,'Master List'!D:H,4,FALSE),"NA")</f>
        <v>100105</v>
      </c>
      <c r="H43" s="39" t="str">
        <f>IFERROR(VLOOKUP(D43,'Master List'!D:H,5,FALSE),"NA")</f>
        <v>Communications Technology/Technician.</v>
      </c>
      <c r="I43" s="19"/>
      <c r="J43" s="20"/>
      <c r="K43" s="20"/>
      <c r="L43" s="21"/>
    </row>
    <row r="44" spans="1:12" x14ac:dyDescent="0.3">
      <c r="A44" s="33">
        <v>10</v>
      </c>
      <c r="B44" s="33" t="s">
        <v>2156</v>
      </c>
      <c r="C44" s="34" t="s">
        <v>886</v>
      </c>
      <c r="D44" s="51" t="s">
        <v>427</v>
      </c>
      <c r="E44" s="61" t="str">
        <f>IFERROR(VLOOKUP(D44,'Master List'!D:H,2,FALSE),"NA")</f>
        <v>100202</v>
      </c>
      <c r="F44" s="62" t="str">
        <f>IFERROR(VLOOKUP(D44,'Master List'!D:H,3,FALSE),"NA")</f>
        <v>100202</v>
      </c>
      <c r="G44" s="58" t="str">
        <f>IFERROR(VLOOKUP(D44,'Master List'!D:H,4,FALSE),"NA")</f>
        <v>100202</v>
      </c>
      <c r="H44" s="39" t="str">
        <f>IFERROR(VLOOKUP(D44,'Master List'!D:H,5,FALSE),"NA")</f>
        <v>Radio and Television Broadcasting Technology/Technician.</v>
      </c>
      <c r="I44" s="19"/>
      <c r="J44" s="20"/>
      <c r="K44" s="20"/>
      <c r="L44" s="21"/>
    </row>
    <row r="45" spans="1:12" x14ac:dyDescent="0.3">
      <c r="A45" s="33">
        <v>10</v>
      </c>
      <c r="B45" s="33" t="s">
        <v>2156</v>
      </c>
      <c r="C45" s="34" t="s">
        <v>886</v>
      </c>
      <c r="D45" s="51" t="s">
        <v>550</v>
      </c>
      <c r="E45" s="61" t="str">
        <f>IFERROR(VLOOKUP(D45,'Master List'!D:H,2,FALSE),"NA")</f>
        <v>100304</v>
      </c>
      <c r="F45" s="62" t="str">
        <f>IFERROR(VLOOKUP(D45,'Master List'!D:H,3,FALSE),"NA")</f>
        <v>100304</v>
      </c>
      <c r="G45" s="58">
        <f>IFERROR(VLOOKUP(D45,'Master List'!D:H,4,FALSE),"NA")</f>
        <v>100202</v>
      </c>
      <c r="H45" s="39" t="str">
        <f>IFERROR(VLOOKUP(D45,'Master List'!D:H,5,FALSE),"NA")</f>
        <v>Animation, Interactive Technology, Video Graphics, and Special Effects.</v>
      </c>
      <c r="I45" s="19"/>
      <c r="J45" s="20"/>
      <c r="K45" s="20"/>
      <c r="L45" s="21"/>
    </row>
    <row r="46" spans="1:12" x14ac:dyDescent="0.3">
      <c r="A46" s="33">
        <v>10</v>
      </c>
      <c r="B46" s="33" t="s">
        <v>2156</v>
      </c>
      <c r="C46" s="34" t="s">
        <v>886</v>
      </c>
      <c r="D46" s="51" t="s">
        <v>237</v>
      </c>
      <c r="E46" s="61" t="str">
        <f>IFERROR(VLOOKUP(D46,'Master List'!D:H,2,FALSE),"NA")</f>
        <v>110803</v>
      </c>
      <c r="F46" s="62" t="str">
        <f>IFERROR(VLOOKUP(D46,'Master List'!D:H,3,FALSE),"NA")</f>
        <v>110803</v>
      </c>
      <c r="G46" s="58" t="str">
        <f>IFERROR(VLOOKUP(D46,'Master List'!D:H,4,FALSE),"NA")</f>
        <v>110803</v>
      </c>
      <c r="H46" s="39" t="str">
        <f>IFERROR(VLOOKUP(D46,'Master List'!D:H,5,FALSE),"NA")</f>
        <v>Computer Graphics.</v>
      </c>
      <c r="I46" s="19"/>
      <c r="J46" s="20"/>
      <c r="K46" s="20"/>
      <c r="L46" s="21"/>
    </row>
    <row r="47" spans="1:12" x14ac:dyDescent="0.3">
      <c r="A47" s="33">
        <v>10</v>
      </c>
      <c r="B47" s="33" t="s">
        <v>2156</v>
      </c>
      <c r="C47" s="34" t="s">
        <v>886</v>
      </c>
      <c r="D47" s="51" t="s">
        <v>46</v>
      </c>
      <c r="E47" s="61" t="str">
        <f>IFERROR(VLOOKUP(D47,'Master List'!D:H,2,FALSE),"NA")</f>
        <v>120503</v>
      </c>
      <c r="F47" s="62" t="str">
        <f>IFERROR(VLOOKUP(D47,'Master List'!D:H,3,FALSE),"NA")</f>
        <v>120503</v>
      </c>
      <c r="G47" s="58" t="str">
        <f>IFERROR(VLOOKUP(D47,'Master List'!D:H,4,FALSE),"NA")</f>
        <v>120503</v>
      </c>
      <c r="H47" s="39" t="str">
        <f>IFERROR(VLOOKUP(D47,'Master List'!D:H,5,FALSE),"NA")</f>
        <v>Culinary Arts/Chef Training.</v>
      </c>
      <c r="I47" s="19"/>
      <c r="J47" s="20"/>
      <c r="K47" s="20"/>
      <c r="L47" s="21"/>
    </row>
    <row r="48" spans="1:12" x14ac:dyDescent="0.3">
      <c r="A48" s="33">
        <v>10</v>
      </c>
      <c r="B48" s="33" t="s">
        <v>2156</v>
      </c>
      <c r="C48" s="34" t="s">
        <v>886</v>
      </c>
      <c r="D48" s="51" t="s">
        <v>49</v>
      </c>
      <c r="E48" s="61" t="str">
        <f>IFERROR(VLOOKUP(D48,'Master List'!D:H,2,FALSE),"NA")</f>
        <v>120503</v>
      </c>
      <c r="F48" s="62" t="str">
        <f>IFERROR(VLOOKUP(D48,'Master List'!D:H,3,FALSE),"NA")</f>
        <v>120503</v>
      </c>
      <c r="G48" s="58" t="str">
        <f>IFERROR(VLOOKUP(D48,'Master List'!D:H,4,FALSE),"NA")</f>
        <v>120503</v>
      </c>
      <c r="H48" s="39" t="str">
        <f>IFERROR(VLOOKUP(D48,'Master List'!D:H,5,FALSE),"NA")</f>
        <v>Culinary Arts/Chef Training.</v>
      </c>
      <c r="I48" s="19"/>
      <c r="J48" s="20"/>
      <c r="K48" s="20"/>
      <c r="L48" s="21"/>
    </row>
    <row r="49" spans="1:12" x14ac:dyDescent="0.3">
      <c r="A49" s="33">
        <v>10</v>
      </c>
      <c r="B49" s="33" t="s">
        <v>2156</v>
      </c>
      <c r="C49" s="34" t="s">
        <v>886</v>
      </c>
      <c r="D49" s="51" t="s">
        <v>246</v>
      </c>
      <c r="E49" s="61" t="str">
        <f>IFERROR(VLOOKUP(D49,'Master List'!D:H,2,FALSE),"NA")</f>
        <v>150000</v>
      </c>
      <c r="F49" s="62" t="str">
        <f>IFERROR(VLOOKUP(D49,'Master List'!D:H,3,FALSE),"NA")</f>
        <v>150000</v>
      </c>
      <c r="G49" s="58" t="str">
        <f>IFERROR(VLOOKUP(D49,'Master List'!D:H,4,FALSE),"NA")</f>
        <v>150000</v>
      </c>
      <c r="H49" s="39" t="str">
        <f>IFERROR(VLOOKUP(D49,'Master List'!D:H,5,FALSE),"NA")</f>
        <v>Engineering Technologies/Technicians, General.</v>
      </c>
      <c r="I49" s="19"/>
      <c r="J49" s="20"/>
      <c r="K49" s="20"/>
      <c r="L49" s="21"/>
    </row>
    <row r="50" spans="1:12" x14ac:dyDescent="0.3">
      <c r="A50" s="33">
        <v>10</v>
      </c>
      <c r="B50" s="33" t="s">
        <v>2156</v>
      </c>
      <c r="C50" s="34" t="s">
        <v>886</v>
      </c>
      <c r="D50" s="51" t="s">
        <v>556</v>
      </c>
      <c r="E50" s="61" t="str">
        <f>IFERROR(VLOOKUP(D50,'Master List'!D:H,2,FALSE),"NA")</f>
        <v>150303</v>
      </c>
      <c r="F50" s="62" t="str">
        <f>IFERROR(VLOOKUP(D50,'Master List'!D:H,3,FALSE),"NA")</f>
        <v>150303</v>
      </c>
      <c r="G50" s="58" t="str">
        <f>IFERROR(VLOOKUP(D50,'Master List'!D:H,4,FALSE),"NA")</f>
        <v>150303</v>
      </c>
      <c r="H50" s="39" t="str">
        <f>IFERROR(VLOOKUP(D50,'Master List'!D:H,5,FALSE),"NA")</f>
        <v>Electrical, Electronic, and Communications Engineering Technology/Technician.</v>
      </c>
      <c r="I50" s="19"/>
      <c r="J50" s="20"/>
      <c r="K50" s="20"/>
      <c r="L50" s="21"/>
    </row>
    <row r="51" spans="1:12" x14ac:dyDescent="0.3">
      <c r="A51" s="33">
        <v>10</v>
      </c>
      <c r="B51" s="33" t="s">
        <v>2156</v>
      </c>
      <c r="C51" s="34" t="s">
        <v>886</v>
      </c>
      <c r="D51" s="51" t="s">
        <v>558</v>
      </c>
      <c r="E51" s="61" t="str">
        <f>IFERROR(VLOOKUP(D51,'Master List'!D:H,2,FALSE),"NA")</f>
        <v>150304</v>
      </c>
      <c r="F51" s="62" t="str">
        <f>IFERROR(VLOOKUP(D51,'Master List'!D:H,3,FALSE),"NA")</f>
        <v>150304</v>
      </c>
      <c r="G51" s="58" t="str">
        <f>IFERROR(VLOOKUP(D51,'Master List'!D:H,4,FALSE),"NA")</f>
        <v>150304</v>
      </c>
      <c r="H51" s="39" t="str">
        <f>IFERROR(VLOOKUP(D51,'Master List'!D:H,5,FALSE),"NA")</f>
        <v>Laser and Optical Technology/Technician.</v>
      </c>
      <c r="I51" s="19"/>
      <c r="J51" s="20"/>
      <c r="K51" s="20"/>
      <c r="L51" s="21"/>
    </row>
    <row r="52" spans="1:12" x14ac:dyDescent="0.3">
      <c r="A52" s="33">
        <v>10</v>
      </c>
      <c r="B52" s="33" t="s">
        <v>2156</v>
      </c>
      <c r="C52" s="34" t="s">
        <v>886</v>
      </c>
      <c r="D52" s="51" t="s">
        <v>561</v>
      </c>
      <c r="E52" s="61" t="str">
        <f>IFERROR(VLOOKUP(D52,'Master List'!D:H,2,FALSE),"NA")</f>
        <v>150405</v>
      </c>
      <c r="F52" s="62" t="str">
        <f>IFERROR(VLOOKUP(D52,'Master List'!D:H,3,FALSE),"NA")</f>
        <v>150405</v>
      </c>
      <c r="G52" s="58" t="str">
        <f>IFERROR(VLOOKUP(D52,'Master List'!D:H,4,FALSE),"NA")</f>
        <v>150405</v>
      </c>
      <c r="H52" s="39" t="str">
        <f>IFERROR(VLOOKUP(D52,'Master List'!D:H,5,FALSE),"NA")</f>
        <v>Robotics Technology/Technician.</v>
      </c>
      <c r="I52" s="19"/>
      <c r="J52" s="20"/>
      <c r="K52" s="20"/>
      <c r="L52" s="21"/>
    </row>
    <row r="53" spans="1:12" x14ac:dyDescent="0.3">
      <c r="A53" s="33">
        <v>10</v>
      </c>
      <c r="B53" s="33" t="s">
        <v>2156</v>
      </c>
      <c r="C53" s="34" t="s">
        <v>886</v>
      </c>
      <c r="D53" s="51" t="s">
        <v>56</v>
      </c>
      <c r="E53" s="61" t="str">
        <f>IFERROR(VLOOKUP(D53,'Master List'!D:H,2,FALSE),"NA")</f>
        <v>150406</v>
      </c>
      <c r="F53" s="62" t="str">
        <f>IFERROR(VLOOKUP(D53,'Master List'!D:H,3,FALSE),"NA")</f>
        <v>150406</v>
      </c>
      <c r="G53" s="58" t="str">
        <f>IFERROR(VLOOKUP(D53,'Master List'!D:H,4,FALSE),"NA")</f>
        <v>150406</v>
      </c>
      <c r="H53" s="39" t="str">
        <f>IFERROR(VLOOKUP(D53,'Master List'!D:H,5,FALSE),"NA")</f>
        <v>Automation Engineer Technology/Technician.</v>
      </c>
      <c r="I53" s="19"/>
      <c r="J53" s="20"/>
      <c r="K53" s="20"/>
      <c r="L53" s="21"/>
    </row>
    <row r="54" spans="1:12" x14ac:dyDescent="0.3">
      <c r="A54" s="33">
        <v>10</v>
      </c>
      <c r="B54" s="33" t="s">
        <v>2156</v>
      </c>
      <c r="C54" s="34" t="s">
        <v>886</v>
      </c>
      <c r="D54" s="51" t="s">
        <v>781</v>
      </c>
      <c r="E54" s="61" t="str">
        <f>IFERROR(VLOOKUP(D54,'Master List'!D:H,2,FALSE),"NA")</f>
        <v>150613</v>
      </c>
      <c r="F54" s="62" t="str">
        <f>IFERROR(VLOOKUP(D54,'Master List'!D:H,3,FALSE),"NA")</f>
        <v>150613</v>
      </c>
      <c r="G54" s="58" t="str">
        <f>IFERROR(VLOOKUP(D54,'Master List'!D:H,4,FALSE),"NA")</f>
        <v>150613</v>
      </c>
      <c r="H54" s="39" t="str">
        <f>IFERROR(VLOOKUP(D54,'Master List'!D:H,5,FALSE),"NA")</f>
        <v>Manufacturing Engineering Technology/Technician.</v>
      </c>
      <c r="I54" s="19"/>
      <c r="J54" s="20"/>
      <c r="K54" s="20"/>
      <c r="L54" s="21"/>
    </row>
    <row r="55" spans="1:12" x14ac:dyDescent="0.3">
      <c r="A55" s="33">
        <v>10</v>
      </c>
      <c r="B55" s="33" t="s">
        <v>2156</v>
      </c>
      <c r="C55" s="34" t="s">
        <v>886</v>
      </c>
      <c r="D55" s="51" t="s">
        <v>252</v>
      </c>
      <c r="E55" s="61" t="str">
        <f>IFERROR(VLOOKUP(D55,'Master List'!D:H,2,FALSE),"NA")</f>
        <v>150613</v>
      </c>
      <c r="F55" s="62" t="str">
        <f>IFERROR(VLOOKUP(D55,'Master List'!D:H,3,FALSE),"NA")</f>
        <v>150613</v>
      </c>
      <c r="G55" s="58" t="str">
        <f>IFERROR(VLOOKUP(D55,'Master List'!D:H,4,FALSE),"NA")</f>
        <v>150613</v>
      </c>
      <c r="H55" s="39" t="str">
        <f>IFERROR(VLOOKUP(D55,'Master List'!D:H,5,FALSE),"NA")</f>
        <v>Manufacturing Engineering Technology/Technician.</v>
      </c>
      <c r="I55" s="19"/>
      <c r="J55" s="20"/>
      <c r="K55" s="20"/>
      <c r="L55" s="21"/>
    </row>
    <row r="56" spans="1:12" x14ac:dyDescent="0.3">
      <c r="A56" s="33">
        <v>10</v>
      </c>
      <c r="B56" s="33" t="s">
        <v>2156</v>
      </c>
      <c r="C56" s="34" t="s">
        <v>886</v>
      </c>
      <c r="D56" s="51" t="s">
        <v>259</v>
      </c>
      <c r="E56" s="61" t="str">
        <f>IFERROR(VLOOKUP(D56,'Master List'!D:H,2,FALSE),"NA")</f>
        <v>151301</v>
      </c>
      <c r="F56" s="62" t="str">
        <f>IFERROR(VLOOKUP(D56,'Master List'!D:H,3,FALSE),"NA")</f>
        <v>151301</v>
      </c>
      <c r="G56" s="58">
        <f>IFERROR(VLOOKUP(D56,'Master List'!D:H,4,FALSE),"NA")</f>
        <v>151302</v>
      </c>
      <c r="H56" s="39" t="str">
        <f>IFERROR(VLOOKUP(D56,'Master List'!D:H,5,FALSE),"NA")</f>
        <v>CAD/CADD Drafting and/or Design Technology/Technician</v>
      </c>
      <c r="I56" s="19"/>
      <c r="J56" s="20"/>
      <c r="K56" s="20"/>
      <c r="L56" s="21"/>
    </row>
    <row r="57" spans="1:12" x14ac:dyDescent="0.3">
      <c r="A57" s="33">
        <v>10</v>
      </c>
      <c r="B57" s="33" t="s">
        <v>2156</v>
      </c>
      <c r="C57" s="34" t="s">
        <v>886</v>
      </c>
      <c r="D57" s="51" t="s">
        <v>262</v>
      </c>
      <c r="E57" s="61" t="str">
        <f>IFERROR(VLOOKUP(D57,'Master List'!D:H,2,FALSE),"NA")</f>
        <v>151302</v>
      </c>
      <c r="F57" s="62" t="str">
        <f>IFERROR(VLOOKUP(D57,'Master List'!D:H,3,FALSE),"NA")</f>
        <v>151302</v>
      </c>
      <c r="G57" s="58" t="str">
        <f>IFERROR(VLOOKUP(D57,'Master List'!D:H,4,FALSE),"NA")</f>
        <v>151302</v>
      </c>
      <c r="H57" s="39" t="str">
        <f>IFERROR(VLOOKUP(D57,'Master List'!D:H,5,FALSE),"NA")</f>
        <v>CAD/CADD Drafting and/or Design Technology/Technician.</v>
      </c>
      <c r="I57" s="19"/>
      <c r="J57" s="20"/>
      <c r="K57" s="20"/>
      <c r="L57" s="21"/>
    </row>
    <row r="58" spans="1:12" x14ac:dyDescent="0.3">
      <c r="A58" s="33">
        <v>10</v>
      </c>
      <c r="B58" s="33" t="s">
        <v>2156</v>
      </c>
      <c r="C58" s="34" t="s">
        <v>886</v>
      </c>
      <c r="D58" s="51" t="s">
        <v>265</v>
      </c>
      <c r="E58" s="61" t="str">
        <f>IFERROR(VLOOKUP(D58,'Master List'!D:H,2,FALSE),"NA")</f>
        <v>261201</v>
      </c>
      <c r="F58" s="62" t="str">
        <f>IFERROR(VLOOKUP(D58,'Master List'!D:H,3,FALSE),"NA")</f>
        <v>261201</v>
      </c>
      <c r="G58" s="58" t="str">
        <f>IFERROR(VLOOKUP(D58,'Master List'!D:H,4,FALSE),"NA")</f>
        <v>261201</v>
      </c>
      <c r="H58" s="39" t="str">
        <f>IFERROR(VLOOKUP(D58,'Master List'!D:H,5,FALSE),"NA")</f>
        <v>Biotechnology.</v>
      </c>
      <c r="I58" s="19"/>
      <c r="J58" s="20"/>
      <c r="K58" s="20"/>
      <c r="L58" s="21"/>
    </row>
    <row r="59" spans="1:12" x14ac:dyDescent="0.3">
      <c r="A59" s="33">
        <v>10</v>
      </c>
      <c r="B59" s="33" t="s">
        <v>2156</v>
      </c>
      <c r="C59" s="34" t="s">
        <v>886</v>
      </c>
      <c r="D59" s="51" t="s">
        <v>673</v>
      </c>
      <c r="E59" s="61" t="str">
        <f>IFERROR(VLOOKUP(D59,'Master List'!D:H,2,FALSE),"NA")</f>
        <v>303301</v>
      </c>
      <c r="F59" s="62" t="str">
        <f>IFERROR(VLOOKUP(D59,'Master List'!D:H,3,FALSE),"NA")</f>
        <v>303301</v>
      </c>
      <c r="G59" s="58" t="str">
        <f>IFERROR(VLOOKUP(D59,'Master List'!D:H,4,FALSE),"NA")</f>
        <v>303301</v>
      </c>
      <c r="H59" s="39" t="str">
        <f>IFERROR(VLOOKUP(D59,'Master List'!D:H,5,FALSE),"NA")</f>
        <v>Sustainability Studies.</v>
      </c>
      <c r="I59" s="19"/>
      <c r="J59" s="20"/>
      <c r="K59" s="20"/>
      <c r="L59" s="21"/>
    </row>
    <row r="60" spans="1:12" x14ac:dyDescent="0.3">
      <c r="A60" s="33">
        <v>10</v>
      </c>
      <c r="B60" s="33" t="s">
        <v>2156</v>
      </c>
      <c r="C60" s="34" t="s">
        <v>886</v>
      </c>
      <c r="D60" s="51" t="s">
        <v>443</v>
      </c>
      <c r="E60" s="61" t="str">
        <f>IFERROR(VLOOKUP(D60,'Master List'!D:H,2,FALSE),"NA")</f>
        <v>470104</v>
      </c>
      <c r="F60" s="62" t="str">
        <f>IFERROR(VLOOKUP(D60,'Master List'!D:H,3,FALSE),"NA")</f>
        <v>470104</v>
      </c>
      <c r="G60" s="58" t="str">
        <f>IFERROR(VLOOKUP(D60,'Master List'!D:H,4,FALSE),"NA")</f>
        <v>470104</v>
      </c>
      <c r="H60" s="39" t="str">
        <f>IFERROR(VLOOKUP(D60,'Master List'!D:H,5,FALSE),"NA")</f>
        <v>Computer Installation and Repair Technology/Technician.</v>
      </c>
      <c r="I60" s="19"/>
      <c r="J60" s="20"/>
      <c r="K60" s="20"/>
      <c r="L60" s="21"/>
    </row>
    <row r="61" spans="1:12" x14ac:dyDescent="0.3">
      <c r="A61" s="33">
        <v>10</v>
      </c>
      <c r="B61" s="33" t="s">
        <v>2156</v>
      </c>
      <c r="C61" s="34" t="s">
        <v>886</v>
      </c>
      <c r="D61" s="51" t="s">
        <v>446</v>
      </c>
      <c r="E61" s="61" t="str">
        <f>IFERROR(VLOOKUP(D61,'Master List'!D:H,2,FALSE),"NA")</f>
        <v>470603</v>
      </c>
      <c r="F61" s="62" t="str">
        <f>IFERROR(VLOOKUP(D61,'Master List'!D:H,3,FALSE),"NA")</f>
        <v>470603</v>
      </c>
      <c r="G61" s="58" t="str">
        <f>IFERROR(VLOOKUP(D61,'Master List'!D:H,4,FALSE),"NA")</f>
        <v>470603</v>
      </c>
      <c r="H61" s="39" t="str">
        <f>IFERROR(VLOOKUP(D61,'Master List'!D:H,5,FALSE),"NA")</f>
        <v>Autobody/Collision and Repair Technology/Technician.</v>
      </c>
      <c r="I61" s="19"/>
      <c r="J61" s="20"/>
      <c r="K61" s="20"/>
      <c r="L61" s="21"/>
    </row>
    <row r="62" spans="1:12" x14ac:dyDescent="0.3">
      <c r="A62" s="33">
        <v>10</v>
      </c>
      <c r="B62" s="33" t="s">
        <v>2156</v>
      </c>
      <c r="C62" s="34" t="s">
        <v>886</v>
      </c>
      <c r="D62" s="51" t="s">
        <v>449</v>
      </c>
      <c r="E62" s="61" t="str">
        <f>IFERROR(VLOOKUP(D62,'Master List'!D:H,2,FALSE),"NA")</f>
        <v>470604</v>
      </c>
      <c r="F62" s="62" t="str">
        <f>IFERROR(VLOOKUP(D62,'Master List'!D:H,3,FALSE),"NA")</f>
        <v>470604</v>
      </c>
      <c r="G62" s="58" t="str">
        <f>IFERROR(VLOOKUP(D62,'Master List'!D:H,4,FALSE),"NA")</f>
        <v>470604</v>
      </c>
      <c r="H62" s="39" t="str">
        <f>IFERROR(VLOOKUP(D62,'Master List'!D:H,5,FALSE),"NA")</f>
        <v>Automobile/Automotive Mechanics Technology/Technician.</v>
      </c>
      <c r="I62" s="19"/>
      <c r="J62" s="20"/>
      <c r="K62" s="20"/>
      <c r="L62" s="21"/>
    </row>
    <row r="63" spans="1:12" x14ac:dyDescent="0.3">
      <c r="A63" s="33">
        <v>10</v>
      </c>
      <c r="B63" s="33" t="s">
        <v>2156</v>
      </c>
      <c r="C63" s="34" t="s">
        <v>886</v>
      </c>
      <c r="D63" s="51" t="s">
        <v>280</v>
      </c>
      <c r="E63" s="61" t="str">
        <f>IFERROR(VLOOKUP(D63,'Master List'!D:H,2,FALSE),"NA")</f>
        <v>470605</v>
      </c>
      <c r="F63" s="62" t="str">
        <f>IFERROR(VLOOKUP(D63,'Master List'!D:H,3,FALSE),"NA")</f>
        <v>470605</v>
      </c>
      <c r="G63" s="58" t="str">
        <f>IFERROR(VLOOKUP(D63,'Master List'!D:H,4,FALSE),"NA")</f>
        <v>470605</v>
      </c>
      <c r="H63" s="39" t="str">
        <f>IFERROR(VLOOKUP(D63,'Master List'!D:H,5,FALSE),"NA")</f>
        <v>Diesel Mechanics Technology/Technician.</v>
      </c>
      <c r="I63" s="19"/>
      <c r="J63" s="20"/>
      <c r="K63" s="20"/>
      <c r="L63" s="21"/>
    </row>
    <row r="64" spans="1:12" x14ac:dyDescent="0.3">
      <c r="A64" s="33">
        <v>10</v>
      </c>
      <c r="B64" s="33" t="s">
        <v>2156</v>
      </c>
      <c r="C64" s="34" t="s">
        <v>886</v>
      </c>
      <c r="D64" s="51" t="s">
        <v>896</v>
      </c>
      <c r="E64" s="61" t="str">
        <f>IFERROR(VLOOKUP(D64,'Master List'!D:H,2,FALSE),"NA")</f>
        <v>470613</v>
      </c>
      <c r="F64" s="62" t="str">
        <f>IFERROR(VLOOKUP(D64,'Master List'!D:H,3,FALSE),"NA")</f>
        <v>470613</v>
      </c>
      <c r="G64" s="58" t="str">
        <f>IFERROR(VLOOKUP(D64,'Master List'!D:H,4,FALSE),"NA")</f>
        <v>470613</v>
      </c>
      <c r="H64" s="39" t="str">
        <f>IFERROR(VLOOKUP(D64,'Master List'!D:H,5,FALSE),"NA")</f>
        <v>Medium/Heavy Vehicle and Truck Technology/Technician.</v>
      </c>
      <c r="I64" s="19"/>
      <c r="J64" s="20"/>
      <c r="K64" s="20"/>
      <c r="L64" s="21"/>
    </row>
    <row r="65" spans="1:12" x14ac:dyDescent="0.3">
      <c r="A65" s="33">
        <v>10</v>
      </c>
      <c r="B65" s="33" t="s">
        <v>2156</v>
      </c>
      <c r="C65" s="34" t="s">
        <v>886</v>
      </c>
      <c r="D65" s="51" t="s">
        <v>897</v>
      </c>
      <c r="E65" s="61" t="str">
        <f>IFERROR(VLOOKUP(D65,'Master List'!D:H,2,FALSE),"NA")</f>
        <v>470613</v>
      </c>
      <c r="F65" s="62" t="str">
        <f>IFERROR(VLOOKUP(D65,'Master List'!D:H,3,FALSE),"NA")</f>
        <v>470613</v>
      </c>
      <c r="G65" s="58" t="str">
        <f>IFERROR(VLOOKUP(D65,'Master List'!D:H,4,FALSE),"NA")</f>
        <v>470613</v>
      </c>
      <c r="H65" s="39" t="str">
        <f>IFERROR(VLOOKUP(D65,'Master List'!D:H,5,FALSE),"NA")</f>
        <v>Medium/Heavy Vehicle and Truck Technology/Technician.</v>
      </c>
      <c r="I65" s="19"/>
      <c r="J65" s="20"/>
      <c r="K65" s="20"/>
      <c r="L65" s="21"/>
    </row>
    <row r="66" spans="1:12" x14ac:dyDescent="0.3">
      <c r="A66" s="33">
        <v>10</v>
      </c>
      <c r="B66" s="33" t="s">
        <v>2156</v>
      </c>
      <c r="C66" s="34" t="s">
        <v>886</v>
      </c>
      <c r="D66" s="51" t="s">
        <v>898</v>
      </c>
      <c r="E66" s="61" t="str">
        <f>IFERROR(VLOOKUP(D66,'Master List'!D:H,2,FALSE),"NA")</f>
        <v>470613</v>
      </c>
      <c r="F66" s="62" t="str">
        <f>IFERROR(VLOOKUP(D66,'Master List'!D:H,3,FALSE),"NA")</f>
        <v>470613</v>
      </c>
      <c r="G66" s="58" t="str">
        <f>IFERROR(VLOOKUP(D66,'Master List'!D:H,4,FALSE),"NA")</f>
        <v>470613</v>
      </c>
      <c r="H66" s="39" t="str">
        <f>IFERROR(VLOOKUP(D66,'Master List'!D:H,5,FALSE),"NA")</f>
        <v>Medium/Heavy Vehicle and Truck Technology/Technician.</v>
      </c>
      <c r="I66" s="19"/>
      <c r="J66" s="20"/>
      <c r="K66" s="20"/>
      <c r="L66" s="21"/>
    </row>
    <row r="67" spans="1:12" x14ac:dyDescent="0.3">
      <c r="A67" s="33">
        <v>10</v>
      </c>
      <c r="B67" s="33" t="s">
        <v>2156</v>
      </c>
      <c r="C67" s="34" t="s">
        <v>886</v>
      </c>
      <c r="D67" s="51" t="s">
        <v>291</v>
      </c>
      <c r="E67" s="61" t="str">
        <f>IFERROR(VLOOKUP(D67,'Master List'!D:H,2,FALSE),"NA")</f>
        <v>480508</v>
      </c>
      <c r="F67" s="62" t="str">
        <f>IFERROR(VLOOKUP(D67,'Master List'!D:H,3,FALSE),"NA")</f>
        <v>480508</v>
      </c>
      <c r="G67" s="58" t="str">
        <f>IFERROR(VLOOKUP(D67,'Master List'!D:H,4,FALSE),"NA")</f>
        <v>480508</v>
      </c>
      <c r="H67" s="39" t="str">
        <f>IFERROR(VLOOKUP(D67,'Master List'!D:H,5,FALSE),"NA")</f>
        <v>Welding Technology/Welder.</v>
      </c>
      <c r="I67" s="19"/>
      <c r="J67" s="20"/>
      <c r="K67" s="20"/>
      <c r="L67" s="21"/>
    </row>
    <row r="68" spans="1:12" x14ac:dyDescent="0.3">
      <c r="A68" s="33">
        <v>10</v>
      </c>
      <c r="B68" s="33" t="s">
        <v>2156</v>
      </c>
      <c r="C68" s="34" t="s">
        <v>886</v>
      </c>
      <c r="D68" s="51" t="s">
        <v>294</v>
      </c>
      <c r="E68" s="61" t="str">
        <f>IFERROR(VLOOKUP(D68,'Master List'!D:H,2,FALSE),"NA")</f>
        <v>480510</v>
      </c>
      <c r="F68" s="62" t="str">
        <f>IFERROR(VLOOKUP(D68,'Master List'!D:H,3,FALSE),"NA")</f>
        <v>480510</v>
      </c>
      <c r="G68" s="58" t="str">
        <f>IFERROR(VLOOKUP(D68,'Master List'!D:H,4,FALSE),"NA")</f>
        <v>480510</v>
      </c>
      <c r="H68" s="39" t="str">
        <f>IFERROR(VLOOKUP(D68,'Master List'!D:H,5,FALSE),"NA")</f>
        <v>Computer Numerically Controlled (CNC) Machinist Technology/CNC Machinist.</v>
      </c>
      <c r="I68" s="19"/>
      <c r="J68" s="20"/>
      <c r="K68" s="20"/>
      <c r="L68" s="21"/>
    </row>
    <row r="69" spans="1:12" x14ac:dyDescent="0.3">
      <c r="A69" s="33">
        <v>10</v>
      </c>
      <c r="B69" s="33" t="s">
        <v>2156</v>
      </c>
      <c r="C69" s="34" t="s">
        <v>886</v>
      </c>
      <c r="D69" s="51" t="s">
        <v>59</v>
      </c>
      <c r="E69" s="61" t="str">
        <f>IFERROR(VLOOKUP(D69,'Master List'!D:H,2,FALSE),"NA")</f>
        <v>500102</v>
      </c>
      <c r="F69" s="62" t="str">
        <f>IFERROR(VLOOKUP(D69,'Master List'!D:H,3,FALSE),"NA")</f>
        <v>500102</v>
      </c>
      <c r="G69" s="58" t="str">
        <f>IFERROR(VLOOKUP(D69,'Master List'!D:H,4,FALSE),"NA")</f>
        <v>500102</v>
      </c>
      <c r="H69" s="39" t="str">
        <f>IFERROR(VLOOKUP(D69,'Master List'!D:H,5,FALSE),"NA")</f>
        <v>Digital Arts.</v>
      </c>
      <c r="I69" s="19"/>
      <c r="J69" s="20"/>
      <c r="K69" s="20"/>
      <c r="L69" s="21"/>
    </row>
    <row r="70" spans="1:12" x14ac:dyDescent="0.3">
      <c r="A70" s="33">
        <v>10</v>
      </c>
      <c r="B70" s="33" t="s">
        <v>2156</v>
      </c>
      <c r="C70" s="34" t="s">
        <v>886</v>
      </c>
      <c r="D70" s="51" t="s">
        <v>746</v>
      </c>
      <c r="E70" s="61" t="str">
        <f>IFERROR(VLOOKUP(D70,'Master List'!D:H,2,FALSE),"NA")</f>
        <v>500602</v>
      </c>
      <c r="F70" s="62" t="str">
        <f>IFERROR(VLOOKUP(D70,'Master List'!D:H,3,FALSE),"NA")</f>
        <v>500602</v>
      </c>
      <c r="G70" s="58" t="str">
        <f>IFERROR(VLOOKUP(D70,'Master List'!D:H,4,FALSE),"NA")</f>
        <v>500602</v>
      </c>
      <c r="H70" s="39" t="str">
        <f>IFERROR(VLOOKUP(D70,'Master List'!D:H,5,FALSE),"NA")</f>
        <v>Cinematography and Film/Video Production.</v>
      </c>
      <c r="I70" s="19"/>
      <c r="J70" s="20"/>
      <c r="K70" s="20"/>
      <c r="L70" s="21"/>
    </row>
    <row r="71" spans="1:12" x14ac:dyDescent="0.3">
      <c r="A71" s="33">
        <v>10</v>
      </c>
      <c r="B71" s="33" t="s">
        <v>2156</v>
      </c>
      <c r="C71" s="34" t="s">
        <v>886</v>
      </c>
      <c r="D71" s="51" t="s">
        <v>677</v>
      </c>
      <c r="E71" s="61" t="str">
        <f>IFERROR(VLOOKUP(D71,'Master List'!D:H,2,FALSE),"NA")</f>
        <v>030104</v>
      </c>
      <c r="F71" s="62" t="str">
        <f>IFERROR(VLOOKUP(D71,'Master List'!D:H,3,FALSE),"NA")</f>
        <v>030104</v>
      </c>
      <c r="G71" s="58" t="str">
        <f>IFERROR(VLOOKUP(D71,'Master List'!D:H,4,FALSE),"NA")</f>
        <v>030104</v>
      </c>
      <c r="H71" s="39" t="str">
        <f>IFERROR(VLOOKUP(D71,'Master List'!D:H,5,FALSE),"NA")</f>
        <v>Environmental Science.</v>
      </c>
      <c r="I71" s="19"/>
      <c r="J71" s="20"/>
      <c r="K71" s="20"/>
      <c r="L71" s="21"/>
    </row>
    <row r="72" spans="1:12" x14ac:dyDescent="0.3">
      <c r="A72" s="33">
        <v>10</v>
      </c>
      <c r="B72" s="33" t="s">
        <v>2156</v>
      </c>
      <c r="C72" s="34" t="s">
        <v>886</v>
      </c>
      <c r="D72" s="51" t="s">
        <v>68</v>
      </c>
      <c r="E72" s="61" t="str">
        <f>IFERROR(VLOOKUP(D72,'Master List'!D:H,2,FALSE),"NA")</f>
        <v>430102</v>
      </c>
      <c r="F72" s="62" t="str">
        <f>IFERROR(VLOOKUP(D72,'Master List'!D:H,3,FALSE),"NA")</f>
        <v>430102</v>
      </c>
      <c r="G72" s="58" t="str">
        <f>IFERROR(VLOOKUP(D72,'Master List'!D:H,4,FALSE),"NA")</f>
        <v>430102</v>
      </c>
      <c r="H72" s="39" t="str">
        <f>IFERROR(VLOOKUP(D72,'Master List'!D:H,5,FALSE),"NA")</f>
        <v>Corrections.</v>
      </c>
      <c r="I72" s="19"/>
      <c r="J72" s="20"/>
      <c r="K72" s="20"/>
      <c r="L72" s="21"/>
    </row>
    <row r="73" spans="1:12" x14ac:dyDescent="0.3">
      <c r="A73" s="33">
        <v>10</v>
      </c>
      <c r="B73" s="33" t="s">
        <v>2156</v>
      </c>
      <c r="C73" s="34" t="s">
        <v>886</v>
      </c>
      <c r="D73" s="51" t="s">
        <v>316</v>
      </c>
      <c r="E73" s="61" t="str">
        <f>IFERROR(VLOOKUP(D73,'Master List'!D:H,2,FALSE),"NA")</f>
        <v>430103</v>
      </c>
      <c r="F73" s="62" t="str">
        <f>IFERROR(VLOOKUP(D73,'Master List'!D:H,3,FALSE),"NA")</f>
        <v>430103</v>
      </c>
      <c r="G73" s="58" t="str">
        <f>IFERROR(VLOOKUP(D73,'Master List'!D:H,4,FALSE),"NA")</f>
        <v>430103</v>
      </c>
      <c r="H73" s="39" t="str">
        <f>IFERROR(VLOOKUP(D73,'Master List'!D:H,5,FALSE),"NA")</f>
        <v>Criminal Justice/Law Enforcement Administration.</v>
      </c>
      <c r="I73" s="19"/>
      <c r="J73" s="20"/>
      <c r="K73" s="20"/>
      <c r="L73" s="21"/>
    </row>
    <row r="74" spans="1:12" x14ac:dyDescent="0.3">
      <c r="A74" s="33">
        <v>10</v>
      </c>
      <c r="B74" s="33" t="s">
        <v>2156</v>
      </c>
      <c r="C74" s="34" t="s">
        <v>886</v>
      </c>
      <c r="D74" s="51" t="s">
        <v>574</v>
      </c>
      <c r="E74" s="61" t="str">
        <f>IFERROR(VLOOKUP(D74,'Master List'!D:H,2,FALSE),"NA")</f>
        <v>430103</v>
      </c>
      <c r="F74" s="62" t="str">
        <f>IFERROR(VLOOKUP(D74,'Master List'!D:H,3,FALSE),"NA")</f>
        <v>430103</v>
      </c>
      <c r="G74" s="58" t="str">
        <f>IFERROR(VLOOKUP(D74,'Master List'!D:H,4,FALSE),"NA")</f>
        <v>430103</v>
      </c>
      <c r="H74" s="39" t="str">
        <f>IFERROR(VLOOKUP(D74,'Master List'!D:H,5,FALSE),"NA")</f>
        <v>Criminal Justice/Law Enforcement Administration.</v>
      </c>
      <c r="I74" s="19"/>
      <c r="J74" s="20"/>
      <c r="K74" s="20"/>
      <c r="L74" s="21"/>
    </row>
    <row r="75" spans="1:12" x14ac:dyDescent="0.3">
      <c r="A75" s="33">
        <v>10</v>
      </c>
      <c r="B75" s="33" t="s">
        <v>2156</v>
      </c>
      <c r="C75" s="34" t="s">
        <v>886</v>
      </c>
      <c r="D75" s="51" t="s">
        <v>395</v>
      </c>
      <c r="E75" s="61" t="str">
        <f>IFERROR(VLOOKUP(D75,'Master List'!D:H,2,FALSE),"NA")</f>
        <v>430106</v>
      </c>
      <c r="F75" s="62" t="str">
        <f>IFERROR(VLOOKUP(D75,'Master List'!D:H,3,FALSE),"NA")</f>
        <v>430406</v>
      </c>
      <c r="G75" s="58" t="str">
        <f>IFERROR(VLOOKUP(D75,'Master List'!D:H,4,FALSE),"NA")</f>
        <v>430406</v>
      </c>
      <c r="H75" s="39" t="str">
        <f>IFERROR(VLOOKUP(D75,'Master List'!D:H,5,FALSE),"NA")</f>
        <v>Forensic Science and Technology.</v>
      </c>
      <c r="I75" s="19"/>
      <c r="J75" s="20"/>
      <c r="K75" s="20"/>
      <c r="L75" s="21"/>
    </row>
    <row r="76" spans="1:12" x14ac:dyDescent="0.3">
      <c r="A76" s="33">
        <v>10</v>
      </c>
      <c r="B76" s="33" t="s">
        <v>2156</v>
      </c>
      <c r="C76" s="34" t="s">
        <v>886</v>
      </c>
      <c r="D76" s="51" t="s">
        <v>71</v>
      </c>
      <c r="E76" s="61" t="str">
        <f>IFERROR(VLOOKUP(D76,'Master List'!D:H,2,FALSE),"NA")</f>
        <v>430107</v>
      </c>
      <c r="F76" s="62" t="str">
        <f>IFERROR(VLOOKUP(D76,'Master List'!D:H,3,FALSE),"NA")</f>
        <v>430107</v>
      </c>
      <c r="G76" s="58" t="str">
        <f>IFERROR(VLOOKUP(D76,'Master List'!D:H,4,FALSE),"NA")</f>
        <v>430107</v>
      </c>
      <c r="H76" s="39" t="str">
        <f>IFERROR(VLOOKUP(D76,'Master List'!D:H,5,FALSE),"NA")</f>
        <v>Criminal Justice/Police Science.</v>
      </c>
      <c r="I76" s="19"/>
      <c r="J76" s="20"/>
      <c r="K76" s="20"/>
      <c r="L76" s="21"/>
    </row>
    <row r="77" spans="1:12" x14ac:dyDescent="0.3">
      <c r="A77" s="33">
        <v>10</v>
      </c>
      <c r="B77" s="33" t="s">
        <v>2156</v>
      </c>
      <c r="C77" s="34" t="s">
        <v>886</v>
      </c>
      <c r="D77" s="51" t="s">
        <v>899</v>
      </c>
      <c r="E77" s="61" t="str">
        <f>IFERROR(VLOOKUP(D77,'Master List'!D:H,2,FALSE),"NA")</f>
        <v>NA</v>
      </c>
      <c r="F77" s="62" t="str">
        <f>IFERROR(VLOOKUP(D77,'Master List'!D:H,3,FALSE),"NA")</f>
        <v>NA</v>
      </c>
      <c r="G77" s="58" t="str">
        <f>IFERROR(VLOOKUP(D77,'Master List'!D:H,4,FALSE),"NA")</f>
        <v>NA</v>
      </c>
      <c r="H77" s="39" t="str">
        <f>IFERROR(VLOOKUP(D77,'Master List'!D:H,5,FALSE),"NA")</f>
        <v>NA</v>
      </c>
      <c r="I77" s="19"/>
      <c r="J77" s="20"/>
      <c r="K77" s="20"/>
      <c r="L77" s="21"/>
    </row>
    <row r="78" spans="1:12" x14ac:dyDescent="0.3">
      <c r="A78" s="33">
        <v>10</v>
      </c>
      <c r="B78" s="33" t="s">
        <v>2156</v>
      </c>
      <c r="C78" s="34" t="s">
        <v>886</v>
      </c>
      <c r="D78" s="51" t="s">
        <v>837</v>
      </c>
      <c r="E78" s="61" t="str">
        <f>IFERROR(VLOOKUP(D78,'Master List'!D:H,2,FALSE),"NA")</f>
        <v>430109</v>
      </c>
      <c r="F78" s="62" t="str">
        <f>IFERROR(VLOOKUP(D78,'Master List'!D:H,3,FALSE),"NA")</f>
        <v>430109</v>
      </c>
      <c r="G78" s="58" t="str">
        <f>IFERROR(VLOOKUP(D78,'Master List'!D:H,4,FALSE),"NA")</f>
        <v>430109</v>
      </c>
      <c r="H78" s="39" t="str">
        <f>IFERROR(VLOOKUP(D78,'Master List'!D:H,5,FALSE),"NA")</f>
        <v>Security and Loss Prevention Services.</v>
      </c>
      <c r="I78" s="19"/>
      <c r="J78" s="20"/>
      <c r="K78" s="20"/>
      <c r="L78" s="21"/>
    </row>
    <row r="79" spans="1:12" x14ac:dyDescent="0.3">
      <c r="A79" s="33">
        <v>10</v>
      </c>
      <c r="B79" s="33" t="s">
        <v>2156</v>
      </c>
      <c r="C79" s="34" t="s">
        <v>886</v>
      </c>
      <c r="D79" s="51" t="s">
        <v>900</v>
      </c>
      <c r="E79" s="61" t="str">
        <f>IFERROR(VLOOKUP(D79,'Master List'!D:H,2,FALSE),"NA")</f>
        <v>430199</v>
      </c>
      <c r="F79" s="62" t="str">
        <f>IFERROR(VLOOKUP(D79,'Master List'!D:H,3,FALSE),"NA")</f>
        <v>430199</v>
      </c>
      <c r="G79" s="58" t="str">
        <f>IFERROR(VLOOKUP(D79,'Master List'!D:H,4,FALSE),"NA")</f>
        <v>430199</v>
      </c>
      <c r="H79" s="39" t="str">
        <f>IFERROR(VLOOKUP(D79,'Master List'!D:H,5,FALSE),"NA")</f>
        <v>Corrections and Criminal Justice, Other.</v>
      </c>
      <c r="I79" s="19"/>
      <c r="J79" s="20"/>
      <c r="K79" s="20"/>
      <c r="L79" s="21"/>
    </row>
    <row r="80" spans="1:12" x14ac:dyDescent="0.3">
      <c r="A80" s="33">
        <v>10</v>
      </c>
      <c r="B80" s="33" t="s">
        <v>2156</v>
      </c>
      <c r="C80" s="34" t="s">
        <v>886</v>
      </c>
      <c r="D80" s="51" t="s">
        <v>578</v>
      </c>
      <c r="E80" s="61" t="str">
        <f>IFERROR(VLOOKUP(D80,'Master List'!D:H,2,FALSE),"NA")</f>
        <v>430201</v>
      </c>
      <c r="F80" s="62" t="str">
        <f>IFERROR(VLOOKUP(D80,'Master List'!D:H,3,FALSE),"NA")</f>
        <v>430201</v>
      </c>
      <c r="G80" s="58" t="str">
        <f>IFERROR(VLOOKUP(D80,'Master List'!D:H,4,FALSE),"NA")</f>
        <v>430201</v>
      </c>
      <c r="H80" s="39" t="str">
        <f>IFERROR(VLOOKUP(D80,'Master List'!D:H,5,FALSE),"NA")</f>
        <v>Fire Prevention and Safety Technology/Technician.</v>
      </c>
      <c r="I80" s="19"/>
      <c r="J80" s="20"/>
      <c r="K80" s="20"/>
      <c r="L80" s="21"/>
    </row>
    <row r="81" spans="1:12" x14ac:dyDescent="0.3">
      <c r="A81" s="33">
        <v>10</v>
      </c>
      <c r="B81" s="33" t="s">
        <v>2156</v>
      </c>
      <c r="C81" s="34" t="s">
        <v>886</v>
      </c>
      <c r="D81" s="51" t="s">
        <v>75</v>
      </c>
      <c r="E81" s="61" t="str">
        <f>IFERROR(VLOOKUP(D81,'Master List'!D:H,2,FALSE),"NA")</f>
        <v>430203</v>
      </c>
      <c r="F81" s="62" t="str">
        <f>IFERROR(VLOOKUP(D81,'Master List'!D:H,3,FALSE),"NA")</f>
        <v>430203</v>
      </c>
      <c r="G81" s="58" t="str">
        <f>IFERROR(VLOOKUP(D81,'Master List'!D:H,4,FALSE),"NA")</f>
        <v>430203</v>
      </c>
      <c r="H81" s="39" t="str">
        <f>IFERROR(VLOOKUP(D81,'Master List'!D:H,5,FALSE),"NA")</f>
        <v>Fire Science/Fire-fighting.</v>
      </c>
      <c r="I81" s="19"/>
      <c r="J81" s="20"/>
      <c r="K81" s="20"/>
      <c r="L81" s="21"/>
    </row>
    <row r="82" spans="1:12" x14ac:dyDescent="0.3">
      <c r="A82" s="33">
        <v>10</v>
      </c>
      <c r="B82" s="33" t="s">
        <v>2156</v>
      </c>
      <c r="C82" s="34" t="s">
        <v>886</v>
      </c>
      <c r="D82" s="51" t="s">
        <v>606</v>
      </c>
      <c r="E82" s="61" t="str">
        <f>IFERROR(VLOOKUP(D82,'Master List'!D:H,2,FALSE),"NA")</f>
        <v>430399</v>
      </c>
      <c r="F82" s="62" t="str">
        <f>IFERROR(VLOOKUP(D82,'Master List'!D:H,3,FALSE),"NA")</f>
        <v>430399</v>
      </c>
      <c r="G82" s="58" t="str">
        <f>IFERROR(VLOOKUP(D82,'Master List'!D:H,4,FALSE),"NA")</f>
        <v>430399</v>
      </c>
      <c r="H82" s="39" t="str">
        <f>IFERROR(VLOOKUP(D82,'Master List'!D:H,5,FALSE),"NA")</f>
        <v>Homeland Security, Other.</v>
      </c>
      <c r="I82" s="19"/>
      <c r="J82" s="20"/>
      <c r="K82" s="20"/>
      <c r="L82" s="21"/>
    </row>
    <row r="83" spans="1:12" x14ac:dyDescent="0.3">
      <c r="A83" s="33">
        <v>10</v>
      </c>
      <c r="B83" s="33" t="s">
        <v>2156</v>
      </c>
      <c r="C83" s="34" t="s">
        <v>886</v>
      </c>
      <c r="D83" s="51" t="s">
        <v>878</v>
      </c>
      <c r="E83" s="61" t="str">
        <f>IFERROR(VLOOKUP(D83,'Master List'!D:H,2,FALSE),"NA")</f>
        <v>010303</v>
      </c>
      <c r="F83" s="62" t="str">
        <f>IFERROR(VLOOKUP(D83,'Master List'!D:H,3,FALSE),"NA")</f>
        <v>010303</v>
      </c>
      <c r="G83" s="58" t="str">
        <f>IFERROR(VLOOKUP(D83,'Master List'!D:H,4,FALSE),"NA")</f>
        <v>010303</v>
      </c>
      <c r="H83" s="39" t="str">
        <f>IFERROR(VLOOKUP(D83,'Master List'!D:H,5,FALSE),"NA")</f>
        <v>Aquaculture.</v>
      </c>
      <c r="I83" s="19"/>
      <c r="J83" s="20"/>
      <c r="K83" s="20"/>
      <c r="L83" s="21"/>
    </row>
    <row r="84" spans="1:12" x14ac:dyDescent="0.3">
      <c r="A84" s="33">
        <v>10</v>
      </c>
      <c r="B84" s="33" t="s">
        <v>2156</v>
      </c>
      <c r="C84" s="34" t="s">
        <v>886</v>
      </c>
      <c r="D84" s="51" t="s">
        <v>79</v>
      </c>
      <c r="E84" s="61" t="str">
        <f>IFERROR(VLOOKUP(D84,'Master List'!D:H,2,FALSE),"NA")</f>
        <v>520901</v>
      </c>
      <c r="F84" s="62" t="str">
        <f>IFERROR(VLOOKUP(D84,'Master List'!D:H,3,FALSE),"NA")</f>
        <v>520901</v>
      </c>
      <c r="G84" s="58" t="str">
        <f>IFERROR(VLOOKUP(D84,'Master List'!D:H,4,FALSE),"NA")</f>
        <v>520901</v>
      </c>
      <c r="H84" s="39" t="str">
        <f>IFERROR(VLOOKUP(D84,'Master List'!D:H,5,FALSE),"NA")</f>
        <v>Hospitality Administration/Management, General.</v>
      </c>
      <c r="I84" s="19"/>
      <c r="J84" s="20"/>
      <c r="K84" s="20"/>
      <c r="L84" s="21"/>
    </row>
    <row r="85" spans="1:12" x14ac:dyDescent="0.3">
      <c r="A85" s="33">
        <v>10</v>
      </c>
      <c r="B85" s="33" t="s">
        <v>2156</v>
      </c>
      <c r="C85" s="34" t="s">
        <v>886</v>
      </c>
      <c r="D85" s="51" t="s">
        <v>580</v>
      </c>
      <c r="E85" s="61" t="str">
        <f>IFERROR(VLOOKUP(D85,'Master List'!D:H,2,FALSE),"NA")</f>
        <v>NA</v>
      </c>
      <c r="F85" s="62" t="str">
        <f>IFERROR(VLOOKUP(D85,'Master List'!D:H,3,FALSE),"NA")</f>
        <v>NA</v>
      </c>
      <c r="G85" s="58" t="str">
        <f>IFERROR(VLOOKUP(D85,'Master List'!D:H,4,FALSE),"NA")</f>
        <v>NA</v>
      </c>
      <c r="H85" s="39" t="str">
        <f>IFERROR(VLOOKUP(D85,'Master List'!D:H,5,FALSE),"NA")</f>
        <v>NA</v>
      </c>
      <c r="I85" s="19"/>
      <c r="J85" s="20"/>
      <c r="K85" s="20"/>
      <c r="L85" s="21"/>
    </row>
    <row r="86" spans="1:12" x14ac:dyDescent="0.3">
      <c r="A86" s="33">
        <v>10</v>
      </c>
      <c r="B86" s="33" t="s">
        <v>2156</v>
      </c>
      <c r="C86" s="34" t="s">
        <v>886</v>
      </c>
      <c r="D86" s="51" t="s">
        <v>324</v>
      </c>
      <c r="E86" s="61" t="str">
        <f>IFERROR(VLOOKUP(D86,'Master List'!D:H,2,FALSE),"NA")</f>
        <v>410101</v>
      </c>
      <c r="F86" s="62" t="str">
        <f>IFERROR(VLOOKUP(D86,'Master List'!D:H,3,FALSE),"NA")</f>
        <v>410101</v>
      </c>
      <c r="G86" s="58" t="str">
        <f>IFERROR(VLOOKUP(D86,'Master List'!D:H,4,FALSE),"NA")</f>
        <v>410101</v>
      </c>
      <c r="H86" s="39" t="str">
        <f>IFERROR(VLOOKUP(D86,'Master List'!D:H,5,FALSE),"NA")</f>
        <v>Biology/Biotechnology Technology/Technician.</v>
      </c>
      <c r="I86" s="19"/>
      <c r="J86" s="20"/>
      <c r="K86" s="20"/>
      <c r="L86" s="21"/>
    </row>
    <row r="87" spans="1:12" x14ac:dyDescent="0.3">
      <c r="A87" s="33">
        <v>10</v>
      </c>
      <c r="B87" s="33" t="s">
        <v>2156</v>
      </c>
      <c r="C87" s="34" t="s">
        <v>886</v>
      </c>
      <c r="D87" s="51" t="s">
        <v>84</v>
      </c>
      <c r="E87" s="61" t="str">
        <f>IFERROR(VLOOKUP(D87,'Master List'!D:H,2,FALSE),"NA")</f>
        <v>510602</v>
      </c>
      <c r="F87" s="62" t="str">
        <f>IFERROR(VLOOKUP(D87,'Master List'!D:H,3,FALSE),"NA")</f>
        <v>510602</v>
      </c>
      <c r="G87" s="58" t="str">
        <f>IFERROR(VLOOKUP(D87,'Master List'!D:H,4,FALSE),"NA")</f>
        <v>510602</v>
      </c>
      <c r="H87" s="39" t="str">
        <f>IFERROR(VLOOKUP(D87,'Master List'!D:H,5,FALSE),"NA")</f>
        <v>Dental Hygiene/Hygienist.</v>
      </c>
      <c r="I87" s="19"/>
      <c r="J87" s="20"/>
      <c r="K87" s="20"/>
      <c r="L87" s="21"/>
    </row>
    <row r="88" spans="1:12" x14ac:dyDescent="0.3">
      <c r="A88" s="33">
        <v>10</v>
      </c>
      <c r="B88" s="33" t="s">
        <v>2156</v>
      </c>
      <c r="C88" s="34" t="s">
        <v>886</v>
      </c>
      <c r="D88" s="51" t="s">
        <v>904</v>
      </c>
      <c r="E88" s="61" t="str">
        <f>IFERROR(VLOOKUP(D88,'Master List'!D:H,2,FALSE),"NA")</f>
        <v>510719</v>
      </c>
      <c r="F88" s="62" t="str">
        <f>IFERROR(VLOOKUP(D88,'Master List'!D:H,3,FALSE),"NA")</f>
        <v>510719</v>
      </c>
      <c r="G88" s="58" t="str">
        <f>IFERROR(VLOOKUP(D88,'Master List'!D:H,4,FALSE),"NA")</f>
        <v>510719</v>
      </c>
      <c r="H88" s="39" t="str">
        <f>IFERROR(VLOOKUP(D88,'Master List'!D:H,5,FALSE),"NA")</f>
        <v>Clinical Research Coordinator.</v>
      </c>
      <c r="I88" s="19"/>
      <c r="J88" s="20"/>
      <c r="K88" s="20"/>
      <c r="L88" s="21"/>
    </row>
    <row r="89" spans="1:12" x14ac:dyDescent="0.3">
      <c r="A89" s="33">
        <v>10</v>
      </c>
      <c r="B89" s="33" t="s">
        <v>2156</v>
      </c>
      <c r="C89" s="34" t="s">
        <v>886</v>
      </c>
      <c r="D89" s="51" t="s">
        <v>679</v>
      </c>
      <c r="E89" s="61" t="str">
        <f>IFERROR(VLOOKUP(D89,'Master List'!D:H,2,FALSE),"NA")</f>
        <v>510808</v>
      </c>
      <c r="F89" s="62" t="str">
        <f>IFERROR(VLOOKUP(D89,'Master List'!D:H,3,FALSE),"NA")</f>
        <v>018301</v>
      </c>
      <c r="G89" s="58" t="str">
        <f>IFERROR(VLOOKUP(D89,'Master List'!D:H,4,FALSE),"NA")</f>
        <v>018301</v>
      </c>
      <c r="H89" s="39" t="str">
        <f>IFERROR(VLOOKUP(D89,'Master List'!D:H,5,FALSE),"NA")</f>
        <v>Veterinary/Animal Health Technology/Technician and Veterinary Assistant.</v>
      </c>
      <c r="I89" s="19"/>
      <c r="J89" s="20"/>
      <c r="K89" s="20"/>
      <c r="L89" s="21"/>
    </row>
    <row r="90" spans="1:12" x14ac:dyDescent="0.3">
      <c r="A90" s="33">
        <v>10</v>
      </c>
      <c r="B90" s="33" t="s">
        <v>2156</v>
      </c>
      <c r="C90" s="34" t="s">
        <v>886</v>
      </c>
      <c r="D90" s="51" t="s">
        <v>328</v>
      </c>
      <c r="E90" s="61" t="str">
        <f>IFERROR(VLOOKUP(D90,'Master List'!D:H,2,FALSE),"NA")</f>
        <v>510901</v>
      </c>
      <c r="F90" s="62" t="str">
        <f>IFERROR(VLOOKUP(D90,'Master List'!D:H,3,FALSE),"NA")</f>
        <v>510901</v>
      </c>
      <c r="G90" s="58" t="str">
        <f>IFERROR(VLOOKUP(D90,'Master List'!D:H,4,FALSE),"NA")</f>
        <v>510901</v>
      </c>
      <c r="H90" s="39" t="str">
        <f>IFERROR(VLOOKUP(D90,'Master List'!D:H,5,FALSE),"NA")</f>
        <v>Cardiovascular Technology/Technologist.</v>
      </c>
      <c r="I90" s="19"/>
      <c r="J90" s="20"/>
      <c r="K90" s="20"/>
      <c r="L90" s="21"/>
    </row>
    <row r="91" spans="1:12" x14ac:dyDescent="0.3">
      <c r="A91" s="33">
        <v>10</v>
      </c>
      <c r="B91" s="33" t="s">
        <v>2156</v>
      </c>
      <c r="C91" s="34" t="s">
        <v>886</v>
      </c>
      <c r="D91" s="51" t="s">
        <v>90</v>
      </c>
      <c r="E91" s="61" t="str">
        <f>IFERROR(VLOOKUP(D91,'Master List'!D:H,2,FALSE),"NA")</f>
        <v>510904</v>
      </c>
      <c r="F91" s="62" t="str">
        <f>IFERROR(VLOOKUP(D91,'Master List'!D:H,3,FALSE),"NA")</f>
        <v>510904</v>
      </c>
      <c r="G91" s="58" t="str">
        <f>IFERROR(VLOOKUP(D91,'Master List'!D:H,4,FALSE),"NA")</f>
        <v>510904</v>
      </c>
      <c r="H91" s="39" t="str">
        <f>IFERROR(VLOOKUP(D91,'Master List'!D:H,5,FALSE),"NA")</f>
        <v>Emergency Medical Technology/Technician (EMT Paramedic).</v>
      </c>
      <c r="I91" s="19"/>
      <c r="J91" s="20"/>
      <c r="K91" s="20"/>
      <c r="L91" s="21"/>
    </row>
    <row r="92" spans="1:12" x14ac:dyDescent="0.3">
      <c r="A92" s="33">
        <v>10</v>
      </c>
      <c r="B92" s="33" t="s">
        <v>2156</v>
      </c>
      <c r="C92" s="34" t="s">
        <v>886</v>
      </c>
      <c r="D92" s="51" t="s">
        <v>653</v>
      </c>
      <c r="E92" s="61" t="str">
        <f>IFERROR(VLOOKUP(D92,'Master List'!D:H,2,FALSE),"NA")</f>
        <v>510905</v>
      </c>
      <c r="F92" s="62" t="str">
        <f>IFERROR(VLOOKUP(D92,'Master List'!D:H,3,FALSE),"NA")</f>
        <v>510905</v>
      </c>
      <c r="G92" s="58" t="str">
        <f>IFERROR(VLOOKUP(D92,'Master List'!D:H,4,FALSE),"NA")</f>
        <v>510905</v>
      </c>
      <c r="H92" s="39" t="str">
        <f>IFERROR(VLOOKUP(D92,'Master List'!D:H,5,FALSE),"NA")</f>
        <v>Nuclear Medical Technology/Technologist.</v>
      </c>
      <c r="I92" s="19"/>
      <c r="J92" s="20"/>
      <c r="K92" s="20"/>
      <c r="L92" s="21"/>
    </row>
    <row r="93" spans="1:12" x14ac:dyDescent="0.3">
      <c r="A93" s="33">
        <v>10</v>
      </c>
      <c r="B93" s="33" t="s">
        <v>2156</v>
      </c>
      <c r="C93" s="34" t="s">
        <v>886</v>
      </c>
      <c r="D93" s="51" t="s">
        <v>91</v>
      </c>
      <c r="E93" s="61" t="str">
        <f>IFERROR(VLOOKUP(D93,'Master List'!D:H,2,FALSE),"NA")</f>
        <v>510907</v>
      </c>
      <c r="F93" s="62" t="str">
        <f>IFERROR(VLOOKUP(D93,'Master List'!D:H,3,FALSE),"NA")</f>
        <v>510907</v>
      </c>
      <c r="G93" s="58">
        <f>IFERROR(VLOOKUP(D93,'Master List'!D:H,4,FALSE),"NA")</f>
        <v>510911</v>
      </c>
      <c r="H93" s="39" t="str">
        <f>IFERROR(VLOOKUP(D93,'Master List'!D:H,5,FALSE),"NA")</f>
        <v>Radiologic Technology/Science - Radiographer</v>
      </c>
      <c r="I93" s="19"/>
      <c r="J93" s="20"/>
      <c r="K93" s="20"/>
      <c r="L93" s="21"/>
    </row>
    <row r="94" spans="1:12" x14ac:dyDescent="0.3">
      <c r="A94" s="33">
        <v>10</v>
      </c>
      <c r="B94" s="33" t="s">
        <v>2156</v>
      </c>
      <c r="C94" s="34" t="s">
        <v>886</v>
      </c>
      <c r="D94" s="51" t="s">
        <v>331</v>
      </c>
      <c r="E94" s="61" t="str">
        <f>IFERROR(VLOOKUP(D94,'Master List'!D:H,2,FALSE),"NA")</f>
        <v>510907</v>
      </c>
      <c r="F94" s="62" t="str">
        <f>IFERROR(VLOOKUP(D94,'Master List'!D:H,3,FALSE),"NA")</f>
        <v>510907</v>
      </c>
      <c r="G94" s="58" t="str">
        <f>IFERROR(VLOOKUP(D94,'Master List'!D:H,4,FALSE),"NA")</f>
        <v>510907</v>
      </c>
      <c r="H94" s="39" t="str">
        <f>IFERROR(VLOOKUP(D94,'Master List'!D:H,5,FALSE),"NA")</f>
        <v>Medical Radiologic Technology/Science - Radiation Therapist.</v>
      </c>
      <c r="I94" s="19"/>
      <c r="J94" s="20"/>
      <c r="K94" s="20"/>
      <c r="L94" s="21"/>
    </row>
    <row r="95" spans="1:12" x14ac:dyDescent="0.3">
      <c r="A95" s="33">
        <v>10</v>
      </c>
      <c r="B95" s="33" t="s">
        <v>2156</v>
      </c>
      <c r="C95" s="34" t="s">
        <v>886</v>
      </c>
      <c r="D95" s="51" t="s">
        <v>94</v>
      </c>
      <c r="E95" s="61" t="str">
        <f>IFERROR(VLOOKUP(D95,'Master List'!D:H,2,FALSE),"NA")</f>
        <v>510908</v>
      </c>
      <c r="F95" s="62" t="str">
        <f>IFERROR(VLOOKUP(D95,'Master List'!D:H,3,FALSE),"NA")</f>
        <v>510908</v>
      </c>
      <c r="G95" s="58" t="str">
        <f>IFERROR(VLOOKUP(D95,'Master List'!D:H,4,FALSE),"NA")</f>
        <v>510908</v>
      </c>
      <c r="H95" s="39" t="str">
        <f>IFERROR(VLOOKUP(D95,'Master List'!D:H,5,FALSE),"NA")</f>
        <v>Respiratory Care Therapy/Therapist.</v>
      </c>
      <c r="I95" s="19"/>
      <c r="J95" s="20"/>
      <c r="K95" s="20"/>
      <c r="L95" s="21"/>
    </row>
    <row r="96" spans="1:12" x14ac:dyDescent="0.3">
      <c r="A96" s="33">
        <v>10</v>
      </c>
      <c r="B96" s="33" t="s">
        <v>2156</v>
      </c>
      <c r="C96" s="34" t="s">
        <v>886</v>
      </c>
      <c r="D96" s="51" t="s">
        <v>98</v>
      </c>
      <c r="E96" s="61" t="str">
        <f>IFERROR(VLOOKUP(D96,'Master List'!D:H,2,FALSE),"NA")</f>
        <v>510910</v>
      </c>
      <c r="F96" s="62" t="str">
        <f>IFERROR(VLOOKUP(D96,'Master List'!D:H,3,FALSE),"NA")</f>
        <v>510910</v>
      </c>
      <c r="G96" s="58" t="str">
        <f>IFERROR(VLOOKUP(D96,'Master List'!D:H,4,FALSE),"NA")</f>
        <v>510910</v>
      </c>
      <c r="H96" s="39" t="str">
        <f>IFERROR(VLOOKUP(D96,'Master List'!D:H,5,FALSE),"NA")</f>
        <v>Diagnostic Medical Sonography/Sonographer and Ultrasound Technician.</v>
      </c>
      <c r="I96" s="19"/>
      <c r="J96" s="20"/>
      <c r="K96" s="20"/>
      <c r="L96" s="21"/>
    </row>
    <row r="97" spans="1:12" x14ac:dyDescent="0.3">
      <c r="A97" s="33">
        <v>10</v>
      </c>
      <c r="B97" s="33" t="s">
        <v>2156</v>
      </c>
      <c r="C97" s="34" t="s">
        <v>886</v>
      </c>
      <c r="D97" s="51" t="s">
        <v>332</v>
      </c>
      <c r="E97" s="61" t="str">
        <f>IFERROR(VLOOKUP(D97,'Master List'!D:H,2,FALSE),"NA")</f>
        <v>511004</v>
      </c>
      <c r="F97" s="62" t="str">
        <f>IFERROR(VLOOKUP(D97,'Master List'!D:H,3,FALSE),"NA")</f>
        <v>511004</v>
      </c>
      <c r="G97" s="58" t="str">
        <f>IFERROR(VLOOKUP(D97,'Master List'!D:H,4,FALSE),"NA")</f>
        <v>511004</v>
      </c>
      <c r="H97" s="39" t="str">
        <f>IFERROR(VLOOKUP(D97,'Master List'!D:H,5,FALSE),"NA")</f>
        <v>Clinical/Medical Laboratory Technician.</v>
      </c>
      <c r="I97" s="19"/>
      <c r="J97" s="20"/>
      <c r="K97" s="20"/>
      <c r="L97" s="21"/>
    </row>
    <row r="98" spans="1:12" x14ac:dyDescent="0.3">
      <c r="A98" s="33">
        <v>10</v>
      </c>
      <c r="B98" s="33" t="s">
        <v>2156</v>
      </c>
      <c r="C98" s="34" t="s">
        <v>886</v>
      </c>
      <c r="D98" s="51" t="s">
        <v>399</v>
      </c>
      <c r="E98" s="61" t="str">
        <f>IFERROR(VLOOKUP(D98,'Master List'!D:H,2,FALSE),"NA")</f>
        <v>NA</v>
      </c>
      <c r="F98" s="62" t="str">
        <f>IFERROR(VLOOKUP(D98,'Master List'!D:H,3,FALSE),"NA")</f>
        <v>NA</v>
      </c>
      <c r="G98" s="58" t="str">
        <f>IFERROR(VLOOKUP(D98,'Master List'!D:H,4,FALSE),"NA")</f>
        <v>NA</v>
      </c>
      <c r="H98" s="39" t="str">
        <f>IFERROR(VLOOKUP(D98,'Master List'!D:H,5,FALSE),"NA")</f>
        <v>NA</v>
      </c>
      <c r="I98" s="19"/>
      <c r="J98" s="20"/>
      <c r="K98" s="20"/>
      <c r="L98" s="21"/>
    </row>
    <row r="99" spans="1:12" x14ac:dyDescent="0.3">
      <c r="A99" s="33">
        <v>10</v>
      </c>
      <c r="B99" s="33" t="s">
        <v>2156</v>
      </c>
      <c r="C99" s="34" t="s">
        <v>886</v>
      </c>
      <c r="D99" s="51" t="s">
        <v>461</v>
      </c>
      <c r="E99" s="61" t="str">
        <f>IFERROR(VLOOKUP(D99,'Master List'!D:H,2,FALSE),"NA")</f>
        <v>511801</v>
      </c>
      <c r="F99" s="62" t="str">
        <f>IFERROR(VLOOKUP(D99,'Master List'!D:H,3,FALSE),"NA")</f>
        <v>511801</v>
      </c>
      <c r="G99" s="58" t="str">
        <f>IFERROR(VLOOKUP(D99,'Master List'!D:H,4,FALSE),"NA")</f>
        <v>511801</v>
      </c>
      <c r="H99" s="39" t="str">
        <f>IFERROR(VLOOKUP(D99,'Master List'!D:H,5,FALSE),"NA")</f>
        <v>Opticianry/Ophthalmic Dispensing Optician.</v>
      </c>
      <c r="I99" s="19"/>
      <c r="J99" s="20"/>
      <c r="K99" s="20"/>
      <c r="L99" s="21"/>
    </row>
    <row r="100" spans="1:12" x14ac:dyDescent="0.3">
      <c r="A100" s="33">
        <v>10</v>
      </c>
      <c r="B100" s="33" t="s">
        <v>2156</v>
      </c>
      <c r="C100" s="34" t="s">
        <v>886</v>
      </c>
      <c r="D100" s="51" t="s">
        <v>905</v>
      </c>
      <c r="E100" s="61" t="str">
        <f>IFERROR(VLOOKUP(D100,'Master List'!D:H,2,FALSE),"NA")</f>
        <v>511802</v>
      </c>
      <c r="F100" s="62" t="str">
        <f>IFERROR(VLOOKUP(D100,'Master List'!D:H,3,FALSE),"NA")</f>
        <v>511802</v>
      </c>
      <c r="G100" s="58" t="str">
        <f>IFERROR(VLOOKUP(D100,'Master List'!D:H,4,FALSE),"NA")</f>
        <v>511802</v>
      </c>
      <c r="H100" s="39" t="str">
        <f>IFERROR(VLOOKUP(D100,'Master List'!D:H,5,FALSE),"NA")</f>
        <v>Optometric Technician/Assistant.</v>
      </c>
      <c r="I100" s="19"/>
      <c r="J100" s="20"/>
      <c r="K100" s="20"/>
      <c r="L100" s="21"/>
    </row>
    <row r="101" spans="1:12" x14ac:dyDescent="0.3">
      <c r="A101" s="33">
        <v>10</v>
      </c>
      <c r="B101" s="33" t="s">
        <v>2156</v>
      </c>
      <c r="C101" s="34" t="s">
        <v>886</v>
      </c>
      <c r="D101" s="51" t="s">
        <v>341</v>
      </c>
      <c r="E101" s="61" t="str">
        <f>IFERROR(VLOOKUP(D101,'Master List'!D:H,2,FALSE),"NA")</f>
        <v>512211</v>
      </c>
      <c r="F101" s="62" t="str">
        <f>IFERROR(VLOOKUP(D101,'Master List'!D:H,3,FALSE),"NA")</f>
        <v>512211</v>
      </c>
      <c r="G101" s="58">
        <f>IFERROR(VLOOKUP(D101,'Master List'!D:H,4,FALSE),"NA")</f>
        <v>512208</v>
      </c>
      <c r="H101" s="39" t="str">
        <f>IFERROR(VLOOKUP(D101,'Master List'!D:H,5,FALSE),"NA")</f>
        <v>Community Health and Preventive Medicine</v>
      </c>
      <c r="I101" s="19"/>
      <c r="J101" s="20"/>
      <c r="K101" s="20"/>
      <c r="L101" s="21"/>
    </row>
    <row r="102" spans="1:12" x14ac:dyDescent="0.3">
      <c r="A102" s="33">
        <v>10</v>
      </c>
      <c r="B102" s="33" t="s">
        <v>2156</v>
      </c>
      <c r="C102" s="34" t="s">
        <v>886</v>
      </c>
      <c r="D102" s="51" t="s">
        <v>908</v>
      </c>
      <c r="E102" s="61" t="str">
        <f>IFERROR(VLOOKUP(D102,'Master List'!D:H,2,FALSE),"NA")</f>
        <v>513103</v>
      </c>
      <c r="F102" s="62" t="str">
        <f>IFERROR(VLOOKUP(D102,'Master List'!D:H,3,FALSE),"NA")</f>
        <v>513103</v>
      </c>
      <c r="G102" s="58" t="str">
        <f>IFERROR(VLOOKUP(D102,'Master List'!D:H,4,FALSE),"NA")</f>
        <v>513103</v>
      </c>
      <c r="H102" s="39" t="str">
        <f>IFERROR(VLOOKUP(D102,'Master List'!D:H,5,FALSE),"NA")</f>
        <v>Dietetic Technician.</v>
      </c>
      <c r="I102" s="19"/>
      <c r="J102" s="20"/>
      <c r="K102" s="20"/>
      <c r="L102" s="21"/>
    </row>
    <row r="103" spans="1:12" x14ac:dyDescent="0.3">
      <c r="A103" s="33">
        <v>10</v>
      </c>
      <c r="B103" s="33" t="s">
        <v>2156</v>
      </c>
      <c r="C103" s="34" t="s">
        <v>886</v>
      </c>
      <c r="D103" s="51" t="s">
        <v>101</v>
      </c>
      <c r="E103" s="61" t="str">
        <f>IFERROR(VLOOKUP(D103,'Master List'!D:H,2,FALSE),"NA")</f>
        <v>513801</v>
      </c>
      <c r="F103" s="62" t="str">
        <f>IFERROR(VLOOKUP(D103,'Master List'!D:H,3,FALSE),"NA")</f>
        <v>513801</v>
      </c>
      <c r="G103" s="58" t="str">
        <f>IFERROR(VLOOKUP(D103,'Master List'!D:H,4,FALSE),"NA")</f>
        <v>513801</v>
      </c>
      <c r="H103" s="39" t="str">
        <f>IFERROR(VLOOKUP(D103,'Master List'!D:H,5,FALSE),"NA")</f>
        <v>Registered Nursing/Registered Nurse.</v>
      </c>
      <c r="I103" s="19"/>
      <c r="J103" s="20"/>
      <c r="K103" s="20"/>
      <c r="L103" s="21"/>
    </row>
    <row r="104" spans="1:12" x14ac:dyDescent="0.3">
      <c r="A104" s="33">
        <v>10</v>
      </c>
      <c r="B104" s="33" t="s">
        <v>2156</v>
      </c>
      <c r="C104" s="34" t="s">
        <v>886</v>
      </c>
      <c r="D104" s="51" t="s">
        <v>342</v>
      </c>
      <c r="E104" s="61" t="str">
        <f>IFERROR(VLOOKUP(D104,'Master List'!D:H,2,FALSE),"NA")</f>
        <v>190708</v>
      </c>
      <c r="F104" s="62" t="str">
        <f>IFERROR(VLOOKUP(D104,'Master List'!D:H,3,FALSE),"NA")</f>
        <v>190708</v>
      </c>
      <c r="G104" s="58" t="str">
        <f>IFERROR(VLOOKUP(D104,'Master List'!D:H,4,FALSE),"NA")</f>
        <v>190708</v>
      </c>
      <c r="H104" s="39" t="str">
        <f>IFERROR(VLOOKUP(D104,'Master List'!D:H,5,FALSE),"NA")</f>
        <v>Child Care and Support Services Management.</v>
      </c>
      <c r="I104" s="19"/>
      <c r="J104" s="20"/>
      <c r="K104" s="20"/>
      <c r="L104" s="21"/>
    </row>
    <row r="105" spans="1:12" x14ac:dyDescent="0.3">
      <c r="A105" s="33">
        <v>10</v>
      </c>
      <c r="B105" s="33" t="s">
        <v>2156</v>
      </c>
      <c r="C105" s="34" t="s">
        <v>886</v>
      </c>
      <c r="D105" s="51" t="s">
        <v>403</v>
      </c>
      <c r="E105" s="61" t="str">
        <f>IFERROR(VLOOKUP(D105,'Master List'!D:H,2,FALSE),"NA")</f>
        <v>511599</v>
      </c>
      <c r="F105" s="62" t="str">
        <f>IFERROR(VLOOKUP(D105,'Master List'!D:H,3,FALSE),"NA")</f>
        <v>511599</v>
      </c>
      <c r="G105" s="58" t="str">
        <f>IFERROR(VLOOKUP(D105,'Master List'!D:H,4,FALSE),"NA")</f>
        <v>511599</v>
      </c>
      <c r="H105" s="39" t="str">
        <f>IFERROR(VLOOKUP(D105,'Master List'!D:H,5,FALSE),"NA")</f>
        <v>Mental and Social Health Services and Allied Professions, Other.</v>
      </c>
      <c r="I105" s="19"/>
      <c r="J105" s="20"/>
      <c r="K105" s="20"/>
      <c r="L105" s="21"/>
    </row>
    <row r="106" spans="1:12" x14ac:dyDescent="0.3">
      <c r="A106" s="33">
        <v>10</v>
      </c>
      <c r="B106" s="33" t="s">
        <v>2156</v>
      </c>
      <c r="C106" s="34" t="s">
        <v>886</v>
      </c>
      <c r="D106" s="51" t="s">
        <v>167</v>
      </c>
      <c r="E106" s="61" t="str">
        <f>IFERROR(VLOOKUP(D106,'Master List'!D:H,2,FALSE),"NA")</f>
        <v>110103</v>
      </c>
      <c r="F106" s="62" t="str">
        <f>IFERROR(VLOOKUP(D106,'Master List'!D:H,3,FALSE),"NA")</f>
        <v>110103</v>
      </c>
      <c r="G106" s="58" t="str">
        <f>IFERROR(VLOOKUP(D106,'Master List'!D:H,4,FALSE),"NA")</f>
        <v>110103</v>
      </c>
      <c r="H106" s="39" t="str">
        <f>IFERROR(VLOOKUP(D106,'Master List'!D:H,5,FALSE),"NA")</f>
        <v>Information Technology.</v>
      </c>
      <c r="I106" s="19"/>
      <c r="J106" s="20"/>
      <c r="K106" s="20"/>
      <c r="L106" s="21"/>
    </row>
    <row r="107" spans="1:12" x14ac:dyDescent="0.3">
      <c r="A107" s="33">
        <v>10</v>
      </c>
      <c r="B107" s="33" t="s">
        <v>2156</v>
      </c>
      <c r="C107" s="34" t="s">
        <v>886</v>
      </c>
      <c r="D107" s="51" t="s">
        <v>464</v>
      </c>
      <c r="E107" s="61" t="str">
        <f>IFERROR(VLOOKUP(D107,'Master List'!D:H,2,FALSE),"NA")</f>
        <v>110103</v>
      </c>
      <c r="F107" s="62" t="str">
        <f>IFERROR(VLOOKUP(D107,'Master List'!D:H,3,FALSE),"NA")</f>
        <v>110103</v>
      </c>
      <c r="G107" s="58">
        <f>IFERROR(VLOOKUP(D107,'Master List'!D:H,4,FALSE),"NA")</f>
        <v>110802</v>
      </c>
      <c r="H107" s="39" t="str">
        <f>IFERROR(VLOOKUP(D107,'Master List'!D:H,5,FALSE),"NA")</f>
        <v xml:space="preserve">Data Modeling/Warehousing and Database Administration. </v>
      </c>
      <c r="I107" s="19"/>
      <c r="J107" s="20"/>
      <c r="K107" s="20"/>
      <c r="L107" s="21"/>
    </row>
    <row r="108" spans="1:12" x14ac:dyDescent="0.3">
      <c r="A108" s="33">
        <v>10</v>
      </c>
      <c r="B108" s="33" t="s">
        <v>2156</v>
      </c>
      <c r="C108" s="34" t="s">
        <v>886</v>
      </c>
      <c r="D108" s="51" t="s">
        <v>170</v>
      </c>
      <c r="E108" s="61" t="str">
        <f>IFERROR(VLOOKUP(D108,'Master List'!D:H,2,FALSE),"NA")</f>
        <v>110201</v>
      </c>
      <c r="F108" s="62" t="str">
        <f>IFERROR(VLOOKUP(D108,'Master List'!D:H,3,FALSE),"NA")</f>
        <v>110201</v>
      </c>
      <c r="G108" s="58" t="str">
        <f>IFERROR(VLOOKUP(D108,'Master List'!D:H,4,FALSE),"NA")</f>
        <v>110201</v>
      </c>
      <c r="H108" s="39" t="str">
        <f>IFERROR(VLOOKUP(D108,'Master List'!D:H,5,FALSE),"NA")</f>
        <v>Computer Programming/Programmer, General.</v>
      </c>
      <c r="I108" s="19"/>
      <c r="J108" s="20"/>
      <c r="K108" s="20"/>
      <c r="L108" s="21"/>
    </row>
    <row r="109" spans="1:12" x14ac:dyDescent="0.3">
      <c r="A109" s="33">
        <v>10</v>
      </c>
      <c r="B109" s="33" t="s">
        <v>2156</v>
      </c>
      <c r="C109" s="34" t="s">
        <v>886</v>
      </c>
      <c r="D109" s="51" t="s">
        <v>404</v>
      </c>
      <c r="E109" s="61" t="str">
        <f>IFERROR(VLOOKUP(D109,'Master List'!D:H,2,FALSE),"NA")</f>
        <v>110801</v>
      </c>
      <c r="F109" s="62" t="str">
        <f>IFERROR(VLOOKUP(D109,'Master List'!D:H,3,FALSE),"NA")</f>
        <v>110801</v>
      </c>
      <c r="G109" s="58" t="str">
        <f>IFERROR(VLOOKUP(D109,'Master List'!D:H,4,FALSE),"NA")</f>
        <v>110801</v>
      </c>
      <c r="H109" s="39" t="str">
        <f>IFERROR(VLOOKUP(D109,'Master List'!D:H,5,FALSE),"NA")</f>
        <v>Web Page, Digital/Multimedia and Information Resources Design.</v>
      </c>
      <c r="I109" s="19"/>
      <c r="J109" s="20"/>
      <c r="K109" s="20"/>
      <c r="L109" s="21"/>
    </row>
    <row r="110" spans="1:12" x14ac:dyDescent="0.3">
      <c r="A110" s="33">
        <v>10</v>
      </c>
      <c r="B110" s="33" t="s">
        <v>2156</v>
      </c>
      <c r="C110" s="34" t="s">
        <v>886</v>
      </c>
      <c r="D110" s="51" t="s">
        <v>686</v>
      </c>
      <c r="E110" s="61" t="str">
        <f>IFERROR(VLOOKUP(D110,'Master List'!D:H,2,FALSE),"NA")</f>
        <v>110801</v>
      </c>
      <c r="F110" s="62" t="str">
        <f>IFERROR(VLOOKUP(D110,'Master List'!D:H,3,FALSE),"NA")</f>
        <v>110801</v>
      </c>
      <c r="G110" s="58">
        <f>IFERROR(VLOOKUP(D110,'Master List'!D:H,4,FALSE),"NA")</f>
        <v>111004</v>
      </c>
      <c r="H110" s="39" t="str">
        <f>IFERROR(VLOOKUP(D110,'Master List'!D:H,5,FALSE),"NA")</f>
        <v xml:space="preserve">Web/Multimedia Management and Webmaster. </v>
      </c>
      <c r="I110" s="19"/>
      <c r="J110" s="20"/>
      <c r="K110" s="20"/>
      <c r="L110" s="21"/>
    </row>
    <row r="111" spans="1:12" x14ac:dyDescent="0.3">
      <c r="A111" s="33">
        <v>10</v>
      </c>
      <c r="B111" s="33" t="s">
        <v>2156</v>
      </c>
      <c r="C111" s="34" t="s">
        <v>886</v>
      </c>
      <c r="D111" s="51" t="s">
        <v>106</v>
      </c>
      <c r="E111" s="61" t="str">
        <f>IFERROR(VLOOKUP(D111,'Master List'!D:H,2,FALSE),"NA")</f>
        <v>111001</v>
      </c>
      <c r="F111" s="62" t="str">
        <f>IFERROR(VLOOKUP(D111,'Master List'!D:H,3,FALSE),"NA")</f>
        <v>111001</v>
      </c>
      <c r="G111" s="58" t="str">
        <f>IFERROR(VLOOKUP(D111,'Master List'!D:H,4,FALSE),"NA")</f>
        <v>111001</v>
      </c>
      <c r="H111" s="39" t="str">
        <f>IFERROR(VLOOKUP(D111,'Master List'!D:H,5,FALSE),"NA")</f>
        <v>Network and System Administration/Administrator.</v>
      </c>
      <c r="I111" s="19"/>
      <c r="J111" s="20"/>
      <c r="K111" s="20"/>
      <c r="L111" s="21"/>
    </row>
    <row r="112" spans="1:12" x14ac:dyDescent="0.3">
      <c r="A112" s="33">
        <v>10</v>
      </c>
      <c r="B112" s="33" t="s">
        <v>2156</v>
      </c>
      <c r="C112" s="34" t="s">
        <v>886</v>
      </c>
      <c r="D112" s="51" t="s">
        <v>725</v>
      </c>
      <c r="E112" s="61" t="str">
        <f>IFERROR(VLOOKUP(D112,'Master List'!D:H,2,FALSE),"NA")</f>
        <v>111003</v>
      </c>
      <c r="F112" s="62" t="str">
        <f>IFERROR(VLOOKUP(D112,'Master List'!D:H,3,FALSE),"NA")</f>
        <v>111003</v>
      </c>
      <c r="G112" s="58" t="str">
        <f>IFERROR(VLOOKUP(D112,'Master List'!D:H,4,FALSE),"NA")</f>
        <v>111003</v>
      </c>
      <c r="H112" s="39" t="str">
        <f>IFERROR(VLOOKUP(D112,'Master List'!D:H,5,FALSE),"NA")</f>
        <v>Computer and Information Systems Security/Auditing/Information Assurance.</v>
      </c>
      <c r="I112" s="19"/>
      <c r="J112" s="20"/>
      <c r="K112" s="20"/>
      <c r="L112" s="21"/>
    </row>
    <row r="113" spans="1:12" x14ac:dyDescent="0.3">
      <c r="A113" s="33">
        <v>10</v>
      </c>
      <c r="B113" s="33" t="s">
        <v>2156</v>
      </c>
      <c r="C113" s="34" t="s">
        <v>886</v>
      </c>
      <c r="D113" s="51" t="s">
        <v>751</v>
      </c>
      <c r="E113" s="61" t="str">
        <f>IFERROR(VLOOKUP(D113,'Master List'!D:H,2,FALSE),"NA")</f>
        <v>111005</v>
      </c>
      <c r="F113" s="62" t="str">
        <f>IFERROR(VLOOKUP(D113,'Master List'!D:H,3,FALSE),"NA")</f>
        <v>111005</v>
      </c>
      <c r="G113" s="58" t="str">
        <f>IFERROR(VLOOKUP(D113,'Master List'!D:H,4,FALSE),"NA")</f>
        <v>111005</v>
      </c>
      <c r="H113" s="39" t="str">
        <f>IFERROR(VLOOKUP(D113,'Master List'!D:H,5,FALSE),"NA")</f>
        <v>Information Technology Project Management.</v>
      </c>
      <c r="I113" s="19"/>
      <c r="J113" s="20"/>
      <c r="K113" s="20"/>
      <c r="L113" s="21"/>
    </row>
    <row r="114" spans="1:12" x14ac:dyDescent="0.3">
      <c r="A114" s="33">
        <v>10</v>
      </c>
      <c r="B114" s="33" t="s">
        <v>2156</v>
      </c>
      <c r="C114" s="34" t="s">
        <v>886</v>
      </c>
      <c r="D114" s="51" t="s">
        <v>107</v>
      </c>
      <c r="E114" s="61" t="str">
        <f>IFERROR(VLOOKUP(D114,'Master List'!D:H,2,FALSE),"NA")</f>
        <v>520201</v>
      </c>
      <c r="F114" s="62" t="str">
        <f>IFERROR(VLOOKUP(D114,'Master List'!D:H,3,FALSE),"NA")</f>
        <v>520201</v>
      </c>
      <c r="G114" s="58" t="str">
        <f>IFERROR(VLOOKUP(D114,'Master List'!D:H,4,FALSE),"NA")</f>
        <v>520201</v>
      </c>
      <c r="H114" s="39" t="str">
        <f>IFERROR(VLOOKUP(D114,'Master List'!D:H,5,FALSE),"NA")</f>
        <v>Business Administration and Management, General.</v>
      </c>
      <c r="I114" s="19"/>
      <c r="J114" s="20"/>
      <c r="K114" s="20"/>
      <c r="L114" s="21"/>
    </row>
    <row r="115" spans="1:12" x14ac:dyDescent="0.3">
      <c r="A115" s="33">
        <v>10</v>
      </c>
      <c r="B115" s="33" t="s">
        <v>2156</v>
      </c>
      <c r="C115" s="34" t="s">
        <v>886</v>
      </c>
      <c r="D115" s="51" t="s">
        <v>351</v>
      </c>
      <c r="E115" s="61" t="str">
        <f>IFERROR(VLOOKUP(D115,'Master List'!D:H,2,FALSE),"NA")</f>
        <v>520204</v>
      </c>
      <c r="F115" s="62" t="str">
        <f>IFERROR(VLOOKUP(D115,'Master List'!D:H,3,FALSE),"NA")</f>
        <v>520204</v>
      </c>
      <c r="G115" s="58" t="str">
        <f>IFERROR(VLOOKUP(D115,'Master List'!D:H,4,FALSE),"NA")</f>
        <v>520204</v>
      </c>
      <c r="H115" s="39" t="str">
        <f>IFERROR(VLOOKUP(D115,'Master List'!D:H,5,FALSE),"NA")</f>
        <v>Office Management and Supervision.</v>
      </c>
      <c r="I115" s="19"/>
      <c r="J115" s="20"/>
      <c r="K115" s="20"/>
      <c r="L115" s="21"/>
    </row>
    <row r="116" spans="1:12" x14ac:dyDescent="0.3">
      <c r="A116" s="33">
        <v>10</v>
      </c>
      <c r="B116" s="33" t="s">
        <v>2156</v>
      </c>
      <c r="C116" s="34" t="s">
        <v>886</v>
      </c>
      <c r="D116" s="51" t="s">
        <v>528</v>
      </c>
      <c r="E116" s="61" t="str">
        <f>IFERROR(VLOOKUP(D116,'Master List'!D:H,2,FALSE),"NA")</f>
        <v>520204</v>
      </c>
      <c r="F116" s="62" t="str">
        <f>IFERROR(VLOOKUP(D116,'Master List'!D:H,3,FALSE),"NA")</f>
        <v>520204</v>
      </c>
      <c r="G116" s="58">
        <f>IFERROR(VLOOKUP(D116,'Master List'!D:H,4,FALSE),"NA")</f>
        <v>510705</v>
      </c>
      <c r="H116" s="39" t="str">
        <f>IFERROR(VLOOKUP(D116,'Master List'!D:H,5,FALSE),"NA")</f>
        <v>Medical Office Management/Administration</v>
      </c>
      <c r="I116" s="19"/>
      <c r="J116" s="20"/>
      <c r="K116" s="20"/>
      <c r="L116" s="21"/>
    </row>
    <row r="117" spans="1:12" x14ac:dyDescent="0.3">
      <c r="A117" s="33">
        <v>10</v>
      </c>
      <c r="B117" s="33" t="s">
        <v>2156</v>
      </c>
      <c r="C117" s="34" t="s">
        <v>886</v>
      </c>
      <c r="D117" s="51" t="s">
        <v>110</v>
      </c>
      <c r="E117" s="61" t="str">
        <f>IFERROR(VLOOKUP(D117,'Master List'!D:H,2,FALSE),"NA")</f>
        <v>520302</v>
      </c>
      <c r="F117" s="62" t="str">
        <f>IFERROR(VLOOKUP(D117,'Master List'!D:H,3,FALSE),"NA")</f>
        <v>520302</v>
      </c>
      <c r="G117" s="58" t="str">
        <f>IFERROR(VLOOKUP(D117,'Master List'!D:H,4,FALSE),"NA")</f>
        <v>520302</v>
      </c>
      <c r="H117" s="39" t="str">
        <f>IFERROR(VLOOKUP(D117,'Master List'!D:H,5,FALSE),"NA")</f>
        <v>Accounting Technology/Technician and Bookkeeping.</v>
      </c>
      <c r="I117" s="19"/>
      <c r="J117" s="20"/>
      <c r="K117" s="20"/>
      <c r="L117" s="21"/>
    </row>
    <row r="118" spans="1:12" x14ac:dyDescent="0.3">
      <c r="A118" s="33">
        <v>10</v>
      </c>
      <c r="B118" s="33" t="s">
        <v>2156</v>
      </c>
      <c r="C118" s="34" t="s">
        <v>886</v>
      </c>
      <c r="D118" s="51" t="s">
        <v>353</v>
      </c>
      <c r="E118" s="61" t="str">
        <f>IFERROR(VLOOKUP(D118,'Master List'!D:H,2,FALSE),"NA")</f>
        <v>040901</v>
      </c>
      <c r="F118" s="62" t="str">
        <f>IFERROR(VLOOKUP(D118,'Master List'!D:H,3,FALSE),"NA")</f>
        <v>040901</v>
      </c>
      <c r="G118" s="58" t="str">
        <f>IFERROR(VLOOKUP(D118,'Master List'!D:H,4,FALSE),"NA")</f>
        <v>040901</v>
      </c>
      <c r="H118" s="39" t="str">
        <f>IFERROR(VLOOKUP(D118,'Master List'!D:H,5,FALSE),"NA")</f>
        <v>Architectural Technology/Technician.</v>
      </c>
      <c r="I118" s="19"/>
      <c r="J118" s="20"/>
      <c r="K118" s="20"/>
      <c r="L118" s="21"/>
    </row>
    <row r="119" spans="1:12" x14ac:dyDescent="0.3">
      <c r="A119" s="33">
        <v>10</v>
      </c>
      <c r="B119" s="33" t="s">
        <v>2156</v>
      </c>
      <c r="C119" s="34" t="s">
        <v>886</v>
      </c>
      <c r="D119" s="51" t="s">
        <v>465</v>
      </c>
      <c r="E119" s="61" t="str">
        <f>IFERROR(VLOOKUP(D119,'Master List'!D:H,2,FALSE),"NA")</f>
        <v>090702</v>
      </c>
      <c r="F119" s="62" t="str">
        <f>IFERROR(VLOOKUP(D119,'Master List'!D:H,3,FALSE),"NA")</f>
        <v>090702</v>
      </c>
      <c r="G119" s="58" t="str">
        <f>IFERROR(VLOOKUP(D119,'Master List'!D:H,4,FALSE),"NA")</f>
        <v>090702</v>
      </c>
      <c r="H119" s="39" t="str">
        <f>IFERROR(VLOOKUP(D119,'Master List'!D:H,5,FALSE),"NA")</f>
        <v>Digital Communication and Media/Multimedia.</v>
      </c>
      <c r="I119" s="19"/>
      <c r="J119" s="20"/>
      <c r="K119" s="20"/>
      <c r="L119" s="21"/>
    </row>
    <row r="120" spans="1:12" x14ac:dyDescent="0.3">
      <c r="A120" s="33">
        <v>10</v>
      </c>
      <c r="B120" s="33" t="s">
        <v>2156</v>
      </c>
      <c r="C120" s="34" t="s">
        <v>886</v>
      </c>
      <c r="D120" s="51" t="s">
        <v>114</v>
      </c>
      <c r="E120" s="61" t="str">
        <f>IFERROR(VLOOKUP(D120,'Master List'!D:H,2,FALSE),"NA")</f>
        <v>110801</v>
      </c>
      <c r="F120" s="62" t="str">
        <f>IFERROR(VLOOKUP(D120,'Master List'!D:H,3,FALSE),"NA")</f>
        <v>110801</v>
      </c>
      <c r="G120" s="58" t="str">
        <f>IFERROR(VLOOKUP(D120,'Master List'!D:H,4,FALSE),"NA")</f>
        <v>110801</v>
      </c>
      <c r="H120" s="39" t="str">
        <f>IFERROR(VLOOKUP(D120,'Master List'!D:H,5,FALSE),"NA")</f>
        <v>Web Page, Digital/Multimedia and Information Resources Design.</v>
      </c>
      <c r="I120" s="19"/>
      <c r="J120" s="20"/>
      <c r="K120" s="20"/>
      <c r="L120" s="21"/>
    </row>
    <row r="121" spans="1:12" x14ac:dyDescent="0.3">
      <c r="A121" s="33">
        <v>10</v>
      </c>
      <c r="B121" s="33" t="s">
        <v>2156</v>
      </c>
      <c r="C121" s="34" t="s">
        <v>886</v>
      </c>
      <c r="D121" s="51" t="s">
        <v>117</v>
      </c>
      <c r="E121" s="61" t="str">
        <f>IFERROR(VLOOKUP(D121,'Master List'!D:H,2,FALSE),"NA")</f>
        <v>120504</v>
      </c>
      <c r="F121" s="62" t="str">
        <f>IFERROR(VLOOKUP(D121,'Master List'!D:H,3,FALSE),"NA")</f>
        <v>120504</v>
      </c>
      <c r="G121" s="58" t="str">
        <f>IFERROR(VLOOKUP(D121,'Master List'!D:H,4,FALSE),"NA")</f>
        <v>120504</v>
      </c>
      <c r="H121" s="39" t="str">
        <f>IFERROR(VLOOKUP(D121,'Master List'!D:H,5,FALSE),"NA")</f>
        <v>Restaurant, Culinary, and Catering Management/Manager.</v>
      </c>
      <c r="I121" s="19"/>
      <c r="J121" s="20"/>
      <c r="K121" s="20"/>
      <c r="L121" s="21"/>
    </row>
    <row r="122" spans="1:12" x14ac:dyDescent="0.3">
      <c r="A122" s="33">
        <v>10</v>
      </c>
      <c r="B122" s="33" t="s">
        <v>2156</v>
      </c>
      <c r="C122" s="34" t="s">
        <v>886</v>
      </c>
      <c r="D122" s="51" t="s">
        <v>120</v>
      </c>
      <c r="E122" s="61" t="str">
        <f>IFERROR(VLOOKUP(D122,'Master List'!D:H,2,FALSE),"NA")</f>
        <v>150000</v>
      </c>
      <c r="F122" s="62" t="str">
        <f>IFERROR(VLOOKUP(D122,'Master List'!D:H,3,FALSE),"NA")</f>
        <v>150000</v>
      </c>
      <c r="G122" s="58" t="str">
        <f>IFERROR(VLOOKUP(D122,'Master List'!D:H,4,FALSE),"NA")</f>
        <v>150000</v>
      </c>
      <c r="H122" s="39" t="str">
        <f>IFERROR(VLOOKUP(D122,'Master List'!D:H,5,FALSE),"NA")</f>
        <v>Engineering Technologies/Technicians, General.</v>
      </c>
      <c r="I122" s="19"/>
      <c r="J122" s="20"/>
      <c r="K122" s="20"/>
      <c r="L122" s="21"/>
    </row>
    <row r="123" spans="1:12" x14ac:dyDescent="0.3">
      <c r="A123" s="33">
        <v>10</v>
      </c>
      <c r="B123" s="33" t="s">
        <v>2156</v>
      </c>
      <c r="C123" s="34" t="s">
        <v>886</v>
      </c>
      <c r="D123" s="51" t="s">
        <v>468</v>
      </c>
      <c r="E123" s="61" t="str">
        <f>IFERROR(VLOOKUP(D123,'Master List'!D:H,2,FALSE),"NA")</f>
        <v>150303</v>
      </c>
      <c r="F123" s="62" t="str">
        <f>IFERROR(VLOOKUP(D123,'Master List'!D:H,3,FALSE),"NA")</f>
        <v>150303</v>
      </c>
      <c r="G123" s="58" t="str">
        <f>IFERROR(VLOOKUP(D123,'Master List'!D:H,4,FALSE),"NA")</f>
        <v>150303</v>
      </c>
      <c r="H123" s="39" t="str">
        <f>IFERROR(VLOOKUP(D123,'Master List'!D:H,5,FALSE),"NA")</f>
        <v>Electrical, Electronic, and Communications Engineering Technology/Technician.</v>
      </c>
      <c r="I123" s="19"/>
      <c r="J123" s="20"/>
      <c r="K123" s="20"/>
      <c r="L123" s="21"/>
    </row>
    <row r="124" spans="1:12" x14ac:dyDescent="0.3">
      <c r="A124" s="33">
        <v>10</v>
      </c>
      <c r="B124" s="33" t="s">
        <v>2156</v>
      </c>
      <c r="C124" s="34" t="s">
        <v>886</v>
      </c>
      <c r="D124" s="51" t="s">
        <v>472</v>
      </c>
      <c r="E124" s="61" t="str">
        <f>IFERROR(VLOOKUP(D124,'Master List'!D:H,2,FALSE),"NA")</f>
        <v>151201</v>
      </c>
      <c r="F124" s="62" t="str">
        <f>IFERROR(VLOOKUP(D124,'Master List'!D:H,3,FALSE),"NA")</f>
        <v>151201</v>
      </c>
      <c r="G124" s="58" t="str">
        <f>IFERROR(VLOOKUP(D124,'Master List'!D:H,4,FALSE),"NA")</f>
        <v>151201</v>
      </c>
      <c r="H124" s="39" t="str">
        <f>IFERROR(VLOOKUP(D124,'Master List'!D:H,5,FALSE),"NA")</f>
        <v>Computer Engineering Technology/Technician.</v>
      </c>
      <c r="I124" s="19"/>
      <c r="J124" s="20"/>
      <c r="K124" s="20"/>
      <c r="L124" s="21"/>
    </row>
    <row r="125" spans="1:12" x14ac:dyDescent="0.3">
      <c r="A125" s="33">
        <v>10</v>
      </c>
      <c r="B125" s="33" t="s">
        <v>2156</v>
      </c>
      <c r="C125" s="34" t="s">
        <v>886</v>
      </c>
      <c r="D125" s="51" t="s">
        <v>367</v>
      </c>
      <c r="E125" s="61" t="str">
        <f>IFERROR(VLOOKUP(D125,'Master List'!D:H,2,FALSE),"NA")</f>
        <v>520205</v>
      </c>
      <c r="F125" s="62" t="str">
        <f>IFERROR(VLOOKUP(D125,'Master List'!D:H,3,FALSE),"NA")</f>
        <v>520205</v>
      </c>
      <c r="G125" s="58" t="str">
        <f>IFERROR(VLOOKUP(D125,'Master List'!D:H,4,FALSE),"NA")</f>
        <v>520205</v>
      </c>
      <c r="H125" s="39" t="str">
        <f>IFERROR(VLOOKUP(D125,'Master List'!D:H,5,FALSE),"NA")</f>
        <v>Operations Management and Supervision.</v>
      </c>
      <c r="I125" s="19"/>
      <c r="J125" s="20"/>
      <c r="K125" s="20"/>
      <c r="L125" s="21"/>
    </row>
    <row r="126" spans="1:12" x14ac:dyDescent="0.3">
      <c r="A126" s="33">
        <v>10</v>
      </c>
      <c r="B126" s="33" t="s">
        <v>2156</v>
      </c>
      <c r="C126" s="34" t="s">
        <v>886</v>
      </c>
      <c r="D126" s="51" t="s">
        <v>371</v>
      </c>
      <c r="E126" s="61" t="str">
        <f>IFERROR(VLOOKUP(D126,'Master List'!D:H,2,FALSE),"NA")</f>
        <v>520209</v>
      </c>
      <c r="F126" s="62" t="str">
        <f>IFERROR(VLOOKUP(D126,'Master List'!D:H,3,FALSE),"NA")</f>
        <v>520209</v>
      </c>
      <c r="G126" s="58" t="str">
        <f>IFERROR(VLOOKUP(D126,'Master List'!D:H,4,FALSE),"NA")</f>
        <v>520209</v>
      </c>
      <c r="H126" s="39" t="str">
        <f>IFERROR(VLOOKUP(D126,'Master List'!D:H,5,FALSE),"NA")</f>
        <v>Transportation/Mobility Management.</v>
      </c>
      <c r="I126" s="19"/>
      <c r="J126" s="20"/>
      <c r="K126" s="20"/>
      <c r="L126" s="21"/>
    </row>
    <row r="127" spans="1:12" x14ac:dyDescent="0.3">
      <c r="A127" s="33">
        <v>10</v>
      </c>
      <c r="B127" s="33" t="s">
        <v>2156</v>
      </c>
      <c r="C127" s="34" t="s">
        <v>886</v>
      </c>
      <c r="D127" s="51" t="s">
        <v>372</v>
      </c>
      <c r="E127" s="61" t="str">
        <f>IFERROR(VLOOKUP(D127,'Master List'!D:H,2,FALSE),"NA")</f>
        <v>030104</v>
      </c>
      <c r="F127" s="62" t="str">
        <f>IFERROR(VLOOKUP(D127,'Master List'!D:H,3,FALSE),"NA")</f>
        <v>030104</v>
      </c>
      <c r="G127" s="58" t="str">
        <f>IFERROR(VLOOKUP(D127,'Master List'!D:H,4,FALSE),"NA")</f>
        <v>030104</v>
      </c>
      <c r="H127" s="39" t="str">
        <f>IFERROR(VLOOKUP(D127,'Master List'!D:H,5,FALSE),"NA")</f>
        <v>Environmental Science.</v>
      </c>
      <c r="I127" s="19"/>
      <c r="J127" s="20"/>
      <c r="K127" s="20"/>
      <c r="L127" s="21"/>
    </row>
    <row r="128" spans="1:12" x14ac:dyDescent="0.3">
      <c r="A128" s="33">
        <v>10</v>
      </c>
      <c r="B128" s="33" t="s">
        <v>2156</v>
      </c>
      <c r="C128" s="34" t="s">
        <v>886</v>
      </c>
      <c r="D128" s="51" t="s">
        <v>125</v>
      </c>
      <c r="E128" s="61" t="str">
        <f>IFERROR(VLOOKUP(D128,'Master List'!D:H,2,FALSE),"NA")</f>
        <v>220302</v>
      </c>
      <c r="F128" s="62" t="str">
        <f>IFERROR(VLOOKUP(D128,'Master List'!D:H,3,FALSE),"NA")</f>
        <v>220302</v>
      </c>
      <c r="G128" s="58" t="str">
        <f>IFERROR(VLOOKUP(D128,'Master List'!D:H,4,FALSE),"NA")</f>
        <v>220302</v>
      </c>
      <c r="H128" s="39" t="str">
        <f>IFERROR(VLOOKUP(D128,'Master List'!D:H,5,FALSE),"NA")</f>
        <v>Legal Assistant/Paralegal.</v>
      </c>
      <c r="I128" s="19"/>
      <c r="J128" s="20"/>
      <c r="K128" s="20"/>
      <c r="L128" s="21"/>
    </row>
    <row r="129" spans="1:12" x14ac:dyDescent="0.3">
      <c r="A129" s="33">
        <v>10</v>
      </c>
      <c r="B129" s="33" t="s">
        <v>2156</v>
      </c>
      <c r="C129" s="34" t="s">
        <v>886</v>
      </c>
      <c r="D129" s="51" t="s">
        <v>128</v>
      </c>
      <c r="E129" s="61" t="str">
        <f>IFERROR(VLOOKUP(D129,'Master List'!D:H,2,FALSE),"NA")</f>
        <v>430103</v>
      </c>
      <c r="F129" s="62" t="str">
        <f>IFERROR(VLOOKUP(D129,'Master List'!D:H,3,FALSE),"NA")</f>
        <v>430103</v>
      </c>
      <c r="G129" s="58" t="str">
        <f>IFERROR(VLOOKUP(D129,'Master List'!D:H,4,FALSE),"NA")</f>
        <v>430103</v>
      </c>
      <c r="H129" s="39" t="str">
        <f>IFERROR(VLOOKUP(D129,'Master List'!D:H,5,FALSE),"NA")</f>
        <v>Criminal Justice/Law Enforcement Administration.</v>
      </c>
      <c r="I129" s="19"/>
      <c r="J129" s="20"/>
      <c r="K129" s="20"/>
      <c r="L129" s="21"/>
    </row>
    <row r="130" spans="1:12" x14ac:dyDescent="0.3">
      <c r="A130" s="33">
        <v>10</v>
      </c>
      <c r="B130" s="33" t="s">
        <v>2156</v>
      </c>
      <c r="C130" s="34" t="s">
        <v>886</v>
      </c>
      <c r="D130" s="51" t="s">
        <v>131</v>
      </c>
      <c r="E130" s="61" t="str">
        <f>IFERROR(VLOOKUP(D130,'Master List'!D:H,2,FALSE),"NA")</f>
        <v>NA</v>
      </c>
      <c r="F130" s="62" t="str">
        <f>IFERROR(VLOOKUP(D130,'Master List'!D:H,3,FALSE),"NA")</f>
        <v>NA</v>
      </c>
      <c r="G130" s="58" t="str">
        <f>IFERROR(VLOOKUP(D130,'Master List'!D:H,4,FALSE),"NA")</f>
        <v>NA</v>
      </c>
      <c r="H130" s="39" t="str">
        <f>IFERROR(VLOOKUP(D130,'Master List'!D:H,5,FALSE),"NA")</f>
        <v>NA</v>
      </c>
      <c r="I130" s="19"/>
      <c r="J130" s="20"/>
      <c r="K130" s="20"/>
      <c r="L130" s="21"/>
    </row>
  </sheetData>
  <sheetProtection algorithmName="SHA-512" hashValue="jiTm0HNNLWQs1rSO0dknNuGc7++qF4/0aEn2GmHNCa3p/nyGciK/dcriV2sFLcsIsIvDOLimZgsAi3q+gd/MeQ==" saltValue="SkCEM/0rhiqQVg2ojbVpqg==" spinCount="100000" sheet="1" objects="1" scenarios="1" sort="0" autoFilter="0"/>
  <autoFilter ref="A2:L130"/>
  <mergeCells count="3">
    <mergeCell ref="A1:D1"/>
    <mergeCell ref="E1:H1"/>
    <mergeCell ref="I1:L1"/>
  </mergeCells>
  <dataValidations count="1">
    <dataValidation type="list" allowBlank="1" showInputMessage="1" showErrorMessage="1" sqref="I3:I130">
      <formula1>"Agree,Disagree"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8" style="25" bestFit="1" customWidth="1"/>
    <col min="9" max="9" width="24.33203125" style="17" customWidth="1"/>
    <col min="10" max="10" width="26.33203125" style="17" customWidth="1"/>
    <col min="11" max="12" width="34.88671875" style="17" customWidth="1"/>
    <col min="13" max="16384" width="8.88671875" style="17"/>
  </cols>
  <sheetData>
    <row r="1" spans="1:12" s="27" customFormat="1" ht="63.6"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2217</v>
      </c>
      <c r="I2" s="15" t="s">
        <v>2151</v>
      </c>
      <c r="J2" s="15" t="s">
        <v>2152</v>
      </c>
      <c r="K2" s="15" t="s">
        <v>5</v>
      </c>
      <c r="L2" s="15" t="s">
        <v>2153</v>
      </c>
    </row>
    <row r="3" spans="1:12" x14ac:dyDescent="0.3">
      <c r="A3" s="33">
        <v>11</v>
      </c>
      <c r="B3" s="33" t="s">
        <v>2157</v>
      </c>
      <c r="C3" s="34" t="s">
        <v>858</v>
      </c>
      <c r="D3" s="51" t="s">
        <v>859</v>
      </c>
      <c r="E3" s="61" t="str">
        <f>IFERROR(VLOOKUP(D3,'Master List'!D:H,2,FALSE),"NA")</f>
        <v>010303</v>
      </c>
      <c r="F3" s="62" t="str">
        <f>IFERROR(VLOOKUP(D3,'Master List'!D:H,3,FALSE),"NA")</f>
        <v>010303</v>
      </c>
      <c r="G3" s="58" t="str">
        <f>IFERROR(VLOOKUP(D3,'Master List'!D:H,4,FALSE),"NA")</f>
        <v>010303</v>
      </c>
      <c r="H3" s="39" t="str">
        <f>IFERROR(VLOOKUP(D3,'Master List'!D:H,5,FALSE),"NA")</f>
        <v>Aquaculture.</v>
      </c>
      <c r="I3" s="19"/>
      <c r="J3" s="20"/>
      <c r="K3" s="20"/>
      <c r="L3" s="21"/>
    </row>
    <row r="4" spans="1:12" x14ac:dyDescent="0.3">
      <c r="A4" s="33">
        <v>11</v>
      </c>
      <c r="B4" s="33" t="s">
        <v>2157</v>
      </c>
      <c r="C4" s="34" t="s">
        <v>858</v>
      </c>
      <c r="D4" s="51" t="s">
        <v>530</v>
      </c>
      <c r="E4" s="61" t="str">
        <f>IFERROR(VLOOKUP(D4,'Master List'!D:H,2,FALSE),"NA")</f>
        <v>010605</v>
      </c>
      <c r="F4" s="62" t="str">
        <f>IFERROR(VLOOKUP(D4,'Master List'!D:H,3,FALSE),"NA")</f>
        <v>010605</v>
      </c>
      <c r="G4" s="58" t="str">
        <f>IFERROR(VLOOKUP(D4,'Master List'!D:H,4,FALSE),"NA")</f>
        <v>010605</v>
      </c>
      <c r="H4" s="39" t="str">
        <f>IFERROR(VLOOKUP(D4,'Master List'!D:H,5,FALSE),"NA")</f>
        <v>Landscaping and Groundskeeping.</v>
      </c>
      <c r="I4" s="19"/>
      <c r="J4" s="20"/>
      <c r="K4" s="20"/>
      <c r="L4" s="21"/>
    </row>
    <row r="5" spans="1:12" x14ac:dyDescent="0.3">
      <c r="A5" s="33">
        <v>11</v>
      </c>
      <c r="B5" s="33" t="s">
        <v>2157</v>
      </c>
      <c r="C5" s="34" t="s">
        <v>858</v>
      </c>
      <c r="D5" s="51" t="s">
        <v>533</v>
      </c>
      <c r="E5" s="61" t="str">
        <f>IFERROR(VLOOKUP(D5,'Master List'!D:H,2,FALSE),"NA")</f>
        <v>010605</v>
      </c>
      <c r="F5" s="62" t="str">
        <f>IFERROR(VLOOKUP(D5,'Master List'!D:H,3,FALSE),"NA")</f>
        <v>010605</v>
      </c>
      <c r="G5" s="58" t="str">
        <f>IFERROR(VLOOKUP(D5,'Master List'!D:H,4,FALSE),"NA")</f>
        <v>010605</v>
      </c>
      <c r="H5" s="39" t="str">
        <f>IFERROR(VLOOKUP(D5,'Master List'!D:H,5,FALSE),"NA")</f>
        <v>Landscaping and Groundskeeping.</v>
      </c>
      <c r="I5" s="19"/>
      <c r="J5" s="20"/>
      <c r="K5" s="20"/>
      <c r="L5" s="21"/>
    </row>
    <row r="6" spans="1:12" x14ac:dyDescent="0.3">
      <c r="A6" s="33">
        <v>11</v>
      </c>
      <c r="B6" s="33" t="s">
        <v>2157</v>
      </c>
      <c r="C6" s="34" t="s">
        <v>858</v>
      </c>
      <c r="D6" s="51" t="s">
        <v>534</v>
      </c>
      <c r="E6" s="61" t="str">
        <f>IFERROR(VLOOKUP(D6,'Master List'!D:H,2,FALSE),"NA")</f>
        <v>010605</v>
      </c>
      <c r="F6" s="62" t="str">
        <f>IFERROR(VLOOKUP(D6,'Master List'!D:H,3,FALSE),"NA")</f>
        <v>010605</v>
      </c>
      <c r="G6" s="58" t="str">
        <f>IFERROR(VLOOKUP(D6,'Master List'!D:H,4,FALSE),"NA")</f>
        <v>010605</v>
      </c>
      <c r="H6" s="39" t="str">
        <f>IFERROR(VLOOKUP(D6,'Master List'!D:H,5,FALSE),"NA")</f>
        <v>Landscaping and Groundskeeping.</v>
      </c>
      <c r="I6" s="19"/>
      <c r="J6" s="20"/>
      <c r="K6" s="20"/>
      <c r="L6" s="21"/>
    </row>
    <row r="7" spans="1:12" x14ac:dyDescent="0.3">
      <c r="A7" s="33">
        <v>11</v>
      </c>
      <c r="B7" s="33" t="s">
        <v>2157</v>
      </c>
      <c r="C7" s="34" t="s">
        <v>858</v>
      </c>
      <c r="D7" s="51" t="s">
        <v>143</v>
      </c>
      <c r="E7" s="61" t="str">
        <f>IFERROR(VLOOKUP(D7,'Master List'!D:H,2,FALSE),"NA")</f>
        <v>520701</v>
      </c>
      <c r="F7" s="62" t="str">
        <f>IFERROR(VLOOKUP(D7,'Master List'!D:H,3,FALSE),"NA")</f>
        <v>520701</v>
      </c>
      <c r="G7" s="58" t="str">
        <f>IFERROR(VLOOKUP(D7,'Master List'!D:H,4,FALSE),"NA")</f>
        <v>520701</v>
      </c>
      <c r="H7" s="39" t="str">
        <f>IFERROR(VLOOKUP(D7,'Master List'!D:H,5,FALSE),"NA")</f>
        <v>Entrepreneurship/Entrepreneurial Studies.</v>
      </c>
      <c r="I7" s="19"/>
      <c r="J7" s="20"/>
      <c r="K7" s="20"/>
      <c r="L7" s="21"/>
    </row>
    <row r="8" spans="1:12" x14ac:dyDescent="0.3">
      <c r="A8" s="33">
        <v>11</v>
      </c>
      <c r="B8" s="33" t="s">
        <v>2157</v>
      </c>
      <c r="C8" s="34" t="s">
        <v>858</v>
      </c>
      <c r="D8" s="51" t="s">
        <v>146</v>
      </c>
      <c r="E8" s="61" t="str">
        <f>IFERROR(VLOOKUP(D8,'Master List'!D:H,2,FALSE),"NA")</f>
        <v>520904</v>
      </c>
      <c r="F8" s="62" t="str">
        <f>IFERROR(VLOOKUP(D8,'Master List'!D:H,3,FALSE),"NA")</f>
        <v>520904</v>
      </c>
      <c r="G8" s="58" t="str">
        <f>IFERROR(VLOOKUP(D8,'Master List'!D:H,4,FALSE),"NA")</f>
        <v>520904</v>
      </c>
      <c r="H8" s="39" t="str">
        <f>IFERROR(VLOOKUP(D8,'Master List'!D:H,5,FALSE),"NA")</f>
        <v>Hotel/Motel Administration/Management.</v>
      </c>
      <c r="I8" s="19"/>
      <c r="J8" s="20"/>
      <c r="K8" s="20"/>
      <c r="L8" s="21"/>
    </row>
    <row r="9" spans="1:12" x14ac:dyDescent="0.3">
      <c r="A9" s="33">
        <v>11</v>
      </c>
      <c r="B9" s="33" t="s">
        <v>2157</v>
      </c>
      <c r="C9" s="34" t="s">
        <v>858</v>
      </c>
      <c r="D9" s="51" t="s">
        <v>149</v>
      </c>
      <c r="E9" s="61" t="str">
        <f>IFERROR(VLOOKUP(D9,'Master List'!D:H,2,FALSE),"NA")</f>
        <v>520904</v>
      </c>
      <c r="F9" s="62" t="str">
        <f>IFERROR(VLOOKUP(D9,'Master List'!D:H,3,FALSE),"NA")</f>
        <v>520904</v>
      </c>
      <c r="G9" s="58" t="str">
        <f>IFERROR(VLOOKUP(D9,'Master List'!D:H,4,FALSE),"NA")</f>
        <v>520904</v>
      </c>
      <c r="H9" s="39" t="str">
        <f>IFERROR(VLOOKUP(D9,'Master List'!D:H,5,FALSE),"NA")</f>
        <v>Hotel/Motel Administration/Management.</v>
      </c>
      <c r="I9" s="19"/>
      <c r="J9" s="20"/>
      <c r="K9" s="20"/>
      <c r="L9" s="21"/>
    </row>
    <row r="10" spans="1:12" x14ac:dyDescent="0.3">
      <c r="A10" s="33">
        <v>11</v>
      </c>
      <c r="B10" s="33" t="s">
        <v>2157</v>
      </c>
      <c r="C10" s="34" t="s">
        <v>858</v>
      </c>
      <c r="D10" s="51" t="s">
        <v>536</v>
      </c>
      <c r="E10" s="61" t="str">
        <f>IFERROR(VLOOKUP(D10,'Master List'!D:H,2,FALSE),"NA")</f>
        <v>520909</v>
      </c>
      <c r="F10" s="62" t="str">
        <f>IFERROR(VLOOKUP(D10,'Master List'!D:H,3,FALSE),"NA")</f>
        <v>520909</v>
      </c>
      <c r="G10" s="58" t="str">
        <f>IFERROR(VLOOKUP(D10,'Master List'!D:H,4,FALSE),"NA")</f>
        <v>520909</v>
      </c>
      <c r="H10" s="39" t="str">
        <f>IFERROR(VLOOKUP(D10,'Master List'!D:H,5,FALSE),"NA")</f>
        <v>Hotel, Motel, and Restaurant Management.</v>
      </c>
      <c r="I10" s="19"/>
      <c r="J10" s="20"/>
      <c r="K10" s="20"/>
      <c r="L10" s="21"/>
    </row>
    <row r="11" spans="1:12" x14ac:dyDescent="0.3">
      <c r="A11" s="33">
        <v>11</v>
      </c>
      <c r="B11" s="33" t="s">
        <v>2157</v>
      </c>
      <c r="C11" s="34" t="s">
        <v>858</v>
      </c>
      <c r="D11" s="51" t="s">
        <v>498</v>
      </c>
      <c r="E11" s="61" t="str">
        <f>IFERROR(VLOOKUP(D11,'Master List'!D:H,2,FALSE),"NA")</f>
        <v>521401</v>
      </c>
      <c r="F11" s="62" t="str">
        <f>IFERROR(VLOOKUP(D11,'Master List'!D:H,3,FALSE),"NA")</f>
        <v>521401</v>
      </c>
      <c r="G11" s="58" t="str">
        <f>IFERROR(VLOOKUP(D11,'Master List'!D:H,4,FALSE),"NA")</f>
        <v>521401</v>
      </c>
      <c r="H11" s="39" t="str">
        <f>IFERROR(VLOOKUP(D11,'Master List'!D:H,5,FALSE),"NA")</f>
        <v>Marketing/Marketing Management, General.</v>
      </c>
      <c r="I11" s="19"/>
      <c r="J11" s="20"/>
      <c r="K11" s="20"/>
      <c r="L11" s="21"/>
    </row>
    <row r="12" spans="1:12" x14ac:dyDescent="0.3">
      <c r="A12" s="33">
        <v>11</v>
      </c>
      <c r="B12" s="33" t="s">
        <v>2157</v>
      </c>
      <c r="C12" s="34" t="s">
        <v>858</v>
      </c>
      <c r="D12" s="51" t="s">
        <v>8</v>
      </c>
      <c r="E12" s="61" t="str">
        <f>IFERROR(VLOOKUP(D12,'Master List'!D:H,2,FALSE),"NA")</f>
        <v>510601</v>
      </c>
      <c r="F12" s="62" t="str">
        <f>IFERROR(VLOOKUP(D12,'Master List'!D:H,3,FALSE),"NA")</f>
        <v>510601</v>
      </c>
      <c r="G12" s="58" t="str">
        <f>IFERROR(VLOOKUP(D12,'Master List'!D:H,4,FALSE),"NA")</f>
        <v>510601</v>
      </c>
      <c r="H12" s="39" t="str">
        <f>IFERROR(VLOOKUP(D12,'Master List'!D:H,5,FALSE),"NA")</f>
        <v>Dental Assisting/Assistant.</v>
      </c>
      <c r="I12" s="19"/>
      <c r="J12" s="20"/>
      <c r="K12" s="20"/>
      <c r="L12" s="21"/>
    </row>
    <row r="13" spans="1:12" x14ac:dyDescent="0.3">
      <c r="A13" s="33">
        <v>11</v>
      </c>
      <c r="B13" s="33" t="s">
        <v>2157</v>
      </c>
      <c r="C13" s="34" t="s">
        <v>858</v>
      </c>
      <c r="D13" s="51" t="s">
        <v>199</v>
      </c>
      <c r="E13" s="61" t="str">
        <f>IFERROR(VLOOKUP(D13,'Master List'!D:H,2,FALSE),"NA")</f>
        <v>510801</v>
      </c>
      <c r="F13" s="62" t="str">
        <f>IFERROR(VLOOKUP(D13,'Master List'!D:H,3,FALSE),"NA")</f>
        <v>510801</v>
      </c>
      <c r="G13" s="58" t="str">
        <f>IFERROR(VLOOKUP(D13,'Master List'!D:H,4,FALSE),"NA")</f>
        <v>510801</v>
      </c>
      <c r="H13" s="39" t="str">
        <f>IFERROR(VLOOKUP(D13,'Master List'!D:H,5,FALSE),"NA")</f>
        <v>Medical/Clinical Assistant.</v>
      </c>
      <c r="I13" s="19"/>
      <c r="J13" s="20"/>
      <c r="K13" s="20"/>
      <c r="L13" s="21"/>
    </row>
    <row r="14" spans="1:12" x14ac:dyDescent="0.3">
      <c r="A14" s="33">
        <v>11</v>
      </c>
      <c r="B14" s="33" t="s">
        <v>2157</v>
      </c>
      <c r="C14" s="34" t="s">
        <v>858</v>
      </c>
      <c r="D14" s="51" t="s">
        <v>203</v>
      </c>
      <c r="E14" s="61" t="str">
        <f>IFERROR(VLOOKUP(D14,'Master List'!D:H,2,FALSE),"NA")</f>
        <v>510805</v>
      </c>
      <c r="F14" s="62" t="str">
        <f>IFERROR(VLOOKUP(D14,'Master List'!D:H,3,FALSE),"NA")</f>
        <v>510805</v>
      </c>
      <c r="G14" s="58" t="str">
        <f>IFERROR(VLOOKUP(D14,'Master List'!D:H,4,FALSE),"NA")</f>
        <v>510805</v>
      </c>
      <c r="H14" s="39" t="str">
        <f>IFERROR(VLOOKUP(D14,'Master List'!D:H,5,FALSE),"NA")</f>
        <v>Pharmacy Technician/Assistant.</v>
      </c>
      <c r="I14" s="19"/>
      <c r="J14" s="20"/>
      <c r="K14" s="20"/>
      <c r="L14" s="21"/>
    </row>
    <row r="15" spans="1:12" x14ac:dyDescent="0.3">
      <c r="A15" s="33">
        <v>11</v>
      </c>
      <c r="B15" s="33" t="s">
        <v>2157</v>
      </c>
      <c r="C15" s="34" t="s">
        <v>858</v>
      </c>
      <c r="D15" s="51" t="s">
        <v>14</v>
      </c>
      <c r="E15" s="61" t="str">
        <f>IFERROR(VLOOKUP(D15,'Master List'!D:H,2,FALSE),"NA")</f>
        <v>510904</v>
      </c>
      <c r="F15" s="62" t="str">
        <f>IFERROR(VLOOKUP(D15,'Master List'!D:H,3,FALSE),"NA")</f>
        <v>510904</v>
      </c>
      <c r="G15" s="58" t="str">
        <f>IFERROR(VLOOKUP(D15,'Master List'!D:H,4,FALSE),"NA")</f>
        <v>510904</v>
      </c>
      <c r="H15" s="39" t="str">
        <f>IFERROR(VLOOKUP(D15,'Master List'!D:H,5,FALSE),"NA")</f>
        <v>Emergency Medical Technology/Technician (EMT Paramedic).</v>
      </c>
      <c r="I15" s="19"/>
      <c r="J15" s="20"/>
      <c r="K15" s="20"/>
      <c r="L15" s="21"/>
    </row>
    <row r="16" spans="1:12" x14ac:dyDescent="0.3">
      <c r="A16" s="33">
        <v>11</v>
      </c>
      <c r="B16" s="33" t="s">
        <v>2157</v>
      </c>
      <c r="C16" s="34" t="s">
        <v>858</v>
      </c>
      <c r="D16" s="51" t="s">
        <v>17</v>
      </c>
      <c r="E16" s="61" t="str">
        <f>IFERROR(VLOOKUP(D16,'Master List'!D:H,2,FALSE),"NA")</f>
        <v>510904</v>
      </c>
      <c r="F16" s="62" t="str">
        <f>IFERROR(VLOOKUP(D16,'Master List'!D:H,3,FALSE),"NA")</f>
        <v>510904</v>
      </c>
      <c r="G16" s="58" t="str">
        <f>IFERROR(VLOOKUP(D16,'Master List'!D:H,4,FALSE),"NA")</f>
        <v>510904</v>
      </c>
      <c r="H16" s="39" t="str">
        <f>IFERROR(VLOOKUP(D16,'Master List'!D:H,5,FALSE),"NA")</f>
        <v>Emergency Medical Technology/Technician (EMT Paramedic).</v>
      </c>
      <c r="I16" s="19"/>
      <c r="J16" s="20"/>
      <c r="K16" s="20"/>
      <c r="L16" s="21"/>
    </row>
    <row r="17" spans="1:12" x14ac:dyDescent="0.3">
      <c r="A17" s="33">
        <v>11</v>
      </c>
      <c r="B17" s="33" t="s">
        <v>2157</v>
      </c>
      <c r="C17" s="34" t="s">
        <v>858</v>
      </c>
      <c r="D17" s="51" t="s">
        <v>207</v>
      </c>
      <c r="E17" s="61" t="str">
        <f>IFERROR(VLOOKUP(D17,'Master List'!D:H,2,FALSE),"NA")</f>
        <v>510909</v>
      </c>
      <c r="F17" s="62" t="str">
        <f>IFERROR(VLOOKUP(D17,'Master List'!D:H,3,FALSE),"NA")</f>
        <v>510909</v>
      </c>
      <c r="G17" s="58" t="str">
        <f>IFERROR(VLOOKUP(D17,'Master List'!D:H,4,FALSE),"NA")</f>
        <v>510909</v>
      </c>
      <c r="H17" s="39" t="str">
        <f>IFERROR(VLOOKUP(D17,'Master List'!D:H,5,FALSE),"NA")</f>
        <v>Surgical Technology/Technologist.</v>
      </c>
      <c r="I17" s="19"/>
      <c r="J17" s="20"/>
      <c r="K17" s="20"/>
      <c r="L17" s="21"/>
    </row>
    <row r="18" spans="1:12" x14ac:dyDescent="0.3">
      <c r="A18" s="33">
        <v>11</v>
      </c>
      <c r="B18" s="33" t="s">
        <v>2157</v>
      </c>
      <c r="C18" s="34" t="s">
        <v>858</v>
      </c>
      <c r="D18" s="51" t="s">
        <v>410</v>
      </c>
      <c r="E18" s="61" t="str">
        <f>IFERROR(VLOOKUP(D18,'Master List'!D:H,2,FALSE),"NA")</f>
        <v>511009</v>
      </c>
      <c r="F18" s="62" t="str">
        <f>IFERROR(VLOOKUP(D18,'Master List'!D:H,3,FALSE),"NA")</f>
        <v>511009</v>
      </c>
      <c r="G18" s="58" t="str">
        <f>IFERROR(VLOOKUP(D18,'Master List'!D:H,4,FALSE),"NA")</f>
        <v>511009</v>
      </c>
      <c r="H18" s="39" t="str">
        <f>IFERROR(VLOOKUP(D18,'Master List'!D:H,5,FALSE),"NA")</f>
        <v>Phlebotomy Technician/Phlebotomist.</v>
      </c>
      <c r="I18" s="19"/>
      <c r="J18" s="20"/>
      <c r="K18" s="20"/>
      <c r="L18" s="21"/>
    </row>
    <row r="19" spans="1:12" x14ac:dyDescent="0.3">
      <c r="A19" s="33">
        <v>11</v>
      </c>
      <c r="B19" s="33" t="s">
        <v>2157</v>
      </c>
      <c r="C19" s="34" t="s">
        <v>858</v>
      </c>
      <c r="D19" s="51" t="s">
        <v>413</v>
      </c>
      <c r="E19" s="61" t="str">
        <f>IFERROR(VLOOKUP(D19,'Master List'!D:H,2,FALSE),"NA")</f>
        <v>513901</v>
      </c>
      <c r="F19" s="62" t="str">
        <f>IFERROR(VLOOKUP(D19,'Master List'!D:H,3,FALSE),"NA")</f>
        <v>513901</v>
      </c>
      <c r="G19" s="58" t="str">
        <f>IFERROR(VLOOKUP(D19,'Master List'!D:H,4,FALSE),"NA")</f>
        <v>513901</v>
      </c>
      <c r="H19" s="39" t="str">
        <f>IFERROR(VLOOKUP(D19,'Master List'!D:H,5,FALSE),"NA")</f>
        <v>Licensed Practical/Vocational Nurse Training.</v>
      </c>
      <c r="I19" s="19"/>
      <c r="J19" s="20"/>
      <c r="K19" s="20"/>
      <c r="L19" s="21"/>
    </row>
    <row r="20" spans="1:12" x14ac:dyDescent="0.3">
      <c r="A20" s="33">
        <v>11</v>
      </c>
      <c r="B20" s="33" t="s">
        <v>2157</v>
      </c>
      <c r="C20" s="34" t="s">
        <v>858</v>
      </c>
      <c r="D20" s="51" t="s">
        <v>152</v>
      </c>
      <c r="E20" s="61" t="str">
        <f>IFERROR(VLOOKUP(D20,'Master List'!D:H,2,FALSE),"NA")</f>
        <v>513902</v>
      </c>
      <c r="F20" s="62" t="str">
        <f>IFERROR(VLOOKUP(D20,'Master List'!D:H,3,FALSE),"NA")</f>
        <v>513902</v>
      </c>
      <c r="G20" s="58" t="str">
        <f>IFERROR(VLOOKUP(D20,'Master List'!D:H,4,FALSE),"NA")</f>
        <v>513902</v>
      </c>
      <c r="H20" s="39" t="str">
        <f>IFERROR(VLOOKUP(D20,'Master List'!D:H,5,FALSE),"NA")</f>
        <v>Nursing Assistant/Aide and Patient Care Assistant/Aide.</v>
      </c>
      <c r="I20" s="19"/>
      <c r="J20" s="20"/>
      <c r="K20" s="20"/>
      <c r="L20" s="21"/>
    </row>
    <row r="21" spans="1:12" x14ac:dyDescent="0.3">
      <c r="A21" s="33">
        <v>11</v>
      </c>
      <c r="B21" s="33" t="s">
        <v>2157</v>
      </c>
      <c r="C21" s="34" t="s">
        <v>858</v>
      </c>
      <c r="D21" s="51" t="s">
        <v>28</v>
      </c>
      <c r="E21" s="61" t="str">
        <f>IFERROR(VLOOKUP(D21,'Master List'!D:H,2,FALSE),"NA")</f>
        <v>190709</v>
      </c>
      <c r="F21" s="62" t="str">
        <f>IFERROR(VLOOKUP(D21,'Master List'!D:H,3,FALSE),"NA")</f>
        <v>190709</v>
      </c>
      <c r="G21" s="58" t="str">
        <f>IFERROR(VLOOKUP(D21,'Master List'!D:H,4,FALSE),"NA")</f>
        <v>190709</v>
      </c>
      <c r="H21" s="39" t="str">
        <f>IFERROR(VLOOKUP(D21,'Master List'!D:H,5,FALSE),"NA")</f>
        <v>Child Care Provider/Assistant.</v>
      </c>
      <c r="I21" s="19"/>
      <c r="J21" s="20"/>
      <c r="K21" s="20"/>
      <c r="L21" s="21"/>
    </row>
    <row r="22" spans="1:12" x14ac:dyDescent="0.3">
      <c r="A22" s="33">
        <v>11</v>
      </c>
      <c r="B22" s="33" t="s">
        <v>2157</v>
      </c>
      <c r="C22" s="34" t="s">
        <v>858</v>
      </c>
      <c r="D22" s="51" t="s">
        <v>483</v>
      </c>
      <c r="E22" s="61" t="str">
        <f>IFERROR(VLOOKUP(D22,'Master List'!D:H,2,FALSE),"NA")</f>
        <v>190709</v>
      </c>
      <c r="F22" s="62" t="str">
        <f>IFERROR(VLOOKUP(D22,'Master List'!D:H,3,FALSE),"NA")</f>
        <v>190709</v>
      </c>
      <c r="G22" s="58" t="str">
        <f>IFERROR(VLOOKUP(D22,'Master List'!D:H,4,FALSE),"NA")</f>
        <v>190709</v>
      </c>
      <c r="H22" s="39" t="str">
        <f>IFERROR(VLOOKUP(D22,'Master List'!D:H,5,FALSE),"NA")</f>
        <v>Child Care Provider/Assistant.</v>
      </c>
      <c r="I22" s="19"/>
      <c r="J22" s="20"/>
      <c r="K22" s="20"/>
      <c r="L22" s="21"/>
    </row>
    <row r="23" spans="1:12" x14ac:dyDescent="0.3">
      <c r="A23" s="33">
        <v>11</v>
      </c>
      <c r="B23" s="33" t="s">
        <v>2157</v>
      </c>
      <c r="C23" s="34" t="s">
        <v>858</v>
      </c>
      <c r="D23" s="51" t="s">
        <v>589</v>
      </c>
      <c r="E23" s="61" t="str">
        <f>IFERROR(VLOOKUP(D23,'Master List'!D:H,2,FALSE),"NA")</f>
        <v>190709</v>
      </c>
      <c r="F23" s="62" t="str">
        <f>IFERROR(VLOOKUP(D23,'Master List'!D:H,3,FALSE),"NA")</f>
        <v>190709</v>
      </c>
      <c r="G23" s="58" t="str">
        <f>IFERROR(VLOOKUP(D23,'Master List'!D:H,4,FALSE),"NA")</f>
        <v>190709</v>
      </c>
      <c r="H23" s="39" t="str">
        <f>IFERROR(VLOOKUP(D23,'Master List'!D:H,5,FALSE),"NA")</f>
        <v>Child Care Provider/Assistant.</v>
      </c>
      <c r="I23" s="19"/>
      <c r="J23" s="20"/>
      <c r="K23" s="20"/>
      <c r="L23" s="21"/>
    </row>
    <row r="24" spans="1:12" x14ac:dyDescent="0.3">
      <c r="A24" s="33">
        <v>11</v>
      </c>
      <c r="B24" s="33" t="s">
        <v>2157</v>
      </c>
      <c r="C24" s="34" t="s">
        <v>858</v>
      </c>
      <c r="D24" s="51" t="s">
        <v>623</v>
      </c>
      <c r="E24" s="61" t="str">
        <f>IFERROR(VLOOKUP(D24,'Master List'!D:H,2,FALSE),"NA")</f>
        <v>190709</v>
      </c>
      <c r="F24" s="62" t="str">
        <f>IFERROR(VLOOKUP(D24,'Master List'!D:H,3,FALSE),"NA")</f>
        <v>190709</v>
      </c>
      <c r="G24" s="58" t="str">
        <f>IFERROR(VLOOKUP(D24,'Master List'!D:H,4,FALSE),"NA")</f>
        <v>190709</v>
      </c>
      <c r="H24" s="39" t="str">
        <f>IFERROR(VLOOKUP(D24,'Master List'!D:H,5,FALSE),"NA")</f>
        <v>Child Care Provider/Assistant.</v>
      </c>
      <c r="I24" s="19"/>
      <c r="J24" s="20"/>
      <c r="K24" s="20"/>
      <c r="L24" s="21"/>
    </row>
    <row r="25" spans="1:12" x14ac:dyDescent="0.3">
      <c r="A25" s="33">
        <v>11</v>
      </c>
      <c r="B25" s="33" t="s">
        <v>2157</v>
      </c>
      <c r="C25" s="34" t="s">
        <v>858</v>
      </c>
      <c r="D25" s="51" t="s">
        <v>417</v>
      </c>
      <c r="E25" s="61" t="str">
        <f>IFERROR(VLOOKUP(D25,'Master List'!D:H,2,FALSE),"NA")</f>
        <v>500408</v>
      </c>
      <c r="F25" s="62" t="str">
        <f>IFERROR(VLOOKUP(D25,'Master List'!D:H,3,FALSE),"NA")</f>
        <v>500408</v>
      </c>
      <c r="G25" s="58" t="str">
        <f>IFERROR(VLOOKUP(D25,'Master List'!D:H,4,FALSE),"NA")</f>
        <v>500408</v>
      </c>
      <c r="H25" s="39" t="str">
        <f>IFERROR(VLOOKUP(D25,'Master List'!D:H,5,FALSE),"NA")</f>
        <v>Interior Design.</v>
      </c>
      <c r="I25" s="19"/>
      <c r="J25" s="20"/>
      <c r="K25" s="20"/>
      <c r="L25" s="21"/>
    </row>
    <row r="26" spans="1:12" x14ac:dyDescent="0.3">
      <c r="A26" s="33">
        <v>11</v>
      </c>
      <c r="B26" s="33" t="s">
        <v>2157</v>
      </c>
      <c r="C26" s="34" t="s">
        <v>858</v>
      </c>
      <c r="D26" s="51" t="s">
        <v>214</v>
      </c>
      <c r="E26" s="61" t="str">
        <f>IFERROR(VLOOKUP(D26,'Master List'!D:H,2,FALSE),"NA")</f>
        <v>500408</v>
      </c>
      <c r="F26" s="62" t="str">
        <f>IFERROR(VLOOKUP(D26,'Master List'!D:H,3,FALSE),"NA")</f>
        <v>500408</v>
      </c>
      <c r="G26" s="58" t="str">
        <f>IFERROR(VLOOKUP(D26,'Master List'!D:H,4,FALSE),"NA")</f>
        <v>500408</v>
      </c>
      <c r="H26" s="39" t="str">
        <f>IFERROR(VLOOKUP(D26,'Master List'!D:H,5,FALSE),"NA")</f>
        <v>Interior Design.</v>
      </c>
      <c r="I26" s="19"/>
      <c r="J26" s="20"/>
      <c r="K26" s="20"/>
      <c r="L26" s="21"/>
    </row>
    <row r="27" spans="1:12" x14ac:dyDescent="0.3">
      <c r="A27" s="33">
        <v>11</v>
      </c>
      <c r="B27" s="33" t="s">
        <v>2157</v>
      </c>
      <c r="C27" s="34" t="s">
        <v>858</v>
      </c>
      <c r="D27" s="51" t="s">
        <v>217</v>
      </c>
      <c r="E27" s="61" t="str">
        <f>IFERROR(VLOOKUP(D27,'Master List'!D:H,2,FALSE),"NA")</f>
        <v>110103</v>
      </c>
      <c r="F27" s="62" t="str">
        <f>IFERROR(VLOOKUP(D27,'Master List'!D:H,3,FALSE),"NA")</f>
        <v>110103</v>
      </c>
      <c r="G27" s="58" t="str">
        <f>IFERROR(VLOOKUP(D27,'Master List'!D:H,4,FALSE),"NA")</f>
        <v>110103</v>
      </c>
      <c r="H27" s="39" t="str">
        <f>IFERROR(VLOOKUP(D27,'Master List'!D:H,5,FALSE),"NA")</f>
        <v>Information Technology.</v>
      </c>
      <c r="I27" s="19"/>
      <c r="J27" s="20"/>
      <c r="K27" s="20"/>
      <c r="L27" s="21"/>
    </row>
    <row r="28" spans="1:12" x14ac:dyDescent="0.3">
      <c r="A28" s="33">
        <v>11</v>
      </c>
      <c r="B28" s="33" t="s">
        <v>2157</v>
      </c>
      <c r="C28" s="34" t="s">
        <v>858</v>
      </c>
      <c r="D28" s="51" t="s">
        <v>502</v>
      </c>
      <c r="E28" s="61" t="str">
        <f>IFERROR(VLOOKUP(D28,'Master List'!D:H,2,FALSE),"NA")</f>
        <v>110103</v>
      </c>
      <c r="F28" s="62" t="str">
        <f>IFERROR(VLOOKUP(D28,'Master List'!D:H,3,FALSE),"NA")</f>
        <v>110103</v>
      </c>
      <c r="G28" s="58" t="str">
        <f>IFERROR(VLOOKUP(D28,'Master List'!D:H,4,FALSE),"NA")</f>
        <v>110103</v>
      </c>
      <c r="H28" s="39" t="str">
        <f>IFERROR(VLOOKUP(D28,'Master List'!D:H,5,FALSE),"NA")</f>
        <v>Information Technology.</v>
      </c>
      <c r="I28" s="19"/>
      <c r="J28" s="20"/>
      <c r="K28" s="20"/>
      <c r="L28" s="21"/>
    </row>
    <row r="29" spans="1:12" x14ac:dyDescent="0.3">
      <c r="A29" s="33">
        <v>11</v>
      </c>
      <c r="B29" s="33" t="s">
        <v>2157</v>
      </c>
      <c r="C29" s="34" t="s">
        <v>858</v>
      </c>
      <c r="D29" s="51" t="s">
        <v>389</v>
      </c>
      <c r="E29" s="61" t="str">
        <f>IFERROR(VLOOKUP(D29,'Master List'!D:H,2,FALSE),"NA")</f>
        <v>110201</v>
      </c>
      <c r="F29" s="62" t="str">
        <f>IFERROR(VLOOKUP(D29,'Master List'!D:H,3,FALSE),"NA")</f>
        <v>110201</v>
      </c>
      <c r="G29" s="58" t="str">
        <f>IFERROR(VLOOKUP(D29,'Master List'!D:H,4,FALSE),"NA")</f>
        <v>110201</v>
      </c>
      <c r="H29" s="39" t="str">
        <f>IFERROR(VLOOKUP(D29,'Master List'!D:H,5,FALSE),"NA")</f>
        <v>Computer Programming/Programmer, General.</v>
      </c>
      <c r="I29" s="19"/>
      <c r="J29" s="20"/>
      <c r="K29" s="20"/>
      <c r="L29" s="21"/>
    </row>
    <row r="30" spans="1:12" x14ac:dyDescent="0.3">
      <c r="A30" s="33">
        <v>11</v>
      </c>
      <c r="B30" s="33" t="s">
        <v>2157</v>
      </c>
      <c r="C30" s="34" t="s">
        <v>858</v>
      </c>
      <c r="D30" s="51" t="s">
        <v>862</v>
      </c>
      <c r="E30" s="61" t="str">
        <f>IFERROR(VLOOKUP(D30,'Master List'!D:H,2,FALSE),"NA")</f>
        <v>220301</v>
      </c>
      <c r="F30" s="62" t="str">
        <f>IFERROR(VLOOKUP(D30,'Master List'!D:H,3,FALSE),"NA")</f>
        <v>220301</v>
      </c>
      <c r="G30" s="58" t="str">
        <f>IFERROR(VLOOKUP(D30,'Master List'!D:H,4,FALSE),"NA")</f>
        <v>220301</v>
      </c>
      <c r="H30" s="39" t="str">
        <f>IFERROR(VLOOKUP(D30,'Master List'!D:H,5,FALSE),"NA")</f>
        <v>Legal Administrative Assistant/Secretary.</v>
      </c>
      <c r="I30" s="19"/>
      <c r="J30" s="20"/>
      <c r="K30" s="20"/>
      <c r="L30" s="21"/>
    </row>
    <row r="31" spans="1:12" x14ac:dyDescent="0.3">
      <c r="A31" s="33">
        <v>11</v>
      </c>
      <c r="B31" s="33" t="s">
        <v>2157</v>
      </c>
      <c r="C31" s="34" t="s">
        <v>858</v>
      </c>
      <c r="D31" s="51" t="s">
        <v>600</v>
      </c>
      <c r="E31" s="61" t="str">
        <f>IFERROR(VLOOKUP(D31,'Master List'!D:H,2,FALSE),"NA")</f>
        <v>510716</v>
      </c>
      <c r="F31" s="62" t="str">
        <f>IFERROR(VLOOKUP(D31,'Master List'!D:H,3,FALSE),"NA")</f>
        <v>510716</v>
      </c>
      <c r="G31" s="58" t="str">
        <f>IFERROR(VLOOKUP(D31,'Master List'!D:H,4,FALSE),"NA")</f>
        <v>510716</v>
      </c>
      <c r="H31" s="39" t="str">
        <f>IFERROR(VLOOKUP(D31,'Master List'!D:H,5,FALSE),"NA")</f>
        <v>Medical Administrative/Executive Assistant and Medical Secretary.</v>
      </c>
      <c r="I31" s="19"/>
      <c r="J31" s="20"/>
      <c r="K31" s="20"/>
      <c r="L31" s="21"/>
    </row>
    <row r="32" spans="1:12" x14ac:dyDescent="0.3">
      <c r="A32" s="33">
        <v>11</v>
      </c>
      <c r="B32" s="33" t="s">
        <v>2157</v>
      </c>
      <c r="C32" s="34" t="s">
        <v>858</v>
      </c>
      <c r="D32" s="51" t="s">
        <v>153</v>
      </c>
      <c r="E32" s="61" t="str">
        <f>IFERROR(VLOOKUP(D32,'Master List'!D:H,2,FALSE),"NA")</f>
        <v>520201</v>
      </c>
      <c r="F32" s="62" t="str">
        <f>IFERROR(VLOOKUP(D32,'Master List'!D:H,3,FALSE),"NA")</f>
        <v>520201</v>
      </c>
      <c r="G32" s="58" t="str">
        <f>IFERROR(VLOOKUP(D32,'Master List'!D:H,4,FALSE),"NA")</f>
        <v>520201</v>
      </c>
      <c r="H32" s="39" t="str">
        <f>IFERROR(VLOOKUP(D32,'Master List'!D:H,5,FALSE),"NA")</f>
        <v>Business Administration and Management, General.</v>
      </c>
      <c r="I32" s="19"/>
      <c r="J32" s="20"/>
      <c r="K32" s="20"/>
      <c r="L32" s="21"/>
    </row>
    <row r="33" spans="1:12" x14ac:dyDescent="0.3">
      <c r="A33" s="33">
        <v>11</v>
      </c>
      <c r="B33" s="33" t="s">
        <v>2157</v>
      </c>
      <c r="C33" s="34" t="s">
        <v>858</v>
      </c>
      <c r="D33" s="51" t="s">
        <v>154</v>
      </c>
      <c r="E33" s="61" t="str">
        <f>IFERROR(VLOOKUP(D33,'Master List'!D:H,2,FALSE),"NA")</f>
        <v>520201</v>
      </c>
      <c r="F33" s="62" t="str">
        <f>IFERROR(VLOOKUP(D33,'Master List'!D:H,3,FALSE),"NA")</f>
        <v>520201</v>
      </c>
      <c r="G33" s="58" t="str">
        <f>IFERROR(VLOOKUP(D33,'Master List'!D:H,4,FALSE),"NA")</f>
        <v>520201</v>
      </c>
      <c r="H33" s="39" t="str">
        <f>IFERROR(VLOOKUP(D33,'Master List'!D:H,5,FALSE),"NA")</f>
        <v>Business Administration and Management, General.</v>
      </c>
      <c r="I33" s="19"/>
      <c r="J33" s="20"/>
      <c r="K33" s="20"/>
      <c r="L33" s="21"/>
    </row>
    <row r="34" spans="1:12" x14ac:dyDescent="0.3">
      <c r="A34" s="33">
        <v>11</v>
      </c>
      <c r="B34" s="33" t="s">
        <v>2157</v>
      </c>
      <c r="C34" s="34" t="s">
        <v>858</v>
      </c>
      <c r="D34" s="51" t="s">
        <v>507</v>
      </c>
      <c r="E34" s="61" t="str">
        <f>IFERROR(VLOOKUP(D34,'Master List'!D:H,2,FALSE),"NA")</f>
        <v>520201</v>
      </c>
      <c r="F34" s="62" t="str">
        <f>IFERROR(VLOOKUP(D34,'Master List'!D:H,3,FALSE),"NA")</f>
        <v>520201</v>
      </c>
      <c r="G34" s="58" t="str">
        <f>IFERROR(VLOOKUP(D34,'Master List'!D:H,4,FALSE),"NA")</f>
        <v>520201</v>
      </c>
      <c r="H34" s="39" t="str">
        <f>IFERROR(VLOOKUP(D34,'Master List'!D:H,5,FALSE),"NA")</f>
        <v>Business Administration and Management, General.</v>
      </c>
      <c r="I34" s="19"/>
      <c r="J34" s="20"/>
      <c r="K34" s="20"/>
      <c r="L34" s="21"/>
    </row>
    <row r="35" spans="1:12" x14ac:dyDescent="0.3">
      <c r="A35" s="33">
        <v>11</v>
      </c>
      <c r="B35" s="33" t="s">
        <v>2157</v>
      </c>
      <c r="C35" s="34" t="s">
        <v>858</v>
      </c>
      <c r="D35" s="51" t="s">
        <v>227</v>
      </c>
      <c r="E35" s="61" t="str">
        <f>IFERROR(VLOOKUP(D35,'Master List'!D:H,2,FALSE),"NA")</f>
        <v>520302</v>
      </c>
      <c r="F35" s="62" t="str">
        <f>IFERROR(VLOOKUP(D35,'Master List'!D:H,3,FALSE),"NA")</f>
        <v>520302</v>
      </c>
      <c r="G35" s="58" t="str">
        <f>IFERROR(VLOOKUP(D35,'Master List'!D:H,4,FALSE),"NA")</f>
        <v>520302</v>
      </c>
      <c r="H35" s="39" t="str">
        <f>IFERROR(VLOOKUP(D35,'Master List'!D:H,5,FALSE),"NA")</f>
        <v>Accounting Technology/Technician and Bookkeeping.</v>
      </c>
      <c r="I35" s="19"/>
      <c r="J35" s="20"/>
      <c r="K35" s="20"/>
      <c r="L35" s="21"/>
    </row>
    <row r="36" spans="1:12" x14ac:dyDescent="0.3">
      <c r="A36" s="33">
        <v>11</v>
      </c>
      <c r="B36" s="33" t="s">
        <v>2157</v>
      </c>
      <c r="C36" s="34" t="s">
        <v>858</v>
      </c>
      <c r="D36" s="51" t="s">
        <v>228</v>
      </c>
      <c r="E36" s="61" t="str">
        <f>IFERROR(VLOOKUP(D36,'Master List'!D:H,2,FALSE),"NA")</f>
        <v>520302</v>
      </c>
      <c r="F36" s="62" t="str">
        <f>IFERROR(VLOOKUP(D36,'Master List'!D:H,3,FALSE),"NA")</f>
        <v>520302</v>
      </c>
      <c r="G36" s="58" t="str">
        <f>IFERROR(VLOOKUP(D36,'Master List'!D:H,4,FALSE),"NA")</f>
        <v>520302</v>
      </c>
      <c r="H36" s="39" t="str">
        <f>IFERROR(VLOOKUP(D36,'Master List'!D:H,5,FALSE),"NA")</f>
        <v>Accounting Technology/Technician and Bookkeeping.</v>
      </c>
      <c r="I36" s="19"/>
      <c r="J36" s="20"/>
      <c r="K36" s="20"/>
      <c r="L36" s="21"/>
    </row>
    <row r="37" spans="1:12" x14ac:dyDescent="0.3">
      <c r="A37" s="33">
        <v>11</v>
      </c>
      <c r="B37" s="33" t="s">
        <v>2157</v>
      </c>
      <c r="C37" s="34" t="s">
        <v>858</v>
      </c>
      <c r="D37" s="51" t="s">
        <v>40</v>
      </c>
      <c r="E37" s="61" t="str">
        <f>IFERROR(VLOOKUP(D37,'Master List'!D:H,2,FALSE),"NA")</f>
        <v>520302</v>
      </c>
      <c r="F37" s="62" t="str">
        <f>IFERROR(VLOOKUP(D37,'Master List'!D:H,3,FALSE),"NA")</f>
        <v>520302</v>
      </c>
      <c r="G37" s="58" t="str">
        <f>IFERROR(VLOOKUP(D37,'Master List'!D:H,4,FALSE),"NA")</f>
        <v>520302</v>
      </c>
      <c r="H37" s="39" t="str">
        <f>IFERROR(VLOOKUP(D37,'Master List'!D:H,5,FALSE),"NA")</f>
        <v>Accounting Technology/Technician and Bookkeeping.</v>
      </c>
      <c r="I37" s="19"/>
      <c r="J37" s="20"/>
      <c r="K37" s="20"/>
      <c r="L37" s="21"/>
    </row>
    <row r="38" spans="1:12" x14ac:dyDescent="0.3">
      <c r="A38" s="33">
        <v>11</v>
      </c>
      <c r="B38" s="33" t="s">
        <v>2157</v>
      </c>
      <c r="C38" s="34" t="s">
        <v>858</v>
      </c>
      <c r="D38" s="51" t="s">
        <v>804</v>
      </c>
      <c r="E38" s="61" t="str">
        <f>IFERROR(VLOOKUP(D38,'Master List'!D:H,2,FALSE),"NA")</f>
        <v>520401</v>
      </c>
      <c r="F38" s="62" t="str">
        <f>IFERROR(VLOOKUP(D38,'Master List'!D:H,3,FALSE),"NA")</f>
        <v>520401</v>
      </c>
      <c r="G38" s="58" t="str">
        <f>IFERROR(VLOOKUP(D38,'Master List'!D:H,4,FALSE),"NA")</f>
        <v>520401</v>
      </c>
      <c r="H38" s="39" t="str">
        <f>IFERROR(VLOOKUP(D38,'Master List'!D:H,5,FALSE),"NA")</f>
        <v>Administrative Assistant and Secretarial Science, General.</v>
      </c>
      <c r="I38" s="19"/>
      <c r="J38" s="20"/>
      <c r="K38" s="20"/>
      <c r="L38" s="21"/>
    </row>
    <row r="39" spans="1:12" x14ac:dyDescent="0.3">
      <c r="A39" s="33">
        <v>11</v>
      </c>
      <c r="B39" s="33" t="s">
        <v>2157</v>
      </c>
      <c r="C39" s="34" t="s">
        <v>858</v>
      </c>
      <c r="D39" s="51" t="s">
        <v>229</v>
      </c>
      <c r="E39" s="61" t="str">
        <f>IFERROR(VLOOKUP(D39,'Master List'!D:H,2,FALSE),"NA")</f>
        <v>520407</v>
      </c>
      <c r="F39" s="62" t="str">
        <f>IFERROR(VLOOKUP(D39,'Master List'!D:H,3,FALSE),"NA")</f>
        <v>520407</v>
      </c>
      <c r="G39" s="58" t="str">
        <f>IFERROR(VLOOKUP(D39,'Master List'!D:H,4,FALSE),"NA")</f>
        <v>520407</v>
      </c>
      <c r="H39" s="39" t="str">
        <f>IFERROR(VLOOKUP(D39,'Master List'!D:H,5,FALSE),"NA")</f>
        <v>Business/Office Automation/Technology/Data Entry.</v>
      </c>
      <c r="I39" s="19"/>
      <c r="J39" s="20"/>
      <c r="K39" s="20"/>
      <c r="L39" s="21"/>
    </row>
    <row r="40" spans="1:12" x14ac:dyDescent="0.3">
      <c r="A40" s="33">
        <v>11</v>
      </c>
      <c r="B40" s="33" t="s">
        <v>2157</v>
      </c>
      <c r="C40" s="34" t="s">
        <v>858</v>
      </c>
      <c r="D40" s="51" t="s">
        <v>232</v>
      </c>
      <c r="E40" s="61" t="str">
        <f>IFERROR(VLOOKUP(D40,'Master List'!D:H,2,FALSE),"NA")</f>
        <v>520701</v>
      </c>
      <c r="F40" s="62" t="str">
        <f>IFERROR(VLOOKUP(D40,'Master List'!D:H,3,FALSE),"NA")</f>
        <v>520701</v>
      </c>
      <c r="G40" s="58" t="str">
        <f>IFERROR(VLOOKUP(D40,'Master List'!D:H,4,FALSE),"NA")</f>
        <v>520701</v>
      </c>
      <c r="H40" s="39" t="str">
        <f>IFERROR(VLOOKUP(D40,'Master List'!D:H,5,FALSE),"NA")</f>
        <v>Entrepreneurship/Entrepreneurial Studies.</v>
      </c>
      <c r="I40" s="19"/>
      <c r="J40" s="20"/>
      <c r="K40" s="20"/>
      <c r="L40" s="21"/>
    </row>
    <row r="41" spans="1:12" x14ac:dyDescent="0.3">
      <c r="A41" s="33">
        <v>11</v>
      </c>
      <c r="B41" s="33" t="s">
        <v>2157</v>
      </c>
      <c r="C41" s="34" t="s">
        <v>858</v>
      </c>
      <c r="D41" s="51" t="s">
        <v>43</v>
      </c>
      <c r="E41" s="61" t="str">
        <f>IFERROR(VLOOKUP(D41,'Master List'!D:H,2,FALSE),"NA")</f>
        <v>100105</v>
      </c>
      <c r="F41" s="62" t="str">
        <f>IFERROR(VLOOKUP(D41,'Master List'!D:H,3,FALSE),"NA")</f>
        <v>100105</v>
      </c>
      <c r="G41" s="58" t="str">
        <f>IFERROR(VLOOKUP(D41,'Master List'!D:H,4,FALSE),"NA")</f>
        <v>100105</v>
      </c>
      <c r="H41" s="39" t="str">
        <f>IFERROR(VLOOKUP(D41,'Master List'!D:H,5,FALSE),"NA")</f>
        <v>Communications Technology/Technician.</v>
      </c>
      <c r="I41" s="19"/>
      <c r="J41" s="20"/>
      <c r="K41" s="20"/>
      <c r="L41" s="21"/>
    </row>
    <row r="42" spans="1:12" x14ac:dyDescent="0.3">
      <c r="A42" s="33">
        <v>11</v>
      </c>
      <c r="B42" s="33" t="s">
        <v>2157</v>
      </c>
      <c r="C42" s="34" t="s">
        <v>858</v>
      </c>
      <c r="D42" s="51" t="s">
        <v>865</v>
      </c>
      <c r="E42" s="61" t="str">
        <f>IFERROR(VLOOKUP(D42,'Master List'!D:H,2,FALSE),"NA")</f>
        <v>NA</v>
      </c>
      <c r="F42" s="62" t="str">
        <f>IFERROR(VLOOKUP(D42,'Master List'!D:H,3,FALSE),"NA")</f>
        <v>NA</v>
      </c>
      <c r="G42" s="58" t="str">
        <f>IFERROR(VLOOKUP(D42,'Master List'!D:H,4,FALSE),"NA")</f>
        <v>NA</v>
      </c>
      <c r="H42" s="39" t="str">
        <f>IFERROR(VLOOKUP(D42,'Master List'!D:H,5,FALSE),"NA")</f>
        <v>NA</v>
      </c>
      <c r="I42" s="19"/>
      <c r="J42" s="20"/>
      <c r="K42" s="20"/>
      <c r="L42" s="21"/>
    </row>
    <row r="43" spans="1:12" x14ac:dyDescent="0.3">
      <c r="A43" s="33">
        <v>11</v>
      </c>
      <c r="B43" s="33" t="s">
        <v>2157</v>
      </c>
      <c r="C43" s="34" t="s">
        <v>858</v>
      </c>
      <c r="D43" s="51" t="s">
        <v>512</v>
      </c>
      <c r="E43" s="61" t="str">
        <f>IFERROR(VLOOKUP(D43,'Master List'!D:H,2,FALSE),"NA")</f>
        <v>110501</v>
      </c>
      <c r="F43" s="62" t="str">
        <f>IFERROR(VLOOKUP(D43,'Master List'!D:H,3,FALSE),"NA")</f>
        <v>110501</v>
      </c>
      <c r="G43" s="58" t="str">
        <f>IFERROR(VLOOKUP(D43,'Master List'!D:H,4,FALSE),"NA")</f>
        <v>110501</v>
      </c>
      <c r="H43" s="39" t="str">
        <f>IFERROR(VLOOKUP(D43,'Master List'!D:H,5,FALSE),"NA")</f>
        <v>Computer Systems Analysis/Analyst.</v>
      </c>
      <c r="I43" s="19"/>
      <c r="J43" s="20"/>
      <c r="K43" s="20"/>
      <c r="L43" s="21"/>
    </row>
    <row r="44" spans="1:12" x14ac:dyDescent="0.3">
      <c r="A44" s="33">
        <v>11</v>
      </c>
      <c r="B44" s="33" t="s">
        <v>2157</v>
      </c>
      <c r="C44" s="34" t="s">
        <v>858</v>
      </c>
      <c r="D44" s="51" t="s">
        <v>515</v>
      </c>
      <c r="E44" s="61" t="str">
        <f>IFERROR(VLOOKUP(D44,'Master List'!D:H,2,FALSE),"NA")</f>
        <v>110803</v>
      </c>
      <c r="F44" s="62" t="str">
        <f>IFERROR(VLOOKUP(D44,'Master List'!D:H,3,FALSE),"NA")</f>
        <v>110803</v>
      </c>
      <c r="G44" s="58" t="str">
        <f>IFERROR(VLOOKUP(D44,'Master List'!D:H,4,FALSE),"NA")</f>
        <v>110803</v>
      </c>
      <c r="H44" s="39" t="str">
        <f>IFERROR(VLOOKUP(D44,'Master List'!D:H,5,FALSE),"NA")</f>
        <v>Computer Graphics.</v>
      </c>
      <c r="I44" s="19"/>
      <c r="J44" s="20"/>
      <c r="K44" s="20"/>
      <c r="L44" s="21"/>
    </row>
    <row r="45" spans="1:12" x14ac:dyDescent="0.3">
      <c r="A45" s="33">
        <v>11</v>
      </c>
      <c r="B45" s="33" t="s">
        <v>2157</v>
      </c>
      <c r="C45" s="34" t="s">
        <v>858</v>
      </c>
      <c r="D45" s="51" t="s">
        <v>237</v>
      </c>
      <c r="E45" s="61" t="str">
        <f>IFERROR(VLOOKUP(D45,'Master List'!D:H,2,FALSE),"NA")</f>
        <v>110803</v>
      </c>
      <c r="F45" s="62" t="str">
        <f>IFERROR(VLOOKUP(D45,'Master List'!D:H,3,FALSE),"NA")</f>
        <v>110803</v>
      </c>
      <c r="G45" s="58" t="str">
        <f>IFERROR(VLOOKUP(D45,'Master List'!D:H,4,FALSE),"NA")</f>
        <v>110803</v>
      </c>
      <c r="H45" s="39" t="str">
        <f>IFERROR(VLOOKUP(D45,'Master List'!D:H,5,FALSE),"NA")</f>
        <v>Computer Graphics.</v>
      </c>
      <c r="I45" s="19"/>
      <c r="J45" s="20"/>
      <c r="K45" s="20"/>
      <c r="L45" s="21"/>
    </row>
    <row r="46" spans="1:12" x14ac:dyDescent="0.3">
      <c r="A46" s="33">
        <v>11</v>
      </c>
      <c r="B46" s="33" t="s">
        <v>2157</v>
      </c>
      <c r="C46" s="34" t="s">
        <v>858</v>
      </c>
      <c r="D46" s="51" t="s">
        <v>553</v>
      </c>
      <c r="E46" s="61" t="str">
        <f>IFERROR(VLOOKUP(D46,'Master List'!D:H,2,FALSE),"NA")</f>
        <v>110803</v>
      </c>
      <c r="F46" s="62" t="str">
        <f>IFERROR(VLOOKUP(D46,'Master List'!D:H,3,FALSE),"NA")</f>
        <v>110803</v>
      </c>
      <c r="G46" s="58" t="str">
        <f>IFERROR(VLOOKUP(D46,'Master List'!D:H,4,FALSE),"NA")</f>
        <v>110803</v>
      </c>
      <c r="H46" s="39" t="str">
        <f>IFERROR(VLOOKUP(D46,'Master List'!D:H,5,FALSE),"NA")</f>
        <v>Computer Graphics.</v>
      </c>
      <c r="I46" s="19"/>
      <c r="J46" s="20"/>
      <c r="K46" s="20"/>
      <c r="L46" s="21"/>
    </row>
    <row r="47" spans="1:12" x14ac:dyDescent="0.3">
      <c r="A47" s="33">
        <v>11</v>
      </c>
      <c r="B47" s="33" t="s">
        <v>2157</v>
      </c>
      <c r="C47" s="34" t="s">
        <v>858</v>
      </c>
      <c r="D47" s="51" t="s">
        <v>240</v>
      </c>
      <c r="E47" s="61" t="str">
        <f>IFERROR(VLOOKUP(D47,'Master List'!D:H,2,FALSE),"NA")</f>
        <v>120401</v>
      </c>
      <c r="F47" s="62" t="str">
        <f>IFERROR(VLOOKUP(D47,'Master List'!D:H,3,FALSE),"NA")</f>
        <v>120401</v>
      </c>
      <c r="G47" s="58" t="str">
        <f>IFERROR(VLOOKUP(D47,'Master List'!D:H,4,FALSE),"NA")</f>
        <v>120401</v>
      </c>
      <c r="H47" s="39" t="str">
        <f>IFERROR(VLOOKUP(D47,'Master List'!D:H,5,FALSE),"NA")</f>
        <v>Cosmetology/Cosmetologist, General.</v>
      </c>
      <c r="I47" s="19"/>
      <c r="J47" s="20"/>
      <c r="K47" s="20"/>
      <c r="L47" s="21"/>
    </row>
    <row r="48" spans="1:12" x14ac:dyDescent="0.3">
      <c r="A48" s="33">
        <v>11</v>
      </c>
      <c r="B48" s="33" t="s">
        <v>2157</v>
      </c>
      <c r="C48" s="34" t="s">
        <v>858</v>
      </c>
      <c r="D48" s="51" t="s">
        <v>430</v>
      </c>
      <c r="E48" s="61" t="str">
        <f>IFERROR(VLOOKUP(D48,'Master List'!D:H,2,FALSE),"NA")</f>
        <v>120402</v>
      </c>
      <c r="F48" s="62" t="str">
        <f>IFERROR(VLOOKUP(D48,'Master List'!D:H,3,FALSE),"NA")</f>
        <v>120402</v>
      </c>
      <c r="G48" s="58" t="str">
        <f>IFERROR(VLOOKUP(D48,'Master List'!D:H,4,FALSE),"NA")</f>
        <v>120402</v>
      </c>
      <c r="H48" s="39" t="str">
        <f>IFERROR(VLOOKUP(D48,'Master List'!D:H,5,FALSE),"NA")</f>
        <v>Barbering/Barber.</v>
      </c>
      <c r="I48" s="19"/>
      <c r="J48" s="20"/>
      <c r="K48" s="20"/>
      <c r="L48" s="21"/>
    </row>
    <row r="49" spans="1:12" x14ac:dyDescent="0.3">
      <c r="A49" s="33">
        <v>11</v>
      </c>
      <c r="B49" s="33" t="s">
        <v>2157</v>
      </c>
      <c r="C49" s="34" t="s">
        <v>858</v>
      </c>
      <c r="D49" s="51" t="s">
        <v>243</v>
      </c>
      <c r="E49" s="61" t="str">
        <f>IFERROR(VLOOKUP(D49,'Master List'!D:H,2,FALSE),"NA")</f>
        <v>120408</v>
      </c>
      <c r="F49" s="62" t="str">
        <f>IFERROR(VLOOKUP(D49,'Master List'!D:H,3,FALSE),"NA")</f>
        <v>120408</v>
      </c>
      <c r="G49" s="58" t="str">
        <f>IFERROR(VLOOKUP(D49,'Master List'!D:H,4,FALSE),"NA")</f>
        <v>120408</v>
      </c>
      <c r="H49" s="39" t="str">
        <f>IFERROR(VLOOKUP(D49,'Master List'!D:H,5,FALSE),"NA")</f>
        <v>Facial Treatment Specialist/Facialist.</v>
      </c>
      <c r="I49" s="19"/>
      <c r="J49" s="20"/>
      <c r="K49" s="20"/>
      <c r="L49" s="21"/>
    </row>
    <row r="50" spans="1:12" x14ac:dyDescent="0.3">
      <c r="A50" s="33">
        <v>11</v>
      </c>
      <c r="B50" s="33" t="s">
        <v>2157</v>
      </c>
      <c r="C50" s="34" t="s">
        <v>858</v>
      </c>
      <c r="D50" s="51" t="s">
        <v>712</v>
      </c>
      <c r="E50" s="61" t="str">
        <f>IFERROR(VLOOKUP(D50,'Master List'!D:H,2,FALSE),"NA")</f>
        <v>120409</v>
      </c>
      <c r="F50" s="62" t="str">
        <f>IFERROR(VLOOKUP(D50,'Master List'!D:H,3,FALSE),"NA")</f>
        <v>120409</v>
      </c>
      <c r="G50" s="58" t="str">
        <f>IFERROR(VLOOKUP(D50,'Master List'!D:H,4,FALSE),"NA")</f>
        <v>120409</v>
      </c>
      <c r="H50" s="39" t="str">
        <f>IFERROR(VLOOKUP(D50,'Master List'!D:H,5,FALSE),"NA")</f>
        <v>Aesthetician/Esthetician and Skin Care Specialist.</v>
      </c>
      <c r="I50" s="19"/>
      <c r="J50" s="20"/>
      <c r="K50" s="20"/>
      <c r="L50" s="21"/>
    </row>
    <row r="51" spans="1:12" x14ac:dyDescent="0.3">
      <c r="A51" s="33">
        <v>11</v>
      </c>
      <c r="B51" s="33" t="s">
        <v>2157</v>
      </c>
      <c r="C51" s="34" t="s">
        <v>858</v>
      </c>
      <c r="D51" s="51" t="s">
        <v>715</v>
      </c>
      <c r="E51" s="61" t="str">
        <f>IFERROR(VLOOKUP(D51,'Master List'!D:H,2,FALSE),"NA")</f>
        <v>120410</v>
      </c>
      <c r="F51" s="62" t="str">
        <f>IFERROR(VLOOKUP(D51,'Master List'!D:H,3,FALSE),"NA")</f>
        <v>120410</v>
      </c>
      <c r="G51" s="58" t="str">
        <f>IFERROR(VLOOKUP(D51,'Master List'!D:H,4,FALSE),"NA")</f>
        <v>120410</v>
      </c>
      <c r="H51" s="39" t="str">
        <f>IFERROR(VLOOKUP(D51,'Master List'!D:H,5,FALSE),"NA")</f>
        <v>Nail Technician/Specialist and Manicurist.</v>
      </c>
      <c r="I51" s="19"/>
      <c r="J51" s="20"/>
      <c r="K51" s="20"/>
      <c r="L51" s="21"/>
    </row>
    <row r="52" spans="1:12" x14ac:dyDescent="0.3">
      <c r="A52" s="33">
        <v>11</v>
      </c>
      <c r="B52" s="33" t="s">
        <v>2157</v>
      </c>
      <c r="C52" s="34" t="s">
        <v>858</v>
      </c>
      <c r="D52" s="51" t="s">
        <v>46</v>
      </c>
      <c r="E52" s="61" t="str">
        <f>IFERROR(VLOOKUP(D52,'Master List'!D:H,2,FALSE),"NA")</f>
        <v>120503</v>
      </c>
      <c r="F52" s="62" t="str">
        <f>IFERROR(VLOOKUP(D52,'Master List'!D:H,3,FALSE),"NA")</f>
        <v>120503</v>
      </c>
      <c r="G52" s="58" t="str">
        <f>IFERROR(VLOOKUP(D52,'Master List'!D:H,4,FALSE),"NA")</f>
        <v>120503</v>
      </c>
      <c r="H52" s="39" t="str">
        <f>IFERROR(VLOOKUP(D52,'Master List'!D:H,5,FALSE),"NA")</f>
        <v>Culinary Arts/Chef Training.</v>
      </c>
      <c r="I52" s="19"/>
      <c r="J52" s="20"/>
      <c r="K52" s="20"/>
      <c r="L52" s="21"/>
    </row>
    <row r="53" spans="1:12" x14ac:dyDescent="0.3">
      <c r="A53" s="33">
        <v>11</v>
      </c>
      <c r="B53" s="33" t="s">
        <v>2157</v>
      </c>
      <c r="C53" s="34" t="s">
        <v>858</v>
      </c>
      <c r="D53" s="51" t="s">
        <v>49</v>
      </c>
      <c r="E53" s="61" t="str">
        <f>IFERROR(VLOOKUP(D53,'Master List'!D:H,2,FALSE),"NA")</f>
        <v>120503</v>
      </c>
      <c r="F53" s="62" t="str">
        <f>IFERROR(VLOOKUP(D53,'Master List'!D:H,3,FALSE),"NA")</f>
        <v>120503</v>
      </c>
      <c r="G53" s="58" t="str">
        <f>IFERROR(VLOOKUP(D53,'Master List'!D:H,4,FALSE),"NA")</f>
        <v>120503</v>
      </c>
      <c r="H53" s="39" t="str">
        <f>IFERROR(VLOOKUP(D53,'Master List'!D:H,5,FALSE),"NA")</f>
        <v>Culinary Arts/Chef Training.</v>
      </c>
      <c r="I53" s="19"/>
      <c r="J53" s="20"/>
      <c r="K53" s="20"/>
      <c r="L53" s="21"/>
    </row>
    <row r="54" spans="1:12" x14ac:dyDescent="0.3">
      <c r="A54" s="33">
        <v>11</v>
      </c>
      <c r="B54" s="33" t="s">
        <v>2157</v>
      </c>
      <c r="C54" s="34" t="s">
        <v>858</v>
      </c>
      <c r="D54" s="51" t="s">
        <v>155</v>
      </c>
      <c r="E54" s="61" t="str">
        <f>IFERROR(VLOOKUP(D54,'Master List'!D:H,2,FALSE),"NA")</f>
        <v>120504</v>
      </c>
      <c r="F54" s="62" t="str">
        <f>IFERROR(VLOOKUP(D54,'Master List'!D:H,3,FALSE),"NA")</f>
        <v>120504</v>
      </c>
      <c r="G54" s="58" t="str">
        <f>IFERROR(VLOOKUP(D54,'Master List'!D:H,4,FALSE),"NA")</f>
        <v>120504</v>
      </c>
      <c r="H54" s="39" t="str">
        <f>IFERROR(VLOOKUP(D54,'Master List'!D:H,5,FALSE),"NA")</f>
        <v>Restaurant, Culinary, and Catering Management/Manager.</v>
      </c>
      <c r="I54" s="19"/>
      <c r="J54" s="20"/>
      <c r="K54" s="20"/>
      <c r="L54" s="21"/>
    </row>
    <row r="55" spans="1:12" x14ac:dyDescent="0.3">
      <c r="A55" s="33">
        <v>11</v>
      </c>
      <c r="B55" s="33" t="s">
        <v>2157</v>
      </c>
      <c r="C55" s="34" t="s">
        <v>858</v>
      </c>
      <c r="D55" s="51" t="s">
        <v>556</v>
      </c>
      <c r="E55" s="61" t="str">
        <f>IFERROR(VLOOKUP(D55,'Master List'!D:H,2,FALSE),"NA")</f>
        <v>150303</v>
      </c>
      <c r="F55" s="62" t="str">
        <f>IFERROR(VLOOKUP(D55,'Master List'!D:H,3,FALSE),"NA")</f>
        <v>150303</v>
      </c>
      <c r="G55" s="58" t="str">
        <f>IFERROR(VLOOKUP(D55,'Master List'!D:H,4,FALSE),"NA")</f>
        <v>150303</v>
      </c>
      <c r="H55" s="39" t="str">
        <f>IFERROR(VLOOKUP(D55,'Master List'!D:H,5,FALSE),"NA")</f>
        <v>Electrical, Electronic, and Communications Engineering Technology/Technician.</v>
      </c>
      <c r="I55" s="19"/>
      <c r="J55" s="20"/>
      <c r="K55" s="20"/>
      <c r="L55" s="21"/>
    </row>
    <row r="56" spans="1:12" x14ac:dyDescent="0.3">
      <c r="A56" s="33">
        <v>11</v>
      </c>
      <c r="B56" s="33" t="s">
        <v>2157</v>
      </c>
      <c r="C56" s="34" t="s">
        <v>858</v>
      </c>
      <c r="D56" s="51" t="s">
        <v>557</v>
      </c>
      <c r="E56" s="61" t="str">
        <f>IFERROR(VLOOKUP(D56,'Master List'!D:H,2,FALSE),"NA")</f>
        <v>150303</v>
      </c>
      <c r="F56" s="62" t="str">
        <f>IFERROR(VLOOKUP(D56,'Master List'!D:H,3,FALSE),"NA")</f>
        <v>150303</v>
      </c>
      <c r="G56" s="58" t="str">
        <f>IFERROR(VLOOKUP(D56,'Master List'!D:H,4,FALSE),"NA")</f>
        <v>150303</v>
      </c>
      <c r="H56" s="39" t="str">
        <f>IFERROR(VLOOKUP(D56,'Master List'!D:H,5,FALSE),"NA")</f>
        <v>Electrical, Electronic, and Communications Engineering Technology/Technician.</v>
      </c>
      <c r="I56" s="19"/>
      <c r="J56" s="20"/>
      <c r="K56" s="20"/>
      <c r="L56" s="21"/>
    </row>
    <row r="57" spans="1:12" x14ac:dyDescent="0.3">
      <c r="A57" s="33">
        <v>11</v>
      </c>
      <c r="B57" s="33" t="s">
        <v>2157</v>
      </c>
      <c r="C57" s="34" t="s">
        <v>858</v>
      </c>
      <c r="D57" s="51" t="s">
        <v>558</v>
      </c>
      <c r="E57" s="61" t="str">
        <f>IFERROR(VLOOKUP(D57,'Master List'!D:H,2,FALSE),"NA")</f>
        <v>150304</v>
      </c>
      <c r="F57" s="62" t="str">
        <f>IFERROR(VLOOKUP(D57,'Master List'!D:H,3,FALSE),"NA")</f>
        <v>150304</v>
      </c>
      <c r="G57" s="58" t="str">
        <f>IFERROR(VLOOKUP(D57,'Master List'!D:H,4,FALSE),"NA")</f>
        <v>150304</v>
      </c>
      <c r="H57" s="39" t="str">
        <f>IFERROR(VLOOKUP(D57,'Master List'!D:H,5,FALSE),"NA")</f>
        <v>Laser and Optical Technology/Technician.</v>
      </c>
      <c r="I57" s="19"/>
      <c r="J57" s="20"/>
      <c r="K57" s="20"/>
      <c r="L57" s="21"/>
    </row>
    <row r="58" spans="1:12" x14ac:dyDescent="0.3">
      <c r="A58" s="33">
        <v>11</v>
      </c>
      <c r="B58" s="33" t="s">
        <v>2157</v>
      </c>
      <c r="C58" s="34" t="s">
        <v>858</v>
      </c>
      <c r="D58" s="51" t="s">
        <v>561</v>
      </c>
      <c r="E58" s="61" t="str">
        <f>IFERROR(VLOOKUP(D58,'Master List'!D:H,2,FALSE),"NA")</f>
        <v>150405</v>
      </c>
      <c r="F58" s="62" t="str">
        <f>IFERROR(VLOOKUP(D58,'Master List'!D:H,3,FALSE),"NA")</f>
        <v>150405</v>
      </c>
      <c r="G58" s="58" t="str">
        <f>IFERROR(VLOOKUP(D58,'Master List'!D:H,4,FALSE),"NA")</f>
        <v>150405</v>
      </c>
      <c r="H58" s="39" t="str">
        <f>IFERROR(VLOOKUP(D58,'Master List'!D:H,5,FALSE),"NA")</f>
        <v>Robotics Technology/Technician.</v>
      </c>
      <c r="I58" s="19"/>
      <c r="J58" s="20"/>
      <c r="K58" s="20"/>
      <c r="L58" s="21"/>
    </row>
    <row r="59" spans="1:12" x14ac:dyDescent="0.3">
      <c r="A59" s="33">
        <v>11</v>
      </c>
      <c r="B59" s="33" t="s">
        <v>2157</v>
      </c>
      <c r="C59" s="34" t="s">
        <v>858</v>
      </c>
      <c r="D59" s="51" t="s">
        <v>866</v>
      </c>
      <c r="E59" s="61" t="str">
        <f>IFERROR(VLOOKUP(D59,'Master List'!D:H,2,FALSE),"NA")</f>
        <v>150501</v>
      </c>
      <c r="F59" s="62" t="str">
        <f>IFERROR(VLOOKUP(D59,'Master List'!D:H,3,FALSE),"NA")</f>
        <v>150501</v>
      </c>
      <c r="G59" s="58" t="str">
        <f>IFERROR(VLOOKUP(D59,'Master List'!D:H,4,FALSE),"NA")</f>
        <v>150501</v>
      </c>
      <c r="H59" s="39" t="str">
        <f>IFERROR(VLOOKUP(D59,'Master List'!D:H,5,FALSE),"NA")</f>
        <v>Heating, Ventilation, Air Conditioning and Refrigeration Engineering Technology/Technician.</v>
      </c>
      <c r="I59" s="19"/>
      <c r="J59" s="20"/>
      <c r="K59" s="20"/>
      <c r="L59" s="21"/>
    </row>
    <row r="60" spans="1:12" x14ac:dyDescent="0.3">
      <c r="A60" s="33">
        <v>11</v>
      </c>
      <c r="B60" s="33" t="s">
        <v>2157</v>
      </c>
      <c r="C60" s="34" t="s">
        <v>858</v>
      </c>
      <c r="D60" s="51" t="s">
        <v>867</v>
      </c>
      <c r="E60" s="61" t="str">
        <f>IFERROR(VLOOKUP(D60,'Master List'!D:H,2,FALSE),"NA")</f>
        <v>150501</v>
      </c>
      <c r="F60" s="62" t="str">
        <f>IFERROR(VLOOKUP(D60,'Master List'!D:H,3,FALSE),"NA")</f>
        <v>150501</v>
      </c>
      <c r="G60" s="58" t="str">
        <f>IFERROR(VLOOKUP(D60,'Master List'!D:H,4,FALSE),"NA")</f>
        <v>150501</v>
      </c>
      <c r="H60" s="39" t="str">
        <f>IFERROR(VLOOKUP(D60,'Master List'!D:H,5,FALSE),"NA")</f>
        <v>Heating, Ventilation, Air Conditioning and Refrigeration Engineering Technology/Technician.</v>
      </c>
      <c r="I60" s="19"/>
      <c r="J60" s="20"/>
      <c r="K60" s="20"/>
      <c r="L60" s="21"/>
    </row>
    <row r="61" spans="1:12" x14ac:dyDescent="0.3">
      <c r="A61" s="33">
        <v>11</v>
      </c>
      <c r="B61" s="33" t="s">
        <v>2157</v>
      </c>
      <c r="C61" s="34" t="s">
        <v>858</v>
      </c>
      <c r="D61" s="51" t="s">
        <v>868</v>
      </c>
      <c r="E61" s="61" t="str">
        <f>IFERROR(VLOOKUP(D61,'Master List'!D:H,2,FALSE),"NA")</f>
        <v>150501</v>
      </c>
      <c r="F61" s="62" t="str">
        <f>IFERROR(VLOOKUP(D61,'Master List'!D:H,3,FALSE),"NA")</f>
        <v>150501</v>
      </c>
      <c r="G61" s="58" t="str">
        <f>IFERROR(VLOOKUP(D61,'Master List'!D:H,4,FALSE),"NA")</f>
        <v>150501</v>
      </c>
      <c r="H61" s="39" t="str">
        <f>IFERROR(VLOOKUP(D61,'Master List'!D:H,5,FALSE),"NA")</f>
        <v>Heating, Ventilation, Air Conditioning and Refrigeration Engineering Technology/Technician.</v>
      </c>
      <c r="I61" s="19"/>
      <c r="J61" s="20"/>
      <c r="K61" s="20"/>
      <c r="L61" s="21"/>
    </row>
    <row r="62" spans="1:12" x14ac:dyDescent="0.3">
      <c r="A62" s="33">
        <v>11</v>
      </c>
      <c r="B62" s="33" t="s">
        <v>2157</v>
      </c>
      <c r="C62" s="34" t="s">
        <v>858</v>
      </c>
      <c r="D62" s="51" t="s">
        <v>251</v>
      </c>
      <c r="E62" s="61" t="str">
        <f>IFERROR(VLOOKUP(D62,'Master List'!D:H,2,FALSE),"NA")</f>
        <v>150501</v>
      </c>
      <c r="F62" s="62" t="str">
        <f>IFERROR(VLOOKUP(D62,'Master List'!D:H,3,FALSE),"NA")</f>
        <v>150501</v>
      </c>
      <c r="G62" s="58" t="str">
        <f>IFERROR(VLOOKUP(D62,'Master List'!D:H,4,FALSE),"NA")</f>
        <v>150501</v>
      </c>
      <c r="H62" s="39" t="str">
        <f>IFERROR(VLOOKUP(D62,'Master List'!D:H,5,FALSE),"NA")</f>
        <v>Heating, Ventilation, Air Conditioning and Refrigeration Engineering Technology/Technician.</v>
      </c>
      <c r="I62" s="19"/>
      <c r="J62" s="20"/>
      <c r="K62" s="20"/>
      <c r="L62" s="21"/>
    </row>
    <row r="63" spans="1:12" x14ac:dyDescent="0.3">
      <c r="A63" s="33">
        <v>11</v>
      </c>
      <c r="B63" s="33" t="s">
        <v>2157</v>
      </c>
      <c r="C63" s="34" t="s">
        <v>858</v>
      </c>
      <c r="D63" s="51" t="s">
        <v>869</v>
      </c>
      <c r="E63" s="61" t="str">
        <f>IFERROR(VLOOKUP(D63,'Master List'!D:H,2,FALSE),"NA")</f>
        <v>150505</v>
      </c>
      <c r="F63" s="62" t="str">
        <f>IFERROR(VLOOKUP(D63,'Master List'!D:H,3,FALSE),"NA")</f>
        <v>151703</v>
      </c>
      <c r="G63" s="58" t="str">
        <f>IFERROR(VLOOKUP(D63,'Master List'!D:H,4,FALSE),"NA")</f>
        <v>151703</v>
      </c>
      <c r="H63" s="39" t="str">
        <f>IFERROR(VLOOKUP(D63,'Master List'!D:H,5,FALSE),"NA")</f>
        <v>Solar Energy Technology/Technician.</v>
      </c>
      <c r="I63" s="19"/>
      <c r="J63" s="20"/>
      <c r="K63" s="20"/>
      <c r="L63" s="21"/>
    </row>
    <row r="64" spans="1:12" x14ac:dyDescent="0.3">
      <c r="A64" s="33">
        <v>11</v>
      </c>
      <c r="B64" s="33" t="s">
        <v>2157</v>
      </c>
      <c r="C64" s="34" t="s">
        <v>858</v>
      </c>
      <c r="D64" s="51" t="s">
        <v>255</v>
      </c>
      <c r="E64" s="61" t="str">
        <f>IFERROR(VLOOKUP(D64,'Master List'!D:H,2,FALSE),"NA")</f>
        <v>150803</v>
      </c>
      <c r="F64" s="62" t="str">
        <f>IFERROR(VLOOKUP(D64,'Master List'!D:H,3,FALSE),"NA")</f>
        <v>150803</v>
      </c>
      <c r="G64" s="58" t="str">
        <f>IFERROR(VLOOKUP(D64,'Master List'!D:H,4,FALSE),"NA")</f>
        <v>150803</v>
      </c>
      <c r="H64" s="39" t="str">
        <f>IFERROR(VLOOKUP(D64,'Master List'!D:H,5,FALSE),"NA")</f>
        <v>Automotive Engineering Technology/Technician.</v>
      </c>
      <c r="I64" s="19"/>
      <c r="J64" s="20"/>
      <c r="K64" s="20"/>
      <c r="L64" s="21"/>
    </row>
    <row r="65" spans="1:12" x14ac:dyDescent="0.3">
      <c r="A65" s="33">
        <v>11</v>
      </c>
      <c r="B65" s="33" t="s">
        <v>2157</v>
      </c>
      <c r="C65" s="34" t="s">
        <v>858</v>
      </c>
      <c r="D65" s="51" t="s">
        <v>258</v>
      </c>
      <c r="E65" s="61" t="str">
        <f>IFERROR(VLOOKUP(D65,'Master List'!D:H,2,FALSE),"NA")</f>
        <v>150803</v>
      </c>
      <c r="F65" s="62" t="str">
        <f>IFERROR(VLOOKUP(D65,'Master List'!D:H,3,FALSE),"NA")</f>
        <v>150803</v>
      </c>
      <c r="G65" s="58" t="str">
        <f>IFERROR(VLOOKUP(D65,'Master List'!D:H,4,FALSE),"NA")</f>
        <v>150803</v>
      </c>
      <c r="H65" s="39" t="str">
        <f>IFERROR(VLOOKUP(D65,'Master List'!D:H,5,FALSE),"NA")</f>
        <v>Automotive Engineering Technology/Technician.</v>
      </c>
      <c r="I65" s="19"/>
      <c r="J65" s="20"/>
      <c r="K65" s="20"/>
      <c r="L65" s="21"/>
    </row>
    <row r="66" spans="1:12" x14ac:dyDescent="0.3">
      <c r="A66" s="33">
        <v>11</v>
      </c>
      <c r="B66" s="33" t="s">
        <v>2157</v>
      </c>
      <c r="C66" s="34" t="s">
        <v>858</v>
      </c>
      <c r="D66" s="51" t="s">
        <v>633</v>
      </c>
      <c r="E66" s="61" t="str">
        <f>IFERROR(VLOOKUP(D66,'Master List'!D:H,2,FALSE),"NA")</f>
        <v>150803</v>
      </c>
      <c r="F66" s="62" t="str">
        <f>IFERROR(VLOOKUP(D66,'Master List'!D:H,3,FALSE),"NA")</f>
        <v>150803</v>
      </c>
      <c r="G66" s="58" t="str">
        <f>IFERROR(VLOOKUP(D66,'Master List'!D:H,4,FALSE),"NA")</f>
        <v>150803</v>
      </c>
      <c r="H66" s="39" t="str">
        <f>IFERROR(VLOOKUP(D66,'Master List'!D:H,5,FALSE),"NA")</f>
        <v>Automotive Engineering Technology/Technician.</v>
      </c>
      <c r="I66" s="19"/>
      <c r="J66" s="20"/>
      <c r="K66" s="20"/>
      <c r="L66" s="21"/>
    </row>
    <row r="67" spans="1:12" x14ac:dyDescent="0.3">
      <c r="A67" s="33">
        <v>11</v>
      </c>
      <c r="B67" s="33" t="s">
        <v>2157</v>
      </c>
      <c r="C67" s="34" t="s">
        <v>858</v>
      </c>
      <c r="D67" s="51" t="s">
        <v>259</v>
      </c>
      <c r="E67" s="61" t="str">
        <f>IFERROR(VLOOKUP(D67,'Master List'!D:H,2,FALSE),"NA")</f>
        <v>151301</v>
      </c>
      <c r="F67" s="62" t="str">
        <f>IFERROR(VLOOKUP(D67,'Master List'!D:H,3,FALSE),"NA")</f>
        <v>151301</v>
      </c>
      <c r="G67" s="58">
        <f>IFERROR(VLOOKUP(D67,'Master List'!D:H,4,FALSE),"NA")</f>
        <v>151302</v>
      </c>
      <c r="H67" s="39" t="str">
        <f>IFERROR(VLOOKUP(D67,'Master List'!D:H,5,FALSE),"NA")</f>
        <v>CAD/CADD Drafting and/or Design Technology/Technician</v>
      </c>
      <c r="I67" s="19"/>
      <c r="J67" s="20"/>
      <c r="K67" s="20"/>
      <c r="L67" s="21"/>
    </row>
    <row r="68" spans="1:12" x14ac:dyDescent="0.3">
      <c r="A68" s="33">
        <v>11</v>
      </c>
      <c r="B68" s="33" t="s">
        <v>2157</v>
      </c>
      <c r="C68" s="34" t="s">
        <v>858</v>
      </c>
      <c r="D68" s="51" t="s">
        <v>262</v>
      </c>
      <c r="E68" s="61" t="str">
        <f>IFERROR(VLOOKUP(D68,'Master List'!D:H,2,FALSE),"NA")</f>
        <v>151302</v>
      </c>
      <c r="F68" s="62" t="str">
        <f>IFERROR(VLOOKUP(D68,'Master List'!D:H,3,FALSE),"NA")</f>
        <v>151302</v>
      </c>
      <c r="G68" s="58" t="str">
        <f>IFERROR(VLOOKUP(D68,'Master List'!D:H,4,FALSE),"NA")</f>
        <v>151302</v>
      </c>
      <c r="H68" s="39" t="str">
        <f>IFERROR(VLOOKUP(D68,'Master List'!D:H,5,FALSE),"NA")</f>
        <v>CAD/CADD Drafting and/or Design Technology/Technician.</v>
      </c>
      <c r="I68" s="19"/>
      <c r="J68" s="20"/>
      <c r="K68" s="20"/>
      <c r="L68" s="21"/>
    </row>
    <row r="69" spans="1:12" x14ac:dyDescent="0.3">
      <c r="A69" s="33">
        <v>11</v>
      </c>
      <c r="B69" s="33" t="s">
        <v>2157</v>
      </c>
      <c r="C69" s="34" t="s">
        <v>858</v>
      </c>
      <c r="D69" s="51" t="s">
        <v>278</v>
      </c>
      <c r="E69" s="61" t="str">
        <f>IFERROR(VLOOKUP(D69,'Master List'!D:H,2,FALSE),"NA")</f>
        <v>470201</v>
      </c>
      <c r="F69" s="62" t="str">
        <f>IFERROR(VLOOKUP(D69,'Master List'!D:H,3,FALSE),"NA")</f>
        <v>470201</v>
      </c>
      <c r="G69" s="58" t="str">
        <f>IFERROR(VLOOKUP(D69,'Master List'!D:H,4,FALSE),"NA")</f>
        <v>470201</v>
      </c>
      <c r="H69" s="39" t="str">
        <f>IFERROR(VLOOKUP(D69,'Master List'!D:H,5,FALSE),"NA")</f>
        <v>Heating, Air Conditioning, Ventilation and Refrigeration Maintenance Technology/Technician.</v>
      </c>
      <c r="I69" s="19"/>
      <c r="J69" s="20"/>
      <c r="K69" s="20"/>
      <c r="L69" s="21"/>
    </row>
    <row r="70" spans="1:12" x14ac:dyDescent="0.3">
      <c r="A70" s="33">
        <v>11</v>
      </c>
      <c r="B70" s="33" t="s">
        <v>2157</v>
      </c>
      <c r="C70" s="34" t="s">
        <v>858</v>
      </c>
      <c r="D70" s="51" t="s">
        <v>637</v>
      </c>
      <c r="E70" s="61" t="str">
        <f>IFERROR(VLOOKUP(D70,'Master List'!D:H,2,FALSE),"NA")</f>
        <v>470201</v>
      </c>
      <c r="F70" s="62" t="str">
        <f>IFERROR(VLOOKUP(D70,'Master List'!D:H,3,FALSE),"NA")</f>
        <v>470201</v>
      </c>
      <c r="G70" s="58" t="str">
        <f>IFERROR(VLOOKUP(D70,'Master List'!D:H,4,FALSE),"NA")</f>
        <v>470201</v>
      </c>
      <c r="H70" s="39" t="str">
        <f>IFERROR(VLOOKUP(D70,'Master List'!D:H,5,FALSE),"NA")</f>
        <v>Heating, Air Conditioning, Ventilation and Refrigeration Maintenance Technology/Technician.</v>
      </c>
      <c r="I70" s="19"/>
      <c r="J70" s="20"/>
      <c r="K70" s="20"/>
      <c r="L70" s="21"/>
    </row>
    <row r="71" spans="1:12" x14ac:dyDescent="0.3">
      <c r="A71" s="33">
        <v>11</v>
      </c>
      <c r="B71" s="33" t="s">
        <v>2157</v>
      </c>
      <c r="C71" s="34" t="s">
        <v>858</v>
      </c>
      <c r="D71" s="51" t="s">
        <v>788</v>
      </c>
      <c r="E71" s="61" t="str">
        <f>IFERROR(VLOOKUP(D71,'Master List'!D:H,2,FALSE),"NA")</f>
        <v>470604</v>
      </c>
      <c r="F71" s="62" t="str">
        <f>IFERROR(VLOOKUP(D71,'Master List'!D:H,3,FALSE),"NA")</f>
        <v>470604</v>
      </c>
      <c r="G71" s="58" t="str">
        <f>IFERROR(VLOOKUP(D71,'Master List'!D:H,4,FALSE),"NA")</f>
        <v>470604</v>
      </c>
      <c r="H71" s="39" t="str">
        <f>IFERROR(VLOOKUP(D71,'Master List'!D:H,5,FALSE),"NA")</f>
        <v>Automobile/Automotive Mechanics Technology/Technician.</v>
      </c>
      <c r="I71" s="19"/>
      <c r="J71" s="20"/>
      <c r="K71" s="20"/>
      <c r="L71" s="21"/>
    </row>
    <row r="72" spans="1:12" x14ac:dyDescent="0.3">
      <c r="A72" s="33">
        <v>11</v>
      </c>
      <c r="B72" s="33" t="s">
        <v>2157</v>
      </c>
      <c r="C72" s="34" t="s">
        <v>858</v>
      </c>
      <c r="D72" s="51" t="s">
        <v>789</v>
      </c>
      <c r="E72" s="61" t="str">
        <f>IFERROR(VLOOKUP(D72,'Master List'!D:H,2,FALSE),"NA")</f>
        <v>470604</v>
      </c>
      <c r="F72" s="62" t="str">
        <f>IFERROR(VLOOKUP(D72,'Master List'!D:H,3,FALSE),"NA")</f>
        <v>470604</v>
      </c>
      <c r="G72" s="58" t="str">
        <f>IFERROR(VLOOKUP(D72,'Master List'!D:H,4,FALSE),"NA")</f>
        <v>470604</v>
      </c>
      <c r="H72" s="39" t="str">
        <f>IFERROR(VLOOKUP(D72,'Master List'!D:H,5,FALSE),"NA")</f>
        <v>Automobile/Automotive Mechanics Technology/Technician.</v>
      </c>
      <c r="I72" s="19"/>
      <c r="J72" s="20"/>
      <c r="K72" s="20"/>
      <c r="L72" s="21"/>
    </row>
    <row r="73" spans="1:12" x14ac:dyDescent="0.3">
      <c r="A73" s="33">
        <v>11</v>
      </c>
      <c r="B73" s="33" t="s">
        <v>2157</v>
      </c>
      <c r="C73" s="34" t="s">
        <v>858</v>
      </c>
      <c r="D73" s="51" t="s">
        <v>291</v>
      </c>
      <c r="E73" s="61" t="str">
        <f>IFERROR(VLOOKUP(D73,'Master List'!D:H,2,FALSE),"NA")</f>
        <v>480508</v>
      </c>
      <c r="F73" s="62" t="str">
        <f>IFERROR(VLOOKUP(D73,'Master List'!D:H,3,FALSE),"NA")</f>
        <v>480508</v>
      </c>
      <c r="G73" s="58" t="str">
        <f>IFERROR(VLOOKUP(D73,'Master List'!D:H,4,FALSE),"NA")</f>
        <v>480508</v>
      </c>
      <c r="H73" s="39" t="str">
        <f>IFERROR(VLOOKUP(D73,'Master List'!D:H,5,FALSE),"NA")</f>
        <v>Welding Technology/Welder.</v>
      </c>
      <c r="I73" s="19"/>
      <c r="J73" s="20"/>
      <c r="K73" s="20"/>
      <c r="L73" s="21"/>
    </row>
    <row r="74" spans="1:12" x14ac:dyDescent="0.3">
      <c r="A74" s="33">
        <v>11</v>
      </c>
      <c r="B74" s="33" t="s">
        <v>2157</v>
      </c>
      <c r="C74" s="34" t="s">
        <v>858</v>
      </c>
      <c r="D74" s="51" t="s">
        <v>304</v>
      </c>
      <c r="E74" s="61" t="str">
        <f>IFERROR(VLOOKUP(D74,'Master List'!D:H,2,FALSE),"NA")</f>
        <v>490205</v>
      </c>
      <c r="F74" s="62" t="str">
        <f>IFERROR(VLOOKUP(D74,'Master List'!D:H,3,FALSE),"NA")</f>
        <v>490205</v>
      </c>
      <c r="G74" s="58" t="str">
        <f>IFERROR(VLOOKUP(D74,'Master List'!D:H,4,FALSE),"NA")</f>
        <v>490205</v>
      </c>
      <c r="H74" s="39" t="str">
        <f>IFERROR(VLOOKUP(D74,'Master List'!D:H,5,FALSE),"NA")</f>
        <v>Truck and Bus Driver/Commercial Vehicle Operator and Instructor.</v>
      </c>
      <c r="I74" s="19"/>
      <c r="J74" s="20"/>
      <c r="K74" s="20"/>
      <c r="L74" s="21"/>
    </row>
    <row r="75" spans="1:12" x14ac:dyDescent="0.3">
      <c r="A75" s="33">
        <v>11</v>
      </c>
      <c r="B75" s="33" t="s">
        <v>2157</v>
      </c>
      <c r="C75" s="34" t="s">
        <v>858</v>
      </c>
      <c r="D75" s="51" t="s">
        <v>59</v>
      </c>
      <c r="E75" s="61" t="str">
        <f>IFERROR(VLOOKUP(D75,'Master List'!D:H,2,FALSE),"NA")</f>
        <v>500102</v>
      </c>
      <c r="F75" s="62" t="str">
        <f>IFERROR(VLOOKUP(D75,'Master List'!D:H,3,FALSE),"NA")</f>
        <v>500102</v>
      </c>
      <c r="G75" s="58" t="str">
        <f>IFERROR(VLOOKUP(D75,'Master List'!D:H,4,FALSE),"NA")</f>
        <v>500102</v>
      </c>
      <c r="H75" s="39" t="str">
        <f>IFERROR(VLOOKUP(D75,'Master List'!D:H,5,FALSE),"NA")</f>
        <v>Digital Arts.</v>
      </c>
      <c r="I75" s="19"/>
      <c r="J75" s="20"/>
      <c r="K75" s="20"/>
      <c r="L75" s="21"/>
    </row>
    <row r="76" spans="1:12" x14ac:dyDescent="0.3">
      <c r="A76" s="33">
        <v>11</v>
      </c>
      <c r="B76" s="33" t="s">
        <v>2157</v>
      </c>
      <c r="C76" s="34" t="s">
        <v>858</v>
      </c>
      <c r="D76" s="51" t="s">
        <v>68</v>
      </c>
      <c r="E76" s="61" t="str">
        <f>IFERROR(VLOOKUP(D76,'Master List'!D:H,2,FALSE),"NA")</f>
        <v>430102</v>
      </c>
      <c r="F76" s="62" t="str">
        <f>IFERROR(VLOOKUP(D76,'Master List'!D:H,3,FALSE),"NA")</f>
        <v>430102</v>
      </c>
      <c r="G76" s="58" t="str">
        <f>IFERROR(VLOOKUP(D76,'Master List'!D:H,4,FALSE),"NA")</f>
        <v>430102</v>
      </c>
      <c r="H76" s="39" t="str">
        <f>IFERROR(VLOOKUP(D76,'Master List'!D:H,5,FALSE),"NA")</f>
        <v>Corrections.</v>
      </c>
      <c r="I76" s="19"/>
      <c r="J76" s="20"/>
      <c r="K76" s="20"/>
      <c r="L76" s="21"/>
    </row>
    <row r="77" spans="1:12" x14ac:dyDescent="0.3">
      <c r="A77" s="33">
        <v>11</v>
      </c>
      <c r="B77" s="33" t="s">
        <v>2157</v>
      </c>
      <c r="C77" s="34" t="s">
        <v>858</v>
      </c>
      <c r="D77" s="51" t="s">
        <v>484</v>
      </c>
      <c r="E77" s="61" t="str">
        <f>IFERROR(VLOOKUP(D77,'Master List'!D:H,2,FALSE),"NA")</f>
        <v>430102</v>
      </c>
      <c r="F77" s="62" t="str">
        <f>IFERROR(VLOOKUP(D77,'Master List'!D:H,3,FALSE),"NA")</f>
        <v>430102</v>
      </c>
      <c r="G77" s="58" t="str">
        <f>IFERROR(VLOOKUP(D77,'Master List'!D:H,4,FALSE),"NA")</f>
        <v>430102</v>
      </c>
      <c r="H77" s="39" t="str">
        <f>IFERROR(VLOOKUP(D77,'Master List'!D:H,5,FALSE),"NA")</f>
        <v>Corrections.</v>
      </c>
      <c r="I77" s="19"/>
      <c r="J77" s="20"/>
      <c r="K77" s="20"/>
      <c r="L77" s="21"/>
    </row>
    <row r="78" spans="1:12" x14ac:dyDescent="0.3">
      <c r="A78" s="33">
        <v>11</v>
      </c>
      <c r="B78" s="33" t="s">
        <v>2157</v>
      </c>
      <c r="C78" s="34" t="s">
        <v>858</v>
      </c>
      <c r="D78" s="51" t="s">
        <v>71</v>
      </c>
      <c r="E78" s="61" t="str">
        <f>IFERROR(VLOOKUP(D78,'Master List'!D:H,2,FALSE),"NA")</f>
        <v>430107</v>
      </c>
      <c r="F78" s="62" t="str">
        <f>IFERROR(VLOOKUP(D78,'Master List'!D:H,3,FALSE),"NA")</f>
        <v>430107</v>
      </c>
      <c r="G78" s="58" t="str">
        <f>IFERROR(VLOOKUP(D78,'Master List'!D:H,4,FALSE),"NA")</f>
        <v>430107</v>
      </c>
      <c r="H78" s="39" t="str">
        <f>IFERROR(VLOOKUP(D78,'Master List'!D:H,5,FALSE),"NA")</f>
        <v>Criminal Justice/Police Science.</v>
      </c>
      <c r="I78" s="19"/>
      <c r="J78" s="20"/>
      <c r="K78" s="20"/>
      <c r="L78" s="21"/>
    </row>
    <row r="79" spans="1:12" x14ac:dyDescent="0.3">
      <c r="A79" s="33">
        <v>11</v>
      </c>
      <c r="B79" s="33" t="s">
        <v>2157</v>
      </c>
      <c r="C79" s="34" t="s">
        <v>858</v>
      </c>
      <c r="D79" s="51" t="s">
        <v>74</v>
      </c>
      <c r="E79" s="61" t="str">
        <f>IFERROR(VLOOKUP(D79,'Master List'!D:H,2,FALSE),"NA")</f>
        <v>430107</v>
      </c>
      <c r="F79" s="62" t="str">
        <f>IFERROR(VLOOKUP(D79,'Master List'!D:H,3,FALSE),"NA")</f>
        <v>430107</v>
      </c>
      <c r="G79" s="58" t="str">
        <f>IFERROR(VLOOKUP(D79,'Master List'!D:H,4,FALSE),"NA")</f>
        <v>430107</v>
      </c>
      <c r="H79" s="39" t="str">
        <f>IFERROR(VLOOKUP(D79,'Master List'!D:H,5,FALSE),"NA")</f>
        <v>Criminal Justice/Police Science.</v>
      </c>
      <c r="I79" s="19"/>
      <c r="J79" s="20"/>
      <c r="K79" s="20"/>
      <c r="L79" s="21"/>
    </row>
    <row r="80" spans="1:12" x14ac:dyDescent="0.3">
      <c r="A80" s="33">
        <v>11</v>
      </c>
      <c r="B80" s="33" t="s">
        <v>2157</v>
      </c>
      <c r="C80" s="34" t="s">
        <v>858</v>
      </c>
      <c r="D80" s="51" t="s">
        <v>834</v>
      </c>
      <c r="E80" s="61" t="str">
        <f>IFERROR(VLOOKUP(D80,'Master List'!D:H,2,FALSE),"NA")</f>
        <v>430109</v>
      </c>
      <c r="F80" s="62" t="str">
        <f>IFERROR(VLOOKUP(D80,'Master List'!D:H,3,FALSE),"NA")</f>
        <v>430109</v>
      </c>
      <c r="G80" s="58" t="str">
        <f>IFERROR(VLOOKUP(D80,'Master List'!D:H,4,FALSE),"NA")</f>
        <v>430109</v>
      </c>
      <c r="H80" s="39" t="str">
        <f>IFERROR(VLOOKUP(D80,'Master List'!D:H,5,FALSE),"NA")</f>
        <v>Security and Loss Prevention Services.</v>
      </c>
      <c r="I80" s="19"/>
      <c r="J80" s="20"/>
      <c r="K80" s="20"/>
      <c r="L80" s="21"/>
    </row>
    <row r="81" spans="1:12" x14ac:dyDescent="0.3">
      <c r="A81" s="33">
        <v>11</v>
      </c>
      <c r="B81" s="33" t="s">
        <v>2157</v>
      </c>
      <c r="C81" s="34" t="s">
        <v>858</v>
      </c>
      <c r="D81" s="51" t="s">
        <v>318</v>
      </c>
      <c r="E81" s="61" t="str">
        <f>IFERROR(VLOOKUP(D81,'Master List'!D:H,2,FALSE),"NA")</f>
        <v>430203</v>
      </c>
      <c r="F81" s="62" t="str">
        <f>IFERROR(VLOOKUP(D81,'Master List'!D:H,3,FALSE),"NA")</f>
        <v>430203</v>
      </c>
      <c r="G81" s="58" t="str">
        <f>IFERROR(VLOOKUP(D81,'Master List'!D:H,4,FALSE),"NA")</f>
        <v>430203</v>
      </c>
      <c r="H81" s="39" t="str">
        <f>IFERROR(VLOOKUP(D81,'Master List'!D:H,5,FALSE),"NA")</f>
        <v>Fire Science/Fire-fighting.</v>
      </c>
      <c r="I81" s="19"/>
      <c r="J81" s="20"/>
      <c r="K81" s="20"/>
      <c r="L81" s="21"/>
    </row>
    <row r="82" spans="1:12" x14ac:dyDescent="0.3">
      <c r="A82" s="33">
        <v>11</v>
      </c>
      <c r="B82" s="33" t="s">
        <v>2157</v>
      </c>
      <c r="C82" s="34" t="s">
        <v>858</v>
      </c>
      <c r="D82" s="51" t="s">
        <v>319</v>
      </c>
      <c r="E82" s="61" t="str">
        <f>IFERROR(VLOOKUP(D82,'Master List'!D:H,2,FALSE),"NA")</f>
        <v>430302</v>
      </c>
      <c r="F82" s="62" t="str">
        <f>IFERROR(VLOOKUP(D82,'Master List'!D:H,3,FALSE),"NA")</f>
        <v>430302</v>
      </c>
      <c r="G82" s="58" t="str">
        <f>IFERROR(VLOOKUP(D82,'Master List'!D:H,4,FALSE),"NA")</f>
        <v>430302</v>
      </c>
      <c r="H82" s="39" t="str">
        <f>IFERROR(VLOOKUP(D82,'Master List'!D:H,5,FALSE),"NA")</f>
        <v>Crisis/Emergency/Disaster Management.</v>
      </c>
      <c r="I82" s="19"/>
      <c r="J82" s="20"/>
      <c r="K82" s="20"/>
      <c r="L82" s="21"/>
    </row>
    <row r="83" spans="1:12" x14ac:dyDescent="0.3">
      <c r="A83" s="33">
        <v>11</v>
      </c>
      <c r="B83" s="33" t="s">
        <v>2157</v>
      </c>
      <c r="C83" s="34" t="s">
        <v>858</v>
      </c>
      <c r="D83" s="51" t="s">
        <v>322</v>
      </c>
      <c r="E83" s="61" t="str">
        <f>IFERROR(VLOOKUP(D83,'Master List'!D:H,2,FALSE),"NA")</f>
        <v>430302</v>
      </c>
      <c r="F83" s="62" t="str">
        <f>IFERROR(VLOOKUP(D83,'Master List'!D:H,3,FALSE),"NA")</f>
        <v>430302</v>
      </c>
      <c r="G83" s="58" t="str">
        <f>IFERROR(VLOOKUP(D83,'Master List'!D:H,4,FALSE),"NA")</f>
        <v>430302</v>
      </c>
      <c r="H83" s="39" t="str">
        <f>IFERROR(VLOOKUP(D83,'Master List'!D:H,5,FALSE),"NA")</f>
        <v>Crisis/Emergency/Disaster Management.</v>
      </c>
      <c r="I83" s="19"/>
      <c r="J83" s="20"/>
      <c r="K83" s="20"/>
      <c r="L83" s="21"/>
    </row>
    <row r="84" spans="1:12" x14ac:dyDescent="0.3">
      <c r="A84" s="33">
        <v>11</v>
      </c>
      <c r="B84" s="33" t="s">
        <v>2157</v>
      </c>
      <c r="C84" s="34" t="s">
        <v>858</v>
      </c>
      <c r="D84" s="51" t="s">
        <v>875</v>
      </c>
      <c r="E84" s="61" t="str">
        <f>IFERROR(VLOOKUP(D84,'Master List'!D:H,2,FALSE),"NA")</f>
        <v>010000</v>
      </c>
      <c r="F84" s="62" t="str">
        <f>IFERROR(VLOOKUP(D84,'Master List'!D:H,3,FALSE),"NA")</f>
        <v>010000</v>
      </c>
      <c r="G84" s="58" t="str">
        <f>IFERROR(VLOOKUP(D84,'Master List'!D:H,4,FALSE),"NA")</f>
        <v>010000</v>
      </c>
      <c r="H84" s="39" t="str">
        <f>IFERROR(VLOOKUP(D84,'Master List'!D:H,5,FALSE),"NA")</f>
        <v>Agriculture, General.</v>
      </c>
      <c r="I84" s="19"/>
      <c r="J84" s="20"/>
      <c r="K84" s="20"/>
      <c r="L84" s="21"/>
    </row>
    <row r="85" spans="1:12" x14ac:dyDescent="0.3">
      <c r="A85" s="33">
        <v>11</v>
      </c>
      <c r="B85" s="33" t="s">
        <v>2157</v>
      </c>
      <c r="C85" s="34" t="s">
        <v>858</v>
      </c>
      <c r="D85" s="51" t="s">
        <v>878</v>
      </c>
      <c r="E85" s="61" t="str">
        <f>IFERROR(VLOOKUP(D85,'Master List'!D:H,2,FALSE),"NA")</f>
        <v>010303</v>
      </c>
      <c r="F85" s="62" t="str">
        <f>IFERROR(VLOOKUP(D85,'Master List'!D:H,3,FALSE),"NA")</f>
        <v>010303</v>
      </c>
      <c r="G85" s="58" t="str">
        <f>IFERROR(VLOOKUP(D85,'Master List'!D:H,4,FALSE),"NA")</f>
        <v>010303</v>
      </c>
      <c r="H85" s="39" t="str">
        <f>IFERROR(VLOOKUP(D85,'Master List'!D:H,5,FALSE),"NA")</f>
        <v>Aquaculture.</v>
      </c>
      <c r="I85" s="19"/>
      <c r="J85" s="20"/>
      <c r="K85" s="20"/>
      <c r="L85" s="21"/>
    </row>
    <row r="86" spans="1:12" x14ac:dyDescent="0.3">
      <c r="A86" s="33">
        <v>11</v>
      </c>
      <c r="B86" s="33" t="s">
        <v>2157</v>
      </c>
      <c r="C86" s="34" t="s">
        <v>858</v>
      </c>
      <c r="D86" s="51" t="s">
        <v>579</v>
      </c>
      <c r="E86" s="61" t="str">
        <f>IFERROR(VLOOKUP(D86,'Master List'!D:H,2,FALSE),"NA")</f>
        <v>010605</v>
      </c>
      <c r="F86" s="62" t="str">
        <f>IFERROR(VLOOKUP(D86,'Master List'!D:H,3,FALSE),"NA")</f>
        <v>010605</v>
      </c>
      <c r="G86" s="58" t="str">
        <f>IFERROR(VLOOKUP(D86,'Master List'!D:H,4,FALSE),"NA")</f>
        <v>010605</v>
      </c>
      <c r="H86" s="39" t="str">
        <f>IFERROR(VLOOKUP(D86,'Master List'!D:H,5,FALSE),"NA")</f>
        <v>Landscaping and Groundskeeping.</v>
      </c>
      <c r="I86" s="19"/>
      <c r="J86" s="20"/>
      <c r="K86" s="20"/>
      <c r="L86" s="21"/>
    </row>
    <row r="87" spans="1:12" x14ac:dyDescent="0.3">
      <c r="A87" s="33">
        <v>11</v>
      </c>
      <c r="B87" s="33" t="s">
        <v>2157</v>
      </c>
      <c r="C87" s="34" t="s">
        <v>858</v>
      </c>
      <c r="D87" s="51" t="s">
        <v>879</v>
      </c>
      <c r="E87" s="61" t="str">
        <f>IFERROR(VLOOKUP(D87,'Master List'!D:H,2,FALSE),"NA")</f>
        <v>010607</v>
      </c>
      <c r="F87" s="62" t="str">
        <f>IFERROR(VLOOKUP(D87,'Master List'!D:H,3,FALSE),"NA")</f>
        <v>010607</v>
      </c>
      <c r="G87" s="58" t="str">
        <f>IFERROR(VLOOKUP(D87,'Master List'!D:H,4,FALSE),"NA")</f>
        <v>010607</v>
      </c>
      <c r="H87" s="39" t="str">
        <f>IFERROR(VLOOKUP(D87,'Master List'!D:H,5,FALSE),"NA")</f>
        <v>Turf and Turfgrass Management.</v>
      </c>
      <c r="I87" s="19"/>
      <c r="J87" s="20"/>
      <c r="K87" s="20"/>
      <c r="L87" s="21"/>
    </row>
    <row r="88" spans="1:12" x14ac:dyDescent="0.3">
      <c r="A88" s="33">
        <v>11</v>
      </c>
      <c r="B88" s="33" t="s">
        <v>2157</v>
      </c>
      <c r="C88" s="34" t="s">
        <v>858</v>
      </c>
      <c r="D88" s="51" t="s">
        <v>79</v>
      </c>
      <c r="E88" s="61" t="str">
        <f>IFERROR(VLOOKUP(D88,'Master List'!D:H,2,FALSE),"NA")</f>
        <v>520901</v>
      </c>
      <c r="F88" s="62" t="str">
        <f>IFERROR(VLOOKUP(D88,'Master List'!D:H,3,FALSE),"NA")</f>
        <v>520901</v>
      </c>
      <c r="G88" s="58" t="str">
        <f>IFERROR(VLOOKUP(D88,'Master List'!D:H,4,FALSE),"NA")</f>
        <v>520901</v>
      </c>
      <c r="H88" s="39" t="str">
        <f>IFERROR(VLOOKUP(D88,'Master List'!D:H,5,FALSE),"NA")</f>
        <v>Hospitality Administration/Management, General.</v>
      </c>
      <c r="I88" s="19"/>
      <c r="J88" s="20"/>
      <c r="K88" s="20"/>
      <c r="L88" s="21"/>
    </row>
    <row r="89" spans="1:12" x14ac:dyDescent="0.3">
      <c r="A89" s="33">
        <v>11</v>
      </c>
      <c r="B89" s="33" t="s">
        <v>2157</v>
      </c>
      <c r="C89" s="34" t="s">
        <v>858</v>
      </c>
      <c r="D89" s="51" t="s">
        <v>643</v>
      </c>
      <c r="E89" s="61" t="str">
        <f>IFERROR(VLOOKUP(D89,'Master List'!D:H,2,FALSE),"NA")</f>
        <v>521401</v>
      </c>
      <c r="F89" s="62" t="str">
        <f>IFERROR(VLOOKUP(D89,'Master List'!D:H,3,FALSE),"NA")</f>
        <v>521401</v>
      </c>
      <c r="G89" s="58" t="str">
        <f>IFERROR(VLOOKUP(D89,'Master List'!D:H,4,FALSE),"NA")</f>
        <v>521401</v>
      </c>
      <c r="H89" s="39" t="str">
        <f>IFERROR(VLOOKUP(D89,'Master List'!D:H,5,FALSE),"NA")</f>
        <v>Marketing/Marketing Management, General.</v>
      </c>
      <c r="I89" s="19"/>
      <c r="J89" s="20"/>
      <c r="K89" s="20"/>
      <c r="L89" s="21"/>
    </row>
    <row r="90" spans="1:12" x14ac:dyDescent="0.3">
      <c r="A90" s="33">
        <v>11</v>
      </c>
      <c r="B90" s="33" t="s">
        <v>2157</v>
      </c>
      <c r="C90" s="34" t="s">
        <v>858</v>
      </c>
      <c r="D90" s="51" t="s">
        <v>525</v>
      </c>
      <c r="E90" s="61" t="str">
        <f>IFERROR(VLOOKUP(D90,'Master List'!D:H,2,FALSE),"NA")</f>
        <v>510601</v>
      </c>
      <c r="F90" s="62" t="str">
        <f>IFERROR(VLOOKUP(D90,'Master List'!D:H,3,FALSE),"NA")</f>
        <v>510601</v>
      </c>
      <c r="G90" s="58" t="str">
        <f>IFERROR(VLOOKUP(D90,'Master List'!D:H,4,FALSE),"NA")</f>
        <v>510601</v>
      </c>
      <c r="H90" s="39" t="str">
        <f>IFERROR(VLOOKUP(D90,'Master List'!D:H,5,FALSE),"NA")</f>
        <v>Dental Assisting/Assistant.</v>
      </c>
      <c r="I90" s="19"/>
      <c r="J90" s="20"/>
      <c r="K90" s="20"/>
      <c r="L90" s="21"/>
    </row>
    <row r="91" spans="1:12" x14ac:dyDescent="0.3">
      <c r="A91" s="33">
        <v>11</v>
      </c>
      <c r="B91" s="33" t="s">
        <v>2157</v>
      </c>
      <c r="C91" s="34" t="s">
        <v>858</v>
      </c>
      <c r="D91" s="51" t="s">
        <v>84</v>
      </c>
      <c r="E91" s="61" t="str">
        <f>IFERROR(VLOOKUP(D91,'Master List'!D:H,2,FALSE),"NA")</f>
        <v>510602</v>
      </c>
      <c r="F91" s="62" t="str">
        <f>IFERROR(VLOOKUP(D91,'Master List'!D:H,3,FALSE),"NA")</f>
        <v>510602</v>
      </c>
      <c r="G91" s="58" t="str">
        <f>IFERROR(VLOOKUP(D91,'Master List'!D:H,4,FALSE),"NA")</f>
        <v>510602</v>
      </c>
      <c r="H91" s="39" t="str">
        <f>IFERROR(VLOOKUP(D91,'Master List'!D:H,5,FALSE),"NA")</f>
        <v>Dental Hygiene/Hygienist.</v>
      </c>
      <c r="I91" s="19"/>
      <c r="J91" s="20"/>
      <c r="K91" s="20"/>
      <c r="L91" s="21"/>
    </row>
    <row r="92" spans="1:12" x14ac:dyDescent="0.3">
      <c r="A92" s="33">
        <v>11</v>
      </c>
      <c r="B92" s="33" t="s">
        <v>2157</v>
      </c>
      <c r="C92" s="34" t="s">
        <v>858</v>
      </c>
      <c r="D92" s="51" t="s">
        <v>612</v>
      </c>
      <c r="E92" s="61" t="str">
        <f>IFERROR(VLOOKUP(D92,'Master List'!D:H,2,FALSE),"NA")</f>
        <v>510701</v>
      </c>
      <c r="F92" s="62" t="str">
        <f>IFERROR(VLOOKUP(D92,'Master List'!D:H,3,FALSE),"NA")</f>
        <v>510701</v>
      </c>
      <c r="G92" s="58" t="str">
        <f>IFERROR(VLOOKUP(D92,'Master List'!D:H,4,FALSE),"NA")</f>
        <v>510701</v>
      </c>
      <c r="H92" s="39" t="str">
        <f>IFERROR(VLOOKUP(D92,'Master List'!D:H,5,FALSE),"NA")</f>
        <v>Health/Health Care Administration/Management.</v>
      </c>
      <c r="I92" s="19"/>
      <c r="J92" s="20"/>
      <c r="K92" s="20"/>
      <c r="L92" s="21"/>
    </row>
    <row r="93" spans="1:12" x14ac:dyDescent="0.3">
      <c r="A93" s="33">
        <v>11</v>
      </c>
      <c r="B93" s="33" t="s">
        <v>2157</v>
      </c>
      <c r="C93" s="34" t="s">
        <v>858</v>
      </c>
      <c r="D93" s="51" t="s">
        <v>325</v>
      </c>
      <c r="E93" s="61" t="str">
        <f>IFERROR(VLOOKUP(D93,'Master List'!D:H,2,FALSE),"NA")</f>
        <v>510707</v>
      </c>
      <c r="F93" s="62" t="str">
        <f>IFERROR(VLOOKUP(D93,'Master List'!D:H,3,FALSE),"NA")</f>
        <v>510707</v>
      </c>
      <c r="G93" s="58" t="str">
        <f>IFERROR(VLOOKUP(D93,'Master List'!D:H,4,FALSE),"NA")</f>
        <v>510707</v>
      </c>
      <c r="H93" s="39" t="str">
        <f>IFERROR(VLOOKUP(D93,'Master List'!D:H,5,FALSE),"NA")</f>
        <v>Health Information/Medical Records Technology/Technician.</v>
      </c>
      <c r="I93" s="19"/>
      <c r="J93" s="20"/>
      <c r="K93" s="20"/>
      <c r="L93" s="21"/>
    </row>
    <row r="94" spans="1:12" x14ac:dyDescent="0.3">
      <c r="A94" s="33">
        <v>11</v>
      </c>
      <c r="B94" s="33" t="s">
        <v>2157</v>
      </c>
      <c r="C94" s="34" t="s">
        <v>858</v>
      </c>
      <c r="D94" s="51" t="s">
        <v>87</v>
      </c>
      <c r="E94" s="61" t="str">
        <f>IFERROR(VLOOKUP(D94,'Master List'!D:H,2,FALSE),"NA")</f>
        <v>510806</v>
      </c>
      <c r="F94" s="62" t="str">
        <f>IFERROR(VLOOKUP(D94,'Master List'!D:H,3,FALSE),"NA")</f>
        <v>510806</v>
      </c>
      <c r="G94" s="58" t="str">
        <f>IFERROR(VLOOKUP(D94,'Master List'!D:H,4,FALSE),"NA")</f>
        <v>510806</v>
      </c>
      <c r="H94" s="39" t="str">
        <f>IFERROR(VLOOKUP(D94,'Master List'!D:H,5,FALSE),"NA")</f>
        <v>Physical Therapy Assistant.</v>
      </c>
      <c r="I94" s="19"/>
      <c r="J94" s="20"/>
      <c r="K94" s="20"/>
      <c r="L94" s="21"/>
    </row>
    <row r="95" spans="1:12" x14ac:dyDescent="0.3">
      <c r="A95" s="33">
        <v>11</v>
      </c>
      <c r="B95" s="33" t="s">
        <v>2157</v>
      </c>
      <c r="C95" s="34" t="s">
        <v>858</v>
      </c>
      <c r="D95" s="51" t="s">
        <v>90</v>
      </c>
      <c r="E95" s="61" t="str">
        <f>IFERROR(VLOOKUP(D95,'Master List'!D:H,2,FALSE),"NA")</f>
        <v>510904</v>
      </c>
      <c r="F95" s="62" t="str">
        <f>IFERROR(VLOOKUP(D95,'Master List'!D:H,3,FALSE),"NA")</f>
        <v>510904</v>
      </c>
      <c r="G95" s="58" t="str">
        <f>IFERROR(VLOOKUP(D95,'Master List'!D:H,4,FALSE),"NA")</f>
        <v>510904</v>
      </c>
      <c r="H95" s="39" t="str">
        <f>IFERROR(VLOOKUP(D95,'Master List'!D:H,5,FALSE),"NA")</f>
        <v>Emergency Medical Technology/Technician (EMT Paramedic).</v>
      </c>
      <c r="I95" s="19"/>
      <c r="J95" s="20"/>
      <c r="K95" s="20"/>
      <c r="L95" s="21"/>
    </row>
    <row r="96" spans="1:12" x14ac:dyDescent="0.3">
      <c r="A96" s="33">
        <v>11</v>
      </c>
      <c r="B96" s="33" t="s">
        <v>2157</v>
      </c>
      <c r="C96" s="34" t="s">
        <v>858</v>
      </c>
      <c r="D96" s="51" t="s">
        <v>91</v>
      </c>
      <c r="E96" s="61" t="str">
        <f>IFERROR(VLOOKUP(D96,'Master List'!D:H,2,FALSE),"NA")</f>
        <v>510907</v>
      </c>
      <c r="F96" s="62" t="str">
        <f>IFERROR(VLOOKUP(D96,'Master List'!D:H,3,FALSE),"NA")</f>
        <v>510907</v>
      </c>
      <c r="G96" s="58">
        <f>IFERROR(VLOOKUP(D96,'Master List'!D:H,4,FALSE),"NA")</f>
        <v>510911</v>
      </c>
      <c r="H96" s="39" t="str">
        <f>IFERROR(VLOOKUP(D96,'Master List'!D:H,5,FALSE),"NA")</f>
        <v>Radiologic Technology/Science - Radiographer</v>
      </c>
      <c r="I96" s="19"/>
      <c r="J96" s="20"/>
      <c r="K96" s="20"/>
      <c r="L96" s="21"/>
    </row>
    <row r="97" spans="1:12" x14ac:dyDescent="0.3">
      <c r="A97" s="33">
        <v>11</v>
      </c>
      <c r="B97" s="33" t="s">
        <v>2157</v>
      </c>
      <c r="C97" s="34" t="s">
        <v>858</v>
      </c>
      <c r="D97" s="51" t="s">
        <v>94</v>
      </c>
      <c r="E97" s="61" t="str">
        <f>IFERROR(VLOOKUP(D97,'Master List'!D:H,2,FALSE),"NA")</f>
        <v>510908</v>
      </c>
      <c r="F97" s="62" t="str">
        <f>IFERROR(VLOOKUP(D97,'Master List'!D:H,3,FALSE),"NA")</f>
        <v>510908</v>
      </c>
      <c r="G97" s="58" t="str">
        <f>IFERROR(VLOOKUP(D97,'Master List'!D:H,4,FALSE),"NA")</f>
        <v>510908</v>
      </c>
      <c r="H97" s="39" t="str">
        <f>IFERROR(VLOOKUP(D97,'Master List'!D:H,5,FALSE),"NA")</f>
        <v>Respiratory Care Therapy/Therapist.</v>
      </c>
      <c r="I97" s="19"/>
      <c r="J97" s="20"/>
      <c r="K97" s="20"/>
      <c r="L97" s="21"/>
    </row>
    <row r="98" spans="1:12" x14ac:dyDescent="0.3">
      <c r="A98" s="33">
        <v>11</v>
      </c>
      <c r="B98" s="33" t="s">
        <v>2157</v>
      </c>
      <c r="C98" s="34" t="s">
        <v>858</v>
      </c>
      <c r="D98" s="51" t="s">
        <v>332</v>
      </c>
      <c r="E98" s="61" t="str">
        <f>IFERROR(VLOOKUP(D98,'Master List'!D:H,2,FALSE),"NA")</f>
        <v>511004</v>
      </c>
      <c r="F98" s="62" t="str">
        <f>IFERROR(VLOOKUP(D98,'Master List'!D:H,3,FALSE),"NA")</f>
        <v>511004</v>
      </c>
      <c r="G98" s="58" t="str">
        <f>IFERROR(VLOOKUP(D98,'Master List'!D:H,4,FALSE),"NA")</f>
        <v>511004</v>
      </c>
      <c r="H98" s="39" t="str">
        <f>IFERROR(VLOOKUP(D98,'Master List'!D:H,5,FALSE),"NA")</f>
        <v>Clinical/Medical Laboratory Technician.</v>
      </c>
      <c r="I98" s="19"/>
      <c r="J98" s="20"/>
      <c r="K98" s="20"/>
      <c r="L98" s="21"/>
    </row>
    <row r="99" spans="1:12" x14ac:dyDescent="0.3">
      <c r="A99" s="33">
        <v>11</v>
      </c>
      <c r="B99" s="33" t="s">
        <v>2157</v>
      </c>
      <c r="C99" s="34" t="s">
        <v>858</v>
      </c>
      <c r="D99" s="51" t="s">
        <v>101</v>
      </c>
      <c r="E99" s="61" t="str">
        <f>IFERROR(VLOOKUP(D99,'Master List'!D:H,2,FALSE),"NA")</f>
        <v>513801</v>
      </c>
      <c r="F99" s="62" t="str">
        <f>IFERROR(VLOOKUP(D99,'Master List'!D:H,3,FALSE),"NA")</f>
        <v>513801</v>
      </c>
      <c r="G99" s="58" t="str">
        <f>IFERROR(VLOOKUP(D99,'Master List'!D:H,4,FALSE),"NA")</f>
        <v>513801</v>
      </c>
      <c r="H99" s="39" t="str">
        <f>IFERROR(VLOOKUP(D99,'Master List'!D:H,5,FALSE),"NA")</f>
        <v>Registered Nursing/Registered Nurse.</v>
      </c>
      <c r="I99" s="19"/>
      <c r="J99" s="20"/>
      <c r="K99" s="20"/>
      <c r="L99" s="21"/>
    </row>
    <row r="100" spans="1:12" x14ac:dyDescent="0.3">
      <c r="A100" s="33">
        <v>11</v>
      </c>
      <c r="B100" s="33" t="s">
        <v>2157</v>
      </c>
      <c r="C100" s="34" t="s">
        <v>858</v>
      </c>
      <c r="D100" s="51" t="s">
        <v>104</v>
      </c>
      <c r="E100" s="61" t="str">
        <f>IFERROR(VLOOKUP(D100,'Master List'!D:H,2,FALSE),"NA")</f>
        <v>NA</v>
      </c>
      <c r="F100" s="62" t="str">
        <f>IFERROR(VLOOKUP(D100,'Master List'!D:H,3,FALSE),"NA")</f>
        <v>NA</v>
      </c>
      <c r="G100" s="58" t="str">
        <f>IFERROR(VLOOKUP(D100,'Master List'!D:H,4,FALSE),"NA")</f>
        <v>NA</v>
      </c>
      <c r="H100" s="39" t="str">
        <f>IFERROR(VLOOKUP(D100,'Master List'!D:H,5,FALSE),"NA")</f>
        <v>NA</v>
      </c>
      <c r="I100" s="19"/>
      <c r="J100" s="20"/>
      <c r="K100" s="20"/>
      <c r="L100" s="21"/>
    </row>
    <row r="101" spans="1:12" x14ac:dyDescent="0.3">
      <c r="A101" s="33">
        <v>11</v>
      </c>
      <c r="B101" s="33" t="s">
        <v>2157</v>
      </c>
      <c r="C101" s="34" t="s">
        <v>858</v>
      </c>
      <c r="D101" s="51" t="s">
        <v>400</v>
      </c>
      <c r="E101" s="61" t="str">
        <f>IFERROR(VLOOKUP(D101,'Master List'!D:H,2,FALSE),"NA")</f>
        <v>131210</v>
      </c>
      <c r="F101" s="62" t="str">
        <f>IFERROR(VLOOKUP(D101,'Master List'!D:H,3,FALSE),"NA")</f>
        <v>131210</v>
      </c>
      <c r="G101" s="58" t="str">
        <f>IFERROR(VLOOKUP(D101,'Master List'!D:H,4,FALSE),"NA")</f>
        <v>131210</v>
      </c>
      <c r="H101" s="39" t="str">
        <f>IFERROR(VLOOKUP(D101,'Master List'!D:H,5,FALSE),"NA")</f>
        <v>Early Childhood Education and Teaching.</v>
      </c>
      <c r="I101" s="19"/>
      <c r="J101" s="20"/>
      <c r="K101" s="20"/>
      <c r="L101" s="21"/>
    </row>
    <row r="102" spans="1:12" x14ac:dyDescent="0.3">
      <c r="A102" s="33">
        <v>11</v>
      </c>
      <c r="B102" s="33" t="s">
        <v>2157</v>
      </c>
      <c r="C102" s="34" t="s">
        <v>858</v>
      </c>
      <c r="D102" s="51" t="s">
        <v>345</v>
      </c>
      <c r="E102" s="61" t="str">
        <f>IFERROR(VLOOKUP(D102,'Master List'!D:H,2,FALSE),"NA")</f>
        <v>500408</v>
      </c>
      <c r="F102" s="62" t="str">
        <f>IFERROR(VLOOKUP(D102,'Master List'!D:H,3,FALSE),"NA")</f>
        <v>500408</v>
      </c>
      <c r="G102" s="58" t="str">
        <f>IFERROR(VLOOKUP(D102,'Master List'!D:H,4,FALSE),"NA")</f>
        <v>500408</v>
      </c>
      <c r="H102" s="39" t="str">
        <f>IFERROR(VLOOKUP(D102,'Master List'!D:H,5,FALSE),"NA")</f>
        <v>Interior Design.</v>
      </c>
      <c r="I102" s="19"/>
      <c r="J102" s="20"/>
      <c r="K102" s="20"/>
      <c r="L102" s="21"/>
    </row>
    <row r="103" spans="1:12" x14ac:dyDescent="0.3">
      <c r="A103" s="33">
        <v>11</v>
      </c>
      <c r="B103" s="33" t="s">
        <v>2157</v>
      </c>
      <c r="C103" s="34" t="s">
        <v>858</v>
      </c>
      <c r="D103" s="51" t="s">
        <v>403</v>
      </c>
      <c r="E103" s="61" t="str">
        <f>IFERROR(VLOOKUP(D103,'Master List'!D:H,2,FALSE),"NA")</f>
        <v>511599</v>
      </c>
      <c r="F103" s="62" t="str">
        <f>IFERROR(VLOOKUP(D103,'Master List'!D:H,3,FALSE),"NA")</f>
        <v>511599</v>
      </c>
      <c r="G103" s="58" t="str">
        <f>IFERROR(VLOOKUP(D103,'Master List'!D:H,4,FALSE),"NA")</f>
        <v>511599</v>
      </c>
      <c r="H103" s="39" t="str">
        <f>IFERROR(VLOOKUP(D103,'Master List'!D:H,5,FALSE),"NA")</f>
        <v>Mental and Social Health Services and Allied Professions, Other.</v>
      </c>
      <c r="I103" s="19"/>
      <c r="J103" s="20"/>
      <c r="K103" s="20"/>
      <c r="L103" s="21"/>
    </row>
    <row r="104" spans="1:12" x14ac:dyDescent="0.3">
      <c r="A104" s="33">
        <v>11</v>
      </c>
      <c r="B104" s="33" t="s">
        <v>2157</v>
      </c>
      <c r="C104" s="34" t="s">
        <v>858</v>
      </c>
      <c r="D104" s="51" t="s">
        <v>167</v>
      </c>
      <c r="E104" s="61" t="str">
        <f>IFERROR(VLOOKUP(D104,'Master List'!D:H,2,FALSE),"NA")</f>
        <v>110103</v>
      </c>
      <c r="F104" s="62" t="str">
        <f>IFERROR(VLOOKUP(D104,'Master List'!D:H,3,FALSE),"NA")</f>
        <v>110103</v>
      </c>
      <c r="G104" s="58" t="str">
        <f>IFERROR(VLOOKUP(D104,'Master List'!D:H,4,FALSE),"NA")</f>
        <v>110103</v>
      </c>
      <c r="H104" s="39" t="str">
        <f>IFERROR(VLOOKUP(D104,'Master List'!D:H,5,FALSE),"NA")</f>
        <v>Information Technology.</v>
      </c>
      <c r="I104" s="19"/>
      <c r="J104" s="20"/>
      <c r="K104" s="20"/>
      <c r="L104" s="21"/>
    </row>
    <row r="105" spans="1:12" x14ac:dyDescent="0.3">
      <c r="A105" s="33">
        <v>11</v>
      </c>
      <c r="B105" s="33" t="s">
        <v>2157</v>
      </c>
      <c r="C105" s="34" t="s">
        <v>858</v>
      </c>
      <c r="D105" s="51" t="s">
        <v>107</v>
      </c>
      <c r="E105" s="61" t="str">
        <f>IFERROR(VLOOKUP(D105,'Master List'!D:H,2,FALSE),"NA")</f>
        <v>520201</v>
      </c>
      <c r="F105" s="62" t="str">
        <f>IFERROR(VLOOKUP(D105,'Master List'!D:H,3,FALSE),"NA")</f>
        <v>520201</v>
      </c>
      <c r="G105" s="58" t="str">
        <f>IFERROR(VLOOKUP(D105,'Master List'!D:H,4,FALSE),"NA")</f>
        <v>520201</v>
      </c>
      <c r="H105" s="39" t="str">
        <f>IFERROR(VLOOKUP(D105,'Master List'!D:H,5,FALSE),"NA")</f>
        <v>Business Administration and Management, General.</v>
      </c>
      <c r="I105" s="19"/>
      <c r="J105" s="20"/>
      <c r="K105" s="20"/>
      <c r="L105" s="21"/>
    </row>
    <row r="106" spans="1:12" x14ac:dyDescent="0.3">
      <c r="A106" s="33">
        <v>11</v>
      </c>
      <c r="B106" s="33" t="s">
        <v>2157</v>
      </c>
      <c r="C106" s="34" t="s">
        <v>858</v>
      </c>
      <c r="D106" s="51" t="s">
        <v>110</v>
      </c>
      <c r="E106" s="61" t="str">
        <f>IFERROR(VLOOKUP(D106,'Master List'!D:H,2,FALSE),"NA")</f>
        <v>520302</v>
      </c>
      <c r="F106" s="62" t="str">
        <f>IFERROR(VLOOKUP(D106,'Master List'!D:H,3,FALSE),"NA")</f>
        <v>520302</v>
      </c>
      <c r="G106" s="58" t="str">
        <f>IFERROR(VLOOKUP(D106,'Master List'!D:H,4,FALSE),"NA")</f>
        <v>520302</v>
      </c>
      <c r="H106" s="39" t="str">
        <f>IFERROR(VLOOKUP(D106,'Master List'!D:H,5,FALSE),"NA")</f>
        <v>Accounting Technology/Technician and Bookkeeping.</v>
      </c>
      <c r="I106" s="19"/>
      <c r="J106" s="20"/>
      <c r="K106" s="20"/>
      <c r="L106" s="21"/>
    </row>
    <row r="107" spans="1:12" x14ac:dyDescent="0.3">
      <c r="A107" s="33">
        <v>11</v>
      </c>
      <c r="B107" s="33" t="s">
        <v>2157</v>
      </c>
      <c r="C107" s="34" t="s">
        <v>858</v>
      </c>
      <c r="D107" s="51" t="s">
        <v>353</v>
      </c>
      <c r="E107" s="61" t="str">
        <f>IFERROR(VLOOKUP(D107,'Master List'!D:H,2,FALSE),"NA")</f>
        <v>040901</v>
      </c>
      <c r="F107" s="62" t="str">
        <f>IFERROR(VLOOKUP(D107,'Master List'!D:H,3,FALSE),"NA")</f>
        <v>040901</v>
      </c>
      <c r="G107" s="58" t="str">
        <f>IFERROR(VLOOKUP(D107,'Master List'!D:H,4,FALSE),"NA")</f>
        <v>040901</v>
      </c>
      <c r="H107" s="39" t="str">
        <f>IFERROR(VLOOKUP(D107,'Master List'!D:H,5,FALSE),"NA")</f>
        <v>Architectural Technology/Technician.</v>
      </c>
      <c r="I107" s="19"/>
      <c r="J107" s="20"/>
      <c r="K107" s="20"/>
      <c r="L107" s="21"/>
    </row>
    <row r="108" spans="1:12" x14ac:dyDescent="0.3">
      <c r="A108" s="33">
        <v>11</v>
      </c>
      <c r="B108" s="33" t="s">
        <v>2157</v>
      </c>
      <c r="C108" s="34" t="s">
        <v>858</v>
      </c>
      <c r="D108" s="51" t="s">
        <v>114</v>
      </c>
      <c r="E108" s="61" t="str">
        <f>IFERROR(VLOOKUP(D108,'Master List'!D:H,2,FALSE),"NA")</f>
        <v>110801</v>
      </c>
      <c r="F108" s="62" t="str">
        <f>IFERROR(VLOOKUP(D108,'Master List'!D:H,3,FALSE),"NA")</f>
        <v>110801</v>
      </c>
      <c r="G108" s="58" t="str">
        <f>IFERROR(VLOOKUP(D108,'Master List'!D:H,4,FALSE),"NA")</f>
        <v>110801</v>
      </c>
      <c r="H108" s="39" t="str">
        <f>IFERROR(VLOOKUP(D108,'Master List'!D:H,5,FALSE),"NA")</f>
        <v>Web Page, Digital/Multimedia and Information Resources Design.</v>
      </c>
      <c r="I108" s="19"/>
      <c r="J108" s="20"/>
      <c r="K108" s="20"/>
      <c r="L108" s="21"/>
    </row>
    <row r="109" spans="1:12" x14ac:dyDescent="0.3">
      <c r="A109" s="33">
        <v>11</v>
      </c>
      <c r="B109" s="33" t="s">
        <v>2157</v>
      </c>
      <c r="C109" s="34" t="s">
        <v>858</v>
      </c>
      <c r="D109" s="51" t="s">
        <v>583</v>
      </c>
      <c r="E109" s="61" t="str">
        <f>IFERROR(VLOOKUP(D109,'Master List'!D:H,2,FALSE),"NA")</f>
        <v>110803</v>
      </c>
      <c r="F109" s="62" t="str">
        <f>IFERROR(VLOOKUP(D109,'Master List'!D:H,3,FALSE),"NA")</f>
        <v>110803</v>
      </c>
      <c r="G109" s="58" t="str">
        <f>IFERROR(VLOOKUP(D109,'Master List'!D:H,4,FALSE),"NA")</f>
        <v>110803</v>
      </c>
      <c r="H109" s="39" t="str">
        <f>IFERROR(VLOOKUP(D109,'Master List'!D:H,5,FALSE),"NA")</f>
        <v>Computer Graphics.</v>
      </c>
      <c r="I109" s="19"/>
      <c r="J109" s="20"/>
      <c r="K109" s="20"/>
      <c r="L109" s="21"/>
    </row>
    <row r="110" spans="1:12" x14ac:dyDescent="0.3">
      <c r="A110" s="33">
        <v>11</v>
      </c>
      <c r="B110" s="33" t="s">
        <v>2157</v>
      </c>
      <c r="C110" s="34" t="s">
        <v>858</v>
      </c>
      <c r="D110" s="51" t="s">
        <v>117</v>
      </c>
      <c r="E110" s="61" t="str">
        <f>IFERROR(VLOOKUP(D110,'Master List'!D:H,2,FALSE),"NA")</f>
        <v>120504</v>
      </c>
      <c r="F110" s="62" t="str">
        <f>IFERROR(VLOOKUP(D110,'Master List'!D:H,3,FALSE),"NA")</f>
        <v>120504</v>
      </c>
      <c r="G110" s="58" t="str">
        <f>IFERROR(VLOOKUP(D110,'Master List'!D:H,4,FALSE),"NA")</f>
        <v>120504</v>
      </c>
      <c r="H110" s="39" t="str">
        <f>IFERROR(VLOOKUP(D110,'Master List'!D:H,5,FALSE),"NA")</f>
        <v>Restaurant, Culinary, and Catering Management/Manager.</v>
      </c>
      <c r="I110" s="19"/>
      <c r="J110" s="20"/>
      <c r="K110" s="20"/>
      <c r="L110" s="21"/>
    </row>
    <row r="111" spans="1:12" x14ac:dyDescent="0.3">
      <c r="A111" s="33">
        <v>11</v>
      </c>
      <c r="B111" s="33" t="s">
        <v>2157</v>
      </c>
      <c r="C111" s="34" t="s">
        <v>858</v>
      </c>
      <c r="D111" s="51" t="s">
        <v>468</v>
      </c>
      <c r="E111" s="61" t="str">
        <f>IFERROR(VLOOKUP(D111,'Master List'!D:H,2,FALSE),"NA")</f>
        <v>150303</v>
      </c>
      <c r="F111" s="62" t="str">
        <f>IFERROR(VLOOKUP(D111,'Master List'!D:H,3,FALSE),"NA")</f>
        <v>150303</v>
      </c>
      <c r="G111" s="58" t="str">
        <f>IFERROR(VLOOKUP(D111,'Master List'!D:H,4,FALSE),"NA")</f>
        <v>150303</v>
      </c>
      <c r="H111" s="39" t="str">
        <f>IFERROR(VLOOKUP(D111,'Master List'!D:H,5,FALSE),"NA")</f>
        <v>Electrical, Electronic, and Communications Engineering Technology/Technician.</v>
      </c>
      <c r="I111" s="19"/>
      <c r="J111" s="20"/>
      <c r="K111" s="20"/>
      <c r="L111" s="21"/>
    </row>
    <row r="112" spans="1:12" x14ac:dyDescent="0.3">
      <c r="A112" s="33">
        <v>11</v>
      </c>
      <c r="B112" s="33" t="s">
        <v>2157</v>
      </c>
      <c r="C112" s="34" t="s">
        <v>858</v>
      </c>
      <c r="D112" s="51" t="s">
        <v>796</v>
      </c>
      <c r="E112" s="61" t="str">
        <f>IFERROR(VLOOKUP(D112,'Master List'!D:H,2,FALSE),"NA")</f>
        <v>150303</v>
      </c>
      <c r="F112" s="62" t="str">
        <f>IFERROR(VLOOKUP(D112,'Master List'!D:H,3,FALSE),"NA")</f>
        <v>150303</v>
      </c>
      <c r="G112" s="58" t="str">
        <f>IFERROR(VLOOKUP(D112,'Master List'!D:H,4,FALSE),"NA")</f>
        <v>150303</v>
      </c>
      <c r="H112" s="39" t="str">
        <f>IFERROR(VLOOKUP(D112,'Master List'!D:H,5,FALSE),"NA")</f>
        <v>Electrical, Electronic, and Communications Engineering Technology/Technician.</v>
      </c>
      <c r="I112" s="19"/>
      <c r="J112" s="20"/>
      <c r="K112" s="20"/>
      <c r="L112" s="21"/>
    </row>
    <row r="113" spans="1:12" x14ac:dyDescent="0.3">
      <c r="A113" s="33">
        <v>11</v>
      </c>
      <c r="B113" s="33" t="s">
        <v>2157</v>
      </c>
      <c r="C113" s="34" t="s">
        <v>858</v>
      </c>
      <c r="D113" s="51" t="s">
        <v>358</v>
      </c>
      <c r="E113" s="61" t="str">
        <f>IFERROR(VLOOKUP(D113,'Master List'!D:H,2,FALSE),"NA")</f>
        <v>151001</v>
      </c>
      <c r="F113" s="62" t="str">
        <f>IFERROR(VLOOKUP(D113,'Master List'!D:H,3,FALSE),"NA")</f>
        <v>151001</v>
      </c>
      <c r="G113" s="58" t="str">
        <f>IFERROR(VLOOKUP(D113,'Master List'!D:H,4,FALSE),"NA")</f>
        <v>151001</v>
      </c>
      <c r="H113" s="39" t="str">
        <f>IFERROR(VLOOKUP(D113,'Master List'!D:H,5,FALSE),"NA")</f>
        <v>Construction Engineering Technology/Technician.</v>
      </c>
      <c r="I113" s="19"/>
      <c r="J113" s="20"/>
      <c r="K113" s="20"/>
      <c r="L113" s="21"/>
    </row>
    <row r="114" spans="1:12" x14ac:dyDescent="0.3">
      <c r="A114" s="33">
        <v>11</v>
      </c>
      <c r="B114" s="33" t="s">
        <v>2157</v>
      </c>
      <c r="C114" s="34" t="s">
        <v>858</v>
      </c>
      <c r="D114" s="51" t="s">
        <v>405</v>
      </c>
      <c r="E114" s="61" t="str">
        <f>IFERROR(VLOOKUP(D114,'Master List'!D:H,2,FALSE),"NA")</f>
        <v>151301</v>
      </c>
      <c r="F114" s="62" t="str">
        <f>IFERROR(VLOOKUP(D114,'Master List'!D:H,3,FALSE),"NA")</f>
        <v>151301</v>
      </c>
      <c r="G114" s="58">
        <f>IFERROR(VLOOKUP(D114,'Master List'!D:H,4,FALSE),"NA")</f>
        <v>151302</v>
      </c>
      <c r="H114" s="39" t="str">
        <f>IFERROR(VLOOKUP(D114,'Master List'!D:H,5,FALSE),"NA")</f>
        <v>CAD/CADD Drafting and/or Design Technology/Technician</v>
      </c>
      <c r="I114" s="19"/>
      <c r="J114" s="20"/>
      <c r="K114" s="20"/>
      <c r="L114" s="21"/>
    </row>
    <row r="115" spans="1:12" x14ac:dyDescent="0.3">
      <c r="A115" s="33">
        <v>11</v>
      </c>
      <c r="B115" s="33" t="s">
        <v>2157</v>
      </c>
      <c r="C115" s="34" t="s">
        <v>858</v>
      </c>
      <c r="D115" s="51" t="s">
        <v>124</v>
      </c>
      <c r="E115" s="61" t="str">
        <f>IFERROR(VLOOKUP(D115,'Master List'!D:H,2,FALSE),"NA")</f>
        <v>150201</v>
      </c>
      <c r="F115" s="62" t="str">
        <f>IFERROR(VLOOKUP(D115,'Master List'!D:H,3,FALSE),"NA")</f>
        <v>150201</v>
      </c>
      <c r="G115" s="58" t="str">
        <f>IFERROR(VLOOKUP(D115,'Master List'!D:H,4,FALSE),"NA")</f>
        <v>150201</v>
      </c>
      <c r="H115" s="39" t="str">
        <f>IFERROR(VLOOKUP(D115,'Master List'!D:H,5,FALSE),"NA")</f>
        <v>Civil Engineering Technologies/Technicians.</v>
      </c>
      <c r="I115" s="19"/>
      <c r="J115" s="20"/>
      <c r="K115" s="20"/>
      <c r="L115" s="21"/>
    </row>
    <row r="116" spans="1:12" x14ac:dyDescent="0.3">
      <c r="A116" s="33">
        <v>11</v>
      </c>
      <c r="B116" s="33" t="s">
        <v>2157</v>
      </c>
      <c r="C116" s="34" t="s">
        <v>858</v>
      </c>
      <c r="D116" s="51" t="s">
        <v>125</v>
      </c>
      <c r="E116" s="61" t="str">
        <f>IFERROR(VLOOKUP(D116,'Master List'!D:H,2,FALSE),"NA")</f>
        <v>220302</v>
      </c>
      <c r="F116" s="62" t="str">
        <f>IFERROR(VLOOKUP(D116,'Master List'!D:H,3,FALSE),"NA")</f>
        <v>220302</v>
      </c>
      <c r="G116" s="58" t="str">
        <f>IFERROR(VLOOKUP(D116,'Master List'!D:H,4,FALSE),"NA")</f>
        <v>220302</v>
      </c>
      <c r="H116" s="39" t="str">
        <f>IFERROR(VLOOKUP(D116,'Master List'!D:H,5,FALSE),"NA")</f>
        <v>Legal Assistant/Paralegal.</v>
      </c>
      <c r="I116" s="19"/>
      <c r="J116" s="20"/>
      <c r="K116" s="20"/>
      <c r="L116" s="21"/>
    </row>
    <row r="117" spans="1:12" x14ac:dyDescent="0.3">
      <c r="A117" s="33">
        <v>11</v>
      </c>
      <c r="B117" s="33" t="s">
        <v>2157</v>
      </c>
      <c r="C117" s="34" t="s">
        <v>858</v>
      </c>
      <c r="D117" s="51" t="s">
        <v>128</v>
      </c>
      <c r="E117" s="61" t="str">
        <f>IFERROR(VLOOKUP(D117,'Master List'!D:H,2,FALSE),"NA")</f>
        <v>430103</v>
      </c>
      <c r="F117" s="62" t="str">
        <f>IFERROR(VLOOKUP(D117,'Master List'!D:H,3,FALSE),"NA")</f>
        <v>430103</v>
      </c>
      <c r="G117" s="58" t="str">
        <f>IFERROR(VLOOKUP(D117,'Master List'!D:H,4,FALSE),"NA")</f>
        <v>430103</v>
      </c>
      <c r="H117" s="39" t="str">
        <f>IFERROR(VLOOKUP(D117,'Master List'!D:H,5,FALSE),"NA")</f>
        <v>Criminal Justice/Law Enforcement Administration.</v>
      </c>
      <c r="I117" s="19"/>
      <c r="J117" s="20"/>
      <c r="K117" s="20"/>
      <c r="L117" s="21"/>
    </row>
    <row r="118" spans="1:12" x14ac:dyDescent="0.3">
      <c r="A118" s="33">
        <v>11</v>
      </c>
      <c r="B118" s="33" t="s">
        <v>2157</v>
      </c>
      <c r="C118" s="34" t="s">
        <v>858</v>
      </c>
      <c r="D118" s="51" t="s">
        <v>131</v>
      </c>
      <c r="E118" s="61" t="str">
        <f>IFERROR(VLOOKUP(D118,'Master List'!D:H,2,FALSE),"NA")</f>
        <v>NA</v>
      </c>
      <c r="F118" s="62" t="str">
        <f>IFERROR(VLOOKUP(D118,'Master List'!D:H,3,FALSE),"NA")</f>
        <v>NA</v>
      </c>
      <c r="G118" s="58" t="str">
        <f>IFERROR(VLOOKUP(D118,'Master List'!D:H,4,FALSE),"NA")</f>
        <v>NA</v>
      </c>
      <c r="H118" s="39" t="str">
        <f>IFERROR(VLOOKUP(D118,'Master List'!D:H,5,FALSE),"NA")</f>
        <v>NA</v>
      </c>
      <c r="I118" s="19"/>
      <c r="J118" s="20"/>
      <c r="K118" s="20"/>
      <c r="L118" s="21"/>
    </row>
    <row r="119" spans="1:12" x14ac:dyDescent="0.3">
      <c r="A119" s="33">
        <v>11</v>
      </c>
      <c r="B119" s="33" t="s">
        <v>2157</v>
      </c>
      <c r="C119" s="34" t="s">
        <v>858</v>
      </c>
      <c r="D119" s="51" t="s">
        <v>378</v>
      </c>
      <c r="E119" s="61" t="str">
        <f>IFERROR(VLOOKUP(D119,'Master List'!D:H,2,FALSE),"NA")</f>
        <v>430302</v>
      </c>
      <c r="F119" s="62" t="str">
        <f>IFERROR(VLOOKUP(D119,'Master List'!D:H,3,FALSE),"NA")</f>
        <v>430302</v>
      </c>
      <c r="G119" s="58" t="str">
        <f>IFERROR(VLOOKUP(D119,'Master List'!D:H,4,FALSE),"NA")</f>
        <v>430302</v>
      </c>
      <c r="H119" s="39" t="str">
        <f>IFERROR(VLOOKUP(D119,'Master List'!D:H,5,FALSE),"NA")</f>
        <v>Crisis/Emergency/Disaster Management.</v>
      </c>
      <c r="I119" s="19"/>
      <c r="J119" s="20"/>
      <c r="K119" s="20"/>
      <c r="L119" s="21"/>
    </row>
  </sheetData>
  <sheetProtection algorithmName="SHA-512" hashValue="xB1jTe+ugg5rS7DT36aeeBVX45tlOF7KbSGxCJX4Gwyal+u/z0dWxAmMLS2CnChUq+8pY+8wi25zaR3qd0Qgvw==" saltValue="DV3xWYWdUA4+kpvI2BuxTQ==" spinCount="100000" sheet="1" objects="1" scenarios="1" sort="0" autoFilter="0"/>
  <autoFilter ref="A2:L119"/>
  <mergeCells count="3">
    <mergeCell ref="A1:D1"/>
    <mergeCell ref="E1:H1"/>
    <mergeCell ref="I1:L1"/>
  </mergeCells>
  <dataValidations count="1">
    <dataValidation type="list" allowBlank="1" showInputMessage="1" showErrorMessage="1" sqref="I3:I119">
      <formula1>"Agree,Disagree"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2.44140625" style="54" customWidth="1"/>
    <col min="6" max="6" width="12.5546875" style="54" customWidth="1"/>
    <col min="7" max="7" width="13.6640625" style="54" customWidth="1"/>
    <col min="8" max="8" width="78" style="25" bestFit="1" customWidth="1"/>
    <col min="9" max="9" width="24.33203125" style="17" customWidth="1"/>
    <col min="10" max="10" width="26.33203125" style="17" customWidth="1"/>
    <col min="11" max="12" width="34.88671875" style="17" customWidth="1"/>
    <col min="13" max="16384" width="8.88671875" style="17"/>
  </cols>
  <sheetData>
    <row r="1" spans="1:12" s="27" customFormat="1" ht="81"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12</v>
      </c>
      <c r="B3" s="33" t="s">
        <v>2158</v>
      </c>
      <c r="C3" s="34" t="s">
        <v>856</v>
      </c>
      <c r="D3" s="51" t="s">
        <v>533</v>
      </c>
      <c r="E3" s="61" t="str">
        <f>IFERROR(VLOOKUP(D3,'Master List'!D:H,2,FALSE),"NA")</f>
        <v>010605</v>
      </c>
      <c r="F3" s="62" t="str">
        <f>IFERROR(VLOOKUP(D3,'Master List'!D:H,3,FALSE),"NA")</f>
        <v>010605</v>
      </c>
      <c r="G3" s="58" t="str">
        <f>IFERROR(VLOOKUP(D3,'Master List'!D:H,4,FALSE),"NA")</f>
        <v>010605</v>
      </c>
      <c r="H3" s="39" t="str">
        <f>IFERROR(VLOOKUP(D3,'Master List'!D:H,5,FALSE),"NA")</f>
        <v>Landscaping and Groundskeeping.</v>
      </c>
      <c r="I3" s="19"/>
      <c r="J3" s="20"/>
      <c r="K3" s="20"/>
      <c r="L3" s="21"/>
    </row>
    <row r="4" spans="1:12" x14ac:dyDescent="0.3">
      <c r="A4" s="33">
        <v>12</v>
      </c>
      <c r="B4" s="33" t="s">
        <v>2158</v>
      </c>
      <c r="C4" s="34" t="s">
        <v>856</v>
      </c>
      <c r="D4" s="51" t="s">
        <v>534</v>
      </c>
      <c r="E4" s="61" t="str">
        <f>IFERROR(VLOOKUP(D4,'Master List'!D:H,2,FALSE),"NA")</f>
        <v>010605</v>
      </c>
      <c r="F4" s="62" t="str">
        <f>IFERROR(VLOOKUP(D4,'Master List'!D:H,3,FALSE),"NA")</f>
        <v>010605</v>
      </c>
      <c r="G4" s="58" t="str">
        <f>IFERROR(VLOOKUP(D4,'Master List'!D:H,4,FALSE),"NA")</f>
        <v>010605</v>
      </c>
      <c r="H4" s="39" t="str">
        <f>IFERROR(VLOOKUP(D4,'Master List'!D:H,5,FALSE),"NA")</f>
        <v>Landscaping and Groundskeeping.</v>
      </c>
      <c r="I4" s="19"/>
      <c r="J4" s="20"/>
      <c r="K4" s="20"/>
      <c r="L4" s="21"/>
    </row>
    <row r="5" spans="1:12" x14ac:dyDescent="0.3">
      <c r="A5" s="33">
        <v>12</v>
      </c>
      <c r="B5" s="33" t="s">
        <v>2158</v>
      </c>
      <c r="C5" s="34" t="s">
        <v>856</v>
      </c>
      <c r="D5" s="51" t="s">
        <v>857</v>
      </c>
      <c r="E5" s="61" t="str">
        <f>IFERROR(VLOOKUP(D5,'Master List'!D:H,2,FALSE),"NA")</f>
        <v>510707</v>
      </c>
      <c r="F5" s="62" t="str">
        <f>IFERROR(VLOOKUP(D5,'Master List'!D:H,3,FALSE),"NA")</f>
        <v>510707</v>
      </c>
      <c r="G5" s="58">
        <f>IFERROR(VLOOKUP(D5,'Master List'!D:H,4,FALSE),"NA")</f>
        <v>510714</v>
      </c>
      <c r="H5" s="39" t="str">
        <f>IFERROR(VLOOKUP(D5,'Master List'!D:H,5,FALSE),"NA")</f>
        <v>Medical Insurance Specialist/Medical Biller</v>
      </c>
      <c r="I5" s="19"/>
      <c r="J5" s="20"/>
      <c r="K5" s="20"/>
      <c r="L5" s="21"/>
    </row>
    <row r="6" spans="1:12" x14ac:dyDescent="0.3">
      <c r="A6" s="33">
        <v>12</v>
      </c>
      <c r="B6" s="33" t="s">
        <v>2158</v>
      </c>
      <c r="C6" s="34" t="s">
        <v>856</v>
      </c>
      <c r="D6" s="51" t="s">
        <v>199</v>
      </c>
      <c r="E6" s="61" t="str">
        <f>IFERROR(VLOOKUP(D6,'Master List'!D:H,2,FALSE),"NA")</f>
        <v>510801</v>
      </c>
      <c r="F6" s="62" t="str">
        <f>IFERROR(VLOOKUP(D6,'Master List'!D:H,3,FALSE),"NA")</f>
        <v>510801</v>
      </c>
      <c r="G6" s="58" t="str">
        <f>IFERROR(VLOOKUP(D6,'Master List'!D:H,4,FALSE),"NA")</f>
        <v>510801</v>
      </c>
      <c r="H6" s="39" t="str">
        <f>IFERROR(VLOOKUP(D6,'Master List'!D:H,5,FALSE),"NA")</f>
        <v>Medical/Clinical Assistant.</v>
      </c>
      <c r="I6" s="19"/>
      <c r="J6" s="20"/>
      <c r="K6" s="20"/>
      <c r="L6" s="21"/>
    </row>
    <row r="7" spans="1:12" x14ac:dyDescent="0.3">
      <c r="A7" s="33">
        <v>12</v>
      </c>
      <c r="B7" s="33" t="s">
        <v>2158</v>
      </c>
      <c r="C7" s="34" t="s">
        <v>856</v>
      </c>
      <c r="D7" s="51" t="s">
        <v>14</v>
      </c>
      <c r="E7" s="61" t="str">
        <f>IFERROR(VLOOKUP(D7,'Master List'!D:H,2,FALSE),"NA")</f>
        <v>510904</v>
      </c>
      <c r="F7" s="62" t="str">
        <f>IFERROR(VLOOKUP(D7,'Master List'!D:H,3,FALSE),"NA")</f>
        <v>510904</v>
      </c>
      <c r="G7" s="58" t="str">
        <f>IFERROR(VLOOKUP(D7,'Master List'!D:H,4,FALSE),"NA")</f>
        <v>510904</v>
      </c>
      <c r="H7" s="39" t="str">
        <f>IFERROR(VLOOKUP(D7,'Master List'!D:H,5,FALSE),"NA")</f>
        <v>Emergency Medical Technology/Technician (EMT Paramedic).</v>
      </c>
      <c r="I7" s="19"/>
      <c r="J7" s="20"/>
      <c r="K7" s="20"/>
      <c r="L7" s="21"/>
    </row>
    <row r="8" spans="1:12" x14ac:dyDescent="0.3">
      <c r="A8" s="33">
        <v>12</v>
      </c>
      <c r="B8" s="33" t="s">
        <v>2158</v>
      </c>
      <c r="C8" s="34" t="s">
        <v>856</v>
      </c>
      <c r="D8" s="51" t="s">
        <v>204</v>
      </c>
      <c r="E8" s="61" t="str">
        <f>IFERROR(VLOOKUP(D8,'Master List'!D:H,2,FALSE),"NA")</f>
        <v>510904</v>
      </c>
      <c r="F8" s="62" t="str">
        <f>IFERROR(VLOOKUP(D8,'Master List'!D:H,3,FALSE),"NA")</f>
        <v>510904</v>
      </c>
      <c r="G8" s="58" t="str">
        <f>IFERROR(VLOOKUP(D8,'Master List'!D:H,4,FALSE),"NA")</f>
        <v>510904</v>
      </c>
      <c r="H8" s="39" t="str">
        <f>IFERROR(VLOOKUP(D8,'Master List'!D:H,5,FALSE),"NA")</f>
        <v>Emergency Medical Technology/Technician (EMT Paramedic).</v>
      </c>
      <c r="I8" s="19"/>
      <c r="J8" s="20"/>
      <c r="K8" s="20"/>
      <c r="L8" s="21"/>
    </row>
    <row r="9" spans="1:12" x14ac:dyDescent="0.3">
      <c r="A9" s="33">
        <v>12</v>
      </c>
      <c r="B9" s="33" t="s">
        <v>2158</v>
      </c>
      <c r="C9" s="34" t="s">
        <v>856</v>
      </c>
      <c r="D9" s="51" t="s">
        <v>410</v>
      </c>
      <c r="E9" s="61" t="str">
        <f>IFERROR(VLOOKUP(D9,'Master List'!D:H,2,FALSE),"NA")</f>
        <v>511009</v>
      </c>
      <c r="F9" s="62" t="str">
        <f>IFERROR(VLOOKUP(D9,'Master List'!D:H,3,FALSE),"NA")</f>
        <v>511009</v>
      </c>
      <c r="G9" s="58" t="str">
        <f>IFERROR(VLOOKUP(D9,'Master List'!D:H,4,FALSE),"NA")</f>
        <v>511009</v>
      </c>
      <c r="H9" s="39" t="str">
        <f>IFERROR(VLOOKUP(D9,'Master List'!D:H,5,FALSE),"NA")</f>
        <v>Phlebotomy Technician/Phlebotomist.</v>
      </c>
      <c r="I9" s="19"/>
      <c r="J9" s="20"/>
      <c r="K9" s="20"/>
      <c r="L9" s="21"/>
    </row>
    <row r="10" spans="1:12" x14ac:dyDescent="0.3">
      <c r="A10" s="33">
        <v>12</v>
      </c>
      <c r="B10" s="33" t="s">
        <v>2158</v>
      </c>
      <c r="C10" s="34" t="s">
        <v>856</v>
      </c>
      <c r="D10" s="51" t="s">
        <v>413</v>
      </c>
      <c r="E10" s="61" t="str">
        <f>IFERROR(VLOOKUP(D10,'Master List'!D:H,2,FALSE),"NA")</f>
        <v>513901</v>
      </c>
      <c r="F10" s="62" t="str">
        <f>IFERROR(VLOOKUP(D10,'Master List'!D:H,3,FALSE),"NA")</f>
        <v>513901</v>
      </c>
      <c r="G10" s="58" t="str">
        <f>IFERROR(VLOOKUP(D10,'Master List'!D:H,4,FALSE),"NA")</f>
        <v>513901</v>
      </c>
      <c r="H10" s="39" t="str">
        <f>IFERROR(VLOOKUP(D10,'Master List'!D:H,5,FALSE),"NA")</f>
        <v>Licensed Practical/Vocational Nurse Training.</v>
      </c>
      <c r="I10" s="19"/>
      <c r="J10" s="20"/>
      <c r="K10" s="20"/>
      <c r="L10" s="21"/>
    </row>
    <row r="11" spans="1:12" x14ac:dyDescent="0.3">
      <c r="A11" s="33">
        <v>12</v>
      </c>
      <c r="B11" s="33" t="s">
        <v>2158</v>
      </c>
      <c r="C11" s="34" t="s">
        <v>856</v>
      </c>
      <c r="D11" s="51" t="s">
        <v>28</v>
      </c>
      <c r="E11" s="61" t="str">
        <f>IFERROR(VLOOKUP(D11,'Master List'!D:H,2,FALSE),"NA")</f>
        <v>190709</v>
      </c>
      <c r="F11" s="62" t="str">
        <f>IFERROR(VLOOKUP(D11,'Master List'!D:H,3,FALSE),"NA")</f>
        <v>190709</v>
      </c>
      <c r="G11" s="58" t="str">
        <f>IFERROR(VLOOKUP(D11,'Master List'!D:H,4,FALSE),"NA")</f>
        <v>190709</v>
      </c>
      <c r="H11" s="39" t="str">
        <f>IFERROR(VLOOKUP(D11,'Master List'!D:H,5,FALSE),"NA")</f>
        <v>Child Care Provider/Assistant.</v>
      </c>
      <c r="I11" s="19"/>
      <c r="J11" s="20"/>
      <c r="K11" s="20"/>
      <c r="L11" s="21"/>
    </row>
    <row r="12" spans="1:12" x14ac:dyDescent="0.3">
      <c r="A12" s="33">
        <v>12</v>
      </c>
      <c r="B12" s="33" t="s">
        <v>2158</v>
      </c>
      <c r="C12" s="34" t="s">
        <v>856</v>
      </c>
      <c r="D12" s="51" t="s">
        <v>483</v>
      </c>
      <c r="E12" s="61" t="str">
        <f>IFERROR(VLOOKUP(D12,'Master List'!D:H,2,FALSE),"NA")</f>
        <v>190709</v>
      </c>
      <c r="F12" s="62" t="str">
        <f>IFERROR(VLOOKUP(D12,'Master List'!D:H,3,FALSE),"NA")</f>
        <v>190709</v>
      </c>
      <c r="G12" s="58" t="str">
        <f>IFERROR(VLOOKUP(D12,'Master List'!D:H,4,FALSE),"NA")</f>
        <v>190709</v>
      </c>
      <c r="H12" s="39" t="str">
        <f>IFERROR(VLOOKUP(D12,'Master List'!D:H,5,FALSE),"NA")</f>
        <v>Child Care Provider/Assistant.</v>
      </c>
      <c r="I12" s="19"/>
      <c r="J12" s="20"/>
      <c r="K12" s="20"/>
      <c r="L12" s="21"/>
    </row>
    <row r="13" spans="1:12" x14ac:dyDescent="0.3">
      <c r="A13" s="33">
        <v>12</v>
      </c>
      <c r="B13" s="33" t="s">
        <v>2158</v>
      </c>
      <c r="C13" s="34" t="s">
        <v>856</v>
      </c>
      <c r="D13" s="51" t="s">
        <v>588</v>
      </c>
      <c r="E13" s="61" t="str">
        <f>IFERROR(VLOOKUP(D13,'Master List'!D:H,2,FALSE),"NA")</f>
        <v>190709</v>
      </c>
      <c r="F13" s="62" t="str">
        <f>IFERROR(VLOOKUP(D13,'Master List'!D:H,3,FALSE),"NA")</f>
        <v>190709</v>
      </c>
      <c r="G13" s="58" t="str">
        <f>IFERROR(VLOOKUP(D13,'Master List'!D:H,4,FALSE),"NA")</f>
        <v>190709</v>
      </c>
      <c r="H13" s="39" t="str">
        <f>IFERROR(VLOOKUP(D13,'Master List'!D:H,5,FALSE),"NA")</f>
        <v>Child Care Provider/Assistant.</v>
      </c>
      <c r="I13" s="19"/>
      <c r="J13" s="20"/>
      <c r="K13" s="20"/>
      <c r="L13" s="21"/>
    </row>
    <row r="14" spans="1:12" x14ac:dyDescent="0.3">
      <c r="A14" s="33">
        <v>12</v>
      </c>
      <c r="B14" s="33" t="s">
        <v>2158</v>
      </c>
      <c r="C14" s="34" t="s">
        <v>856</v>
      </c>
      <c r="D14" s="51" t="s">
        <v>589</v>
      </c>
      <c r="E14" s="61" t="str">
        <f>IFERROR(VLOOKUP(D14,'Master List'!D:H,2,FALSE),"NA")</f>
        <v>190709</v>
      </c>
      <c r="F14" s="62" t="str">
        <f>IFERROR(VLOOKUP(D14,'Master List'!D:H,3,FALSE),"NA")</f>
        <v>190709</v>
      </c>
      <c r="G14" s="58" t="str">
        <f>IFERROR(VLOOKUP(D14,'Master List'!D:H,4,FALSE),"NA")</f>
        <v>190709</v>
      </c>
      <c r="H14" s="39" t="str">
        <f>IFERROR(VLOOKUP(D14,'Master List'!D:H,5,FALSE),"NA")</f>
        <v>Child Care Provider/Assistant.</v>
      </c>
      <c r="I14" s="19"/>
      <c r="J14" s="20"/>
      <c r="K14" s="20"/>
      <c r="L14" s="21"/>
    </row>
    <row r="15" spans="1:12" x14ac:dyDescent="0.3">
      <c r="A15" s="33">
        <v>12</v>
      </c>
      <c r="B15" s="33" t="s">
        <v>2158</v>
      </c>
      <c r="C15" s="34" t="s">
        <v>856</v>
      </c>
      <c r="D15" s="51" t="s">
        <v>389</v>
      </c>
      <c r="E15" s="61" t="str">
        <f>IFERROR(VLOOKUP(D15,'Master List'!D:H,2,FALSE),"NA")</f>
        <v>110201</v>
      </c>
      <c r="F15" s="62" t="str">
        <f>IFERROR(VLOOKUP(D15,'Master List'!D:H,3,FALSE),"NA")</f>
        <v>110201</v>
      </c>
      <c r="G15" s="58" t="str">
        <f>IFERROR(VLOOKUP(D15,'Master List'!D:H,4,FALSE),"NA")</f>
        <v>110201</v>
      </c>
      <c r="H15" s="39" t="str">
        <f>IFERROR(VLOOKUP(D15,'Master List'!D:H,5,FALSE),"NA")</f>
        <v>Computer Programming/Programmer, General.</v>
      </c>
      <c r="I15" s="19"/>
      <c r="J15" s="20"/>
      <c r="K15" s="20"/>
      <c r="L15" s="21"/>
    </row>
    <row r="16" spans="1:12" x14ac:dyDescent="0.3">
      <c r="A16" s="33">
        <v>12</v>
      </c>
      <c r="B16" s="33" t="s">
        <v>2158</v>
      </c>
      <c r="C16" s="34" t="s">
        <v>856</v>
      </c>
      <c r="D16" s="51" t="s">
        <v>390</v>
      </c>
      <c r="E16" s="61" t="str">
        <f>IFERROR(VLOOKUP(D16,'Master List'!D:H,2,FALSE),"NA")</f>
        <v>110202</v>
      </c>
      <c r="F16" s="62" t="str">
        <f>IFERROR(VLOOKUP(D16,'Master List'!D:H,3,FALSE),"NA")</f>
        <v>110202</v>
      </c>
      <c r="G16" s="58" t="str">
        <f>IFERROR(VLOOKUP(D16,'Master List'!D:H,4,FALSE),"NA")</f>
        <v>110202</v>
      </c>
      <c r="H16" s="39" t="str">
        <f>IFERROR(VLOOKUP(D16,'Master List'!D:H,5,FALSE),"NA")</f>
        <v>Computer Programming, Specific Applications.</v>
      </c>
      <c r="I16" s="19"/>
      <c r="J16" s="20"/>
      <c r="K16" s="20"/>
      <c r="L16" s="21"/>
    </row>
    <row r="17" spans="1:12" x14ac:dyDescent="0.3">
      <c r="A17" s="33">
        <v>12</v>
      </c>
      <c r="B17" s="33" t="s">
        <v>2158</v>
      </c>
      <c r="C17" s="34" t="s">
        <v>856</v>
      </c>
      <c r="D17" s="51" t="s">
        <v>34</v>
      </c>
      <c r="E17" s="61" t="str">
        <f>IFERROR(VLOOKUP(D17,'Master List'!D:H,2,FALSE),"NA")</f>
        <v>111001</v>
      </c>
      <c r="F17" s="62" t="str">
        <f>IFERROR(VLOOKUP(D17,'Master List'!D:H,3,FALSE),"NA")</f>
        <v>111001</v>
      </c>
      <c r="G17" s="58" t="str">
        <f>IFERROR(VLOOKUP(D17,'Master List'!D:H,4,FALSE),"NA")</f>
        <v>111001</v>
      </c>
      <c r="H17" s="39" t="str">
        <f>IFERROR(VLOOKUP(D17,'Master List'!D:H,5,FALSE),"NA")</f>
        <v>Network and System Administration/Administrator.</v>
      </c>
      <c r="I17" s="19"/>
      <c r="J17" s="20"/>
      <c r="K17" s="20"/>
      <c r="L17" s="21"/>
    </row>
    <row r="18" spans="1:12" x14ac:dyDescent="0.3">
      <c r="A18" s="33">
        <v>12</v>
      </c>
      <c r="B18" s="33" t="s">
        <v>2158</v>
      </c>
      <c r="C18" s="34" t="s">
        <v>856</v>
      </c>
      <c r="D18" s="51" t="s">
        <v>40</v>
      </c>
      <c r="E18" s="61" t="str">
        <f>IFERROR(VLOOKUP(D18,'Master List'!D:H,2,FALSE),"NA")</f>
        <v>520302</v>
      </c>
      <c r="F18" s="62" t="str">
        <f>IFERROR(VLOOKUP(D18,'Master List'!D:H,3,FALSE),"NA")</f>
        <v>520302</v>
      </c>
      <c r="G18" s="58" t="str">
        <f>IFERROR(VLOOKUP(D18,'Master List'!D:H,4,FALSE),"NA")</f>
        <v>520302</v>
      </c>
      <c r="H18" s="39" t="str">
        <f>IFERROR(VLOOKUP(D18,'Master List'!D:H,5,FALSE),"NA")</f>
        <v>Accounting Technology/Technician and Bookkeeping.</v>
      </c>
      <c r="I18" s="19"/>
      <c r="J18" s="20"/>
      <c r="K18" s="20"/>
      <c r="L18" s="21"/>
    </row>
    <row r="19" spans="1:12" x14ac:dyDescent="0.3">
      <c r="A19" s="33">
        <v>12</v>
      </c>
      <c r="B19" s="33" t="s">
        <v>2158</v>
      </c>
      <c r="C19" s="34" t="s">
        <v>856</v>
      </c>
      <c r="D19" s="51" t="s">
        <v>232</v>
      </c>
      <c r="E19" s="61" t="str">
        <f>IFERROR(VLOOKUP(D19,'Master List'!D:H,2,FALSE),"NA")</f>
        <v>520701</v>
      </c>
      <c r="F19" s="62" t="str">
        <f>IFERROR(VLOOKUP(D19,'Master List'!D:H,3,FALSE),"NA")</f>
        <v>520701</v>
      </c>
      <c r="G19" s="58" t="str">
        <f>IFERROR(VLOOKUP(D19,'Master List'!D:H,4,FALSE),"NA")</f>
        <v>520701</v>
      </c>
      <c r="H19" s="39" t="str">
        <f>IFERROR(VLOOKUP(D19,'Master List'!D:H,5,FALSE),"NA")</f>
        <v>Entrepreneurship/Entrepreneurial Studies.</v>
      </c>
      <c r="I19" s="19"/>
      <c r="J19" s="20"/>
      <c r="K19" s="20"/>
      <c r="L19" s="21"/>
    </row>
    <row r="20" spans="1:12" x14ac:dyDescent="0.3">
      <c r="A20" s="33">
        <v>12</v>
      </c>
      <c r="B20" s="33" t="s">
        <v>2158</v>
      </c>
      <c r="C20" s="34" t="s">
        <v>856</v>
      </c>
      <c r="D20" s="51" t="s">
        <v>237</v>
      </c>
      <c r="E20" s="61" t="str">
        <f>IFERROR(VLOOKUP(D20,'Master List'!D:H,2,FALSE),"NA")</f>
        <v>110803</v>
      </c>
      <c r="F20" s="62" t="str">
        <f>IFERROR(VLOOKUP(D20,'Master List'!D:H,3,FALSE),"NA")</f>
        <v>110803</v>
      </c>
      <c r="G20" s="58" t="str">
        <f>IFERROR(VLOOKUP(D20,'Master List'!D:H,4,FALSE),"NA")</f>
        <v>110803</v>
      </c>
      <c r="H20" s="39" t="str">
        <f>IFERROR(VLOOKUP(D20,'Master List'!D:H,5,FALSE),"NA")</f>
        <v>Computer Graphics.</v>
      </c>
      <c r="I20" s="19"/>
      <c r="J20" s="20"/>
      <c r="K20" s="20"/>
      <c r="L20" s="21"/>
    </row>
    <row r="21" spans="1:12" x14ac:dyDescent="0.3">
      <c r="A21" s="33">
        <v>12</v>
      </c>
      <c r="B21" s="33" t="s">
        <v>2158</v>
      </c>
      <c r="C21" s="34" t="s">
        <v>856</v>
      </c>
      <c r="D21" s="51" t="s">
        <v>553</v>
      </c>
      <c r="E21" s="61" t="str">
        <f>IFERROR(VLOOKUP(D21,'Master List'!D:H,2,FALSE),"NA")</f>
        <v>110803</v>
      </c>
      <c r="F21" s="62" t="str">
        <f>IFERROR(VLOOKUP(D21,'Master List'!D:H,3,FALSE),"NA")</f>
        <v>110803</v>
      </c>
      <c r="G21" s="58" t="str">
        <f>IFERROR(VLOOKUP(D21,'Master List'!D:H,4,FALSE),"NA")</f>
        <v>110803</v>
      </c>
      <c r="H21" s="39" t="str">
        <f>IFERROR(VLOOKUP(D21,'Master List'!D:H,5,FALSE),"NA")</f>
        <v>Computer Graphics.</v>
      </c>
      <c r="I21" s="19"/>
      <c r="J21" s="20"/>
      <c r="K21" s="20"/>
      <c r="L21" s="21"/>
    </row>
    <row r="22" spans="1:12" x14ac:dyDescent="0.3">
      <c r="A22" s="33">
        <v>12</v>
      </c>
      <c r="B22" s="33" t="s">
        <v>2158</v>
      </c>
      <c r="C22" s="34" t="s">
        <v>856</v>
      </c>
      <c r="D22" s="51" t="s">
        <v>240</v>
      </c>
      <c r="E22" s="61" t="str">
        <f>IFERROR(VLOOKUP(D22,'Master List'!D:H,2,FALSE),"NA")</f>
        <v>120401</v>
      </c>
      <c r="F22" s="62" t="str">
        <f>IFERROR(VLOOKUP(D22,'Master List'!D:H,3,FALSE),"NA")</f>
        <v>120401</v>
      </c>
      <c r="G22" s="58" t="str">
        <f>IFERROR(VLOOKUP(D22,'Master List'!D:H,4,FALSE),"NA")</f>
        <v>120401</v>
      </c>
      <c r="H22" s="39" t="str">
        <f>IFERROR(VLOOKUP(D22,'Master List'!D:H,5,FALSE),"NA")</f>
        <v>Cosmetology/Cosmetologist, General.</v>
      </c>
      <c r="I22" s="19"/>
      <c r="J22" s="20"/>
      <c r="K22" s="20"/>
      <c r="L22" s="21"/>
    </row>
    <row r="23" spans="1:12" x14ac:dyDescent="0.3">
      <c r="A23" s="33">
        <v>12</v>
      </c>
      <c r="B23" s="33" t="s">
        <v>2158</v>
      </c>
      <c r="C23" s="34" t="s">
        <v>856</v>
      </c>
      <c r="D23" s="51" t="s">
        <v>243</v>
      </c>
      <c r="E23" s="61" t="str">
        <f>IFERROR(VLOOKUP(D23,'Master List'!D:H,2,FALSE),"NA")</f>
        <v>120408</v>
      </c>
      <c r="F23" s="62" t="str">
        <f>IFERROR(VLOOKUP(D23,'Master List'!D:H,3,FALSE),"NA")</f>
        <v>120408</v>
      </c>
      <c r="G23" s="58" t="str">
        <f>IFERROR(VLOOKUP(D23,'Master List'!D:H,4,FALSE),"NA")</f>
        <v>120408</v>
      </c>
      <c r="H23" s="39" t="str">
        <f>IFERROR(VLOOKUP(D23,'Master List'!D:H,5,FALSE),"NA")</f>
        <v>Facial Treatment Specialist/Facialist.</v>
      </c>
      <c r="I23" s="19"/>
      <c r="J23" s="20"/>
      <c r="K23" s="20"/>
      <c r="L23" s="21"/>
    </row>
    <row r="24" spans="1:12" x14ac:dyDescent="0.3">
      <c r="A24" s="33">
        <v>12</v>
      </c>
      <c r="B24" s="33" t="s">
        <v>2158</v>
      </c>
      <c r="C24" s="34" t="s">
        <v>856</v>
      </c>
      <c r="D24" s="51" t="s">
        <v>255</v>
      </c>
      <c r="E24" s="61" t="str">
        <f>IFERROR(VLOOKUP(D24,'Master List'!D:H,2,FALSE),"NA")</f>
        <v>150803</v>
      </c>
      <c r="F24" s="62" t="str">
        <f>IFERROR(VLOOKUP(D24,'Master List'!D:H,3,FALSE),"NA")</f>
        <v>150803</v>
      </c>
      <c r="G24" s="58" t="str">
        <f>IFERROR(VLOOKUP(D24,'Master List'!D:H,4,FALSE),"NA")</f>
        <v>150803</v>
      </c>
      <c r="H24" s="39" t="str">
        <f>IFERROR(VLOOKUP(D24,'Master List'!D:H,5,FALSE),"NA")</f>
        <v>Automotive Engineering Technology/Technician.</v>
      </c>
      <c r="I24" s="19"/>
      <c r="J24" s="20"/>
      <c r="K24" s="20"/>
      <c r="L24" s="21"/>
    </row>
    <row r="25" spans="1:12" x14ac:dyDescent="0.3">
      <c r="A25" s="33">
        <v>12</v>
      </c>
      <c r="B25" s="33" t="s">
        <v>2158</v>
      </c>
      <c r="C25" s="34" t="s">
        <v>856</v>
      </c>
      <c r="D25" s="51" t="s">
        <v>258</v>
      </c>
      <c r="E25" s="61" t="str">
        <f>IFERROR(VLOOKUP(D25,'Master List'!D:H,2,FALSE),"NA")</f>
        <v>150803</v>
      </c>
      <c r="F25" s="62" t="str">
        <f>IFERROR(VLOOKUP(D25,'Master List'!D:H,3,FALSE),"NA")</f>
        <v>150803</v>
      </c>
      <c r="G25" s="58" t="str">
        <f>IFERROR(VLOOKUP(D25,'Master List'!D:H,4,FALSE),"NA")</f>
        <v>150803</v>
      </c>
      <c r="H25" s="39" t="str">
        <f>IFERROR(VLOOKUP(D25,'Master List'!D:H,5,FALSE),"NA")</f>
        <v>Automotive Engineering Technology/Technician.</v>
      </c>
      <c r="I25" s="19"/>
      <c r="J25" s="20"/>
      <c r="K25" s="20"/>
      <c r="L25" s="21"/>
    </row>
    <row r="26" spans="1:12" x14ac:dyDescent="0.3">
      <c r="A26" s="33">
        <v>12</v>
      </c>
      <c r="B26" s="33" t="s">
        <v>2158</v>
      </c>
      <c r="C26" s="34" t="s">
        <v>856</v>
      </c>
      <c r="D26" s="51" t="s">
        <v>633</v>
      </c>
      <c r="E26" s="61" t="str">
        <f>IFERROR(VLOOKUP(D26,'Master List'!D:H,2,FALSE),"NA")</f>
        <v>150803</v>
      </c>
      <c r="F26" s="62" t="str">
        <f>IFERROR(VLOOKUP(D26,'Master List'!D:H,3,FALSE),"NA")</f>
        <v>150803</v>
      </c>
      <c r="G26" s="58" t="str">
        <f>IFERROR(VLOOKUP(D26,'Master List'!D:H,4,FALSE),"NA")</f>
        <v>150803</v>
      </c>
      <c r="H26" s="39" t="str">
        <f>IFERROR(VLOOKUP(D26,'Master List'!D:H,5,FALSE),"NA")</f>
        <v>Automotive Engineering Technology/Technician.</v>
      </c>
      <c r="I26" s="19"/>
      <c r="J26" s="20"/>
      <c r="K26" s="20"/>
      <c r="L26" s="21"/>
    </row>
    <row r="27" spans="1:12" x14ac:dyDescent="0.3">
      <c r="A27" s="33">
        <v>12</v>
      </c>
      <c r="B27" s="33" t="s">
        <v>2158</v>
      </c>
      <c r="C27" s="34" t="s">
        <v>856</v>
      </c>
      <c r="D27" s="51" t="s">
        <v>275</v>
      </c>
      <c r="E27" s="61" t="str">
        <f>IFERROR(VLOOKUP(D27,'Master List'!D:H,2,FALSE),"NA")</f>
        <v>470201</v>
      </c>
      <c r="F27" s="62" t="str">
        <f>IFERROR(VLOOKUP(D27,'Master List'!D:H,3,FALSE),"NA")</f>
        <v>470201</v>
      </c>
      <c r="G27" s="58" t="str">
        <f>IFERROR(VLOOKUP(D27,'Master List'!D:H,4,FALSE),"NA")</f>
        <v>470201</v>
      </c>
      <c r="H27" s="39" t="str">
        <f>IFERROR(VLOOKUP(D27,'Master List'!D:H,5,FALSE),"NA")</f>
        <v>Heating, Air Conditioning, Ventilation and Refrigeration Maintenance Technology/Technician.</v>
      </c>
      <c r="I27" s="19"/>
      <c r="J27" s="20"/>
      <c r="K27" s="20"/>
      <c r="L27" s="21"/>
    </row>
    <row r="28" spans="1:12" x14ac:dyDescent="0.3">
      <c r="A28" s="33">
        <v>12</v>
      </c>
      <c r="B28" s="33" t="s">
        <v>2158</v>
      </c>
      <c r="C28" s="34" t="s">
        <v>856</v>
      </c>
      <c r="D28" s="51" t="s">
        <v>291</v>
      </c>
      <c r="E28" s="61" t="str">
        <f>IFERROR(VLOOKUP(D28,'Master List'!D:H,2,FALSE),"NA")</f>
        <v>480508</v>
      </c>
      <c r="F28" s="62" t="str">
        <f>IFERROR(VLOOKUP(D28,'Master List'!D:H,3,FALSE),"NA")</f>
        <v>480508</v>
      </c>
      <c r="G28" s="58" t="str">
        <f>IFERROR(VLOOKUP(D28,'Master List'!D:H,4,FALSE),"NA")</f>
        <v>480508</v>
      </c>
      <c r="H28" s="39" t="str">
        <f>IFERROR(VLOOKUP(D28,'Master List'!D:H,5,FALSE),"NA")</f>
        <v>Welding Technology/Welder.</v>
      </c>
      <c r="I28" s="19"/>
      <c r="J28" s="20"/>
      <c r="K28" s="20"/>
      <c r="L28" s="21"/>
    </row>
    <row r="29" spans="1:12" x14ac:dyDescent="0.3">
      <c r="A29" s="33">
        <v>12</v>
      </c>
      <c r="B29" s="33" t="s">
        <v>2158</v>
      </c>
      <c r="C29" s="34" t="s">
        <v>856</v>
      </c>
      <c r="D29" s="51" t="s">
        <v>456</v>
      </c>
      <c r="E29" s="61" t="str">
        <f>IFERROR(VLOOKUP(D29,'Master List'!D:H,2,FALSE),"NA")</f>
        <v>480508</v>
      </c>
      <c r="F29" s="62" t="str">
        <f>IFERROR(VLOOKUP(D29,'Master List'!D:H,3,FALSE),"NA")</f>
        <v>480508</v>
      </c>
      <c r="G29" s="58" t="str">
        <f>IFERROR(VLOOKUP(D29,'Master List'!D:H,4,FALSE),"NA")</f>
        <v>480508</v>
      </c>
      <c r="H29" s="39" t="str">
        <f>IFERROR(VLOOKUP(D29,'Master List'!D:H,5,FALSE),"NA")</f>
        <v>Welding Technology/Welder.</v>
      </c>
      <c r="I29" s="19"/>
      <c r="J29" s="20"/>
      <c r="K29" s="20"/>
      <c r="L29" s="21"/>
    </row>
    <row r="30" spans="1:12" x14ac:dyDescent="0.3">
      <c r="A30" s="33">
        <v>12</v>
      </c>
      <c r="B30" s="33" t="s">
        <v>2158</v>
      </c>
      <c r="C30" s="34" t="s">
        <v>856</v>
      </c>
      <c r="D30" s="51" t="s">
        <v>65</v>
      </c>
      <c r="E30" s="61" t="str">
        <f>IFERROR(VLOOKUP(D30,'Master List'!D:H,2,FALSE),"NA")</f>
        <v>520209</v>
      </c>
      <c r="F30" s="62" t="str">
        <f>IFERROR(VLOOKUP(D30,'Master List'!D:H,3,FALSE),"NA")</f>
        <v>520209</v>
      </c>
      <c r="G30" s="58" t="str">
        <f>IFERROR(VLOOKUP(D30,'Master List'!D:H,4,FALSE),"NA")</f>
        <v>520209</v>
      </c>
      <c r="H30" s="39" t="str">
        <f>IFERROR(VLOOKUP(D30,'Master List'!D:H,5,FALSE),"NA")</f>
        <v>Transportation/Mobility Management.</v>
      </c>
      <c r="I30" s="19"/>
      <c r="J30" s="20"/>
      <c r="K30" s="20"/>
      <c r="L30" s="21"/>
    </row>
    <row r="31" spans="1:12" x14ac:dyDescent="0.3">
      <c r="A31" s="33">
        <v>12</v>
      </c>
      <c r="B31" s="33" t="s">
        <v>2158</v>
      </c>
      <c r="C31" s="34" t="s">
        <v>856</v>
      </c>
      <c r="D31" s="51" t="s">
        <v>677</v>
      </c>
      <c r="E31" s="61" t="str">
        <f>IFERROR(VLOOKUP(D31,'Master List'!D:H,2,FALSE),"NA")</f>
        <v>030104</v>
      </c>
      <c r="F31" s="62" t="str">
        <f>IFERROR(VLOOKUP(D31,'Master List'!D:H,3,FALSE),"NA")</f>
        <v>030104</v>
      </c>
      <c r="G31" s="58" t="str">
        <f>IFERROR(VLOOKUP(D31,'Master List'!D:H,4,FALSE),"NA")</f>
        <v>030104</v>
      </c>
      <c r="H31" s="39" t="str">
        <f>IFERROR(VLOOKUP(D31,'Master List'!D:H,5,FALSE),"NA")</f>
        <v>Environmental Science.</v>
      </c>
      <c r="I31" s="19"/>
      <c r="J31" s="20"/>
      <c r="K31" s="20"/>
      <c r="L31" s="21"/>
    </row>
    <row r="32" spans="1:12" x14ac:dyDescent="0.3">
      <c r="A32" s="33">
        <v>12</v>
      </c>
      <c r="B32" s="33" t="s">
        <v>2158</v>
      </c>
      <c r="C32" s="34" t="s">
        <v>856</v>
      </c>
      <c r="D32" s="51" t="s">
        <v>314</v>
      </c>
      <c r="E32" s="61" t="str">
        <f>IFERROR(VLOOKUP(D32,'Master List'!D:H,2,FALSE),"NA")</f>
        <v>030104</v>
      </c>
      <c r="F32" s="62" t="str">
        <f>IFERROR(VLOOKUP(D32,'Master List'!D:H,3,FALSE),"NA")</f>
        <v>030104</v>
      </c>
      <c r="G32" s="58" t="str">
        <f>IFERROR(VLOOKUP(D32,'Master List'!D:H,4,FALSE),"NA")</f>
        <v>030104</v>
      </c>
      <c r="H32" s="39" t="str">
        <f>IFERROR(VLOOKUP(D32,'Master List'!D:H,5,FALSE),"NA")</f>
        <v>Environmental Science.</v>
      </c>
      <c r="I32" s="19"/>
      <c r="J32" s="20"/>
      <c r="K32" s="20"/>
      <c r="L32" s="21"/>
    </row>
    <row r="33" spans="1:12" x14ac:dyDescent="0.3">
      <c r="A33" s="33">
        <v>12</v>
      </c>
      <c r="B33" s="33" t="s">
        <v>2158</v>
      </c>
      <c r="C33" s="34" t="s">
        <v>856</v>
      </c>
      <c r="D33" s="51" t="s">
        <v>68</v>
      </c>
      <c r="E33" s="61" t="str">
        <f>IFERROR(VLOOKUP(D33,'Master List'!D:H,2,FALSE),"NA")</f>
        <v>430102</v>
      </c>
      <c r="F33" s="62" t="str">
        <f>IFERROR(VLOOKUP(D33,'Master List'!D:H,3,FALSE),"NA")</f>
        <v>430102</v>
      </c>
      <c r="G33" s="58" t="str">
        <f>IFERROR(VLOOKUP(D33,'Master List'!D:H,4,FALSE),"NA")</f>
        <v>430102</v>
      </c>
      <c r="H33" s="39" t="str">
        <f>IFERROR(VLOOKUP(D33,'Master List'!D:H,5,FALSE),"NA")</f>
        <v>Corrections.</v>
      </c>
      <c r="I33" s="19"/>
      <c r="J33" s="20"/>
      <c r="K33" s="20"/>
      <c r="L33" s="21"/>
    </row>
    <row r="34" spans="1:12" x14ac:dyDescent="0.3">
      <c r="A34" s="33">
        <v>12</v>
      </c>
      <c r="B34" s="33" t="s">
        <v>2158</v>
      </c>
      <c r="C34" s="34" t="s">
        <v>856</v>
      </c>
      <c r="D34" s="51" t="s">
        <v>484</v>
      </c>
      <c r="E34" s="61" t="str">
        <f>IFERROR(VLOOKUP(D34,'Master List'!D:H,2,FALSE),"NA")</f>
        <v>430102</v>
      </c>
      <c r="F34" s="62" t="str">
        <f>IFERROR(VLOOKUP(D34,'Master List'!D:H,3,FALSE),"NA")</f>
        <v>430102</v>
      </c>
      <c r="G34" s="58" t="str">
        <f>IFERROR(VLOOKUP(D34,'Master List'!D:H,4,FALSE),"NA")</f>
        <v>430102</v>
      </c>
      <c r="H34" s="39" t="str">
        <f>IFERROR(VLOOKUP(D34,'Master List'!D:H,5,FALSE),"NA")</f>
        <v>Corrections.</v>
      </c>
      <c r="I34" s="19"/>
      <c r="J34" s="20"/>
      <c r="K34" s="20"/>
      <c r="L34" s="21"/>
    </row>
    <row r="35" spans="1:12" x14ac:dyDescent="0.3">
      <c r="A35" s="33">
        <v>12</v>
      </c>
      <c r="B35" s="33" t="s">
        <v>2158</v>
      </c>
      <c r="C35" s="34" t="s">
        <v>856</v>
      </c>
      <c r="D35" s="51" t="s">
        <v>71</v>
      </c>
      <c r="E35" s="61" t="str">
        <f>IFERROR(VLOOKUP(D35,'Master List'!D:H,2,FALSE),"NA")</f>
        <v>430107</v>
      </c>
      <c r="F35" s="62" t="str">
        <f>IFERROR(VLOOKUP(D35,'Master List'!D:H,3,FALSE),"NA")</f>
        <v>430107</v>
      </c>
      <c r="G35" s="58" t="str">
        <f>IFERROR(VLOOKUP(D35,'Master List'!D:H,4,FALSE),"NA")</f>
        <v>430107</v>
      </c>
      <c r="H35" s="39" t="str">
        <f>IFERROR(VLOOKUP(D35,'Master List'!D:H,5,FALSE),"NA")</f>
        <v>Criminal Justice/Police Science.</v>
      </c>
      <c r="I35" s="19"/>
      <c r="J35" s="20"/>
      <c r="K35" s="20"/>
      <c r="L35" s="21"/>
    </row>
    <row r="36" spans="1:12" x14ac:dyDescent="0.3">
      <c r="A36" s="33">
        <v>12</v>
      </c>
      <c r="B36" s="33" t="s">
        <v>2158</v>
      </c>
      <c r="C36" s="34" t="s">
        <v>856</v>
      </c>
      <c r="D36" s="51" t="s">
        <v>74</v>
      </c>
      <c r="E36" s="61" t="str">
        <f>IFERROR(VLOOKUP(D36,'Master List'!D:H,2,FALSE),"NA")</f>
        <v>430107</v>
      </c>
      <c r="F36" s="62" t="str">
        <f>IFERROR(VLOOKUP(D36,'Master List'!D:H,3,FALSE),"NA")</f>
        <v>430107</v>
      </c>
      <c r="G36" s="58" t="str">
        <f>IFERROR(VLOOKUP(D36,'Master List'!D:H,4,FALSE),"NA")</f>
        <v>430107</v>
      </c>
      <c r="H36" s="39" t="str">
        <f>IFERROR(VLOOKUP(D36,'Master List'!D:H,5,FALSE),"NA")</f>
        <v>Criminal Justice/Police Science.</v>
      </c>
      <c r="I36" s="19"/>
      <c r="J36" s="20"/>
      <c r="K36" s="20"/>
      <c r="L36" s="21"/>
    </row>
    <row r="37" spans="1:12" x14ac:dyDescent="0.3">
      <c r="A37" s="33">
        <v>12</v>
      </c>
      <c r="B37" s="33" t="s">
        <v>2158</v>
      </c>
      <c r="C37" s="34" t="s">
        <v>856</v>
      </c>
      <c r="D37" s="51" t="s">
        <v>318</v>
      </c>
      <c r="E37" s="61" t="str">
        <f>IFERROR(VLOOKUP(D37,'Master List'!D:H,2,FALSE),"NA")</f>
        <v>430203</v>
      </c>
      <c r="F37" s="62" t="str">
        <f>IFERROR(VLOOKUP(D37,'Master List'!D:H,3,FALSE),"NA")</f>
        <v>430203</v>
      </c>
      <c r="G37" s="58" t="str">
        <f>IFERROR(VLOOKUP(D37,'Master List'!D:H,4,FALSE),"NA")</f>
        <v>430203</v>
      </c>
      <c r="H37" s="39" t="str">
        <f>IFERROR(VLOOKUP(D37,'Master List'!D:H,5,FALSE),"NA")</f>
        <v>Fire Science/Fire-fighting.</v>
      </c>
      <c r="I37" s="19"/>
      <c r="J37" s="20"/>
      <c r="K37" s="20"/>
      <c r="L37" s="21"/>
    </row>
    <row r="38" spans="1:12" x14ac:dyDescent="0.3">
      <c r="A38" s="33">
        <v>12</v>
      </c>
      <c r="B38" s="33" t="s">
        <v>2158</v>
      </c>
      <c r="C38" s="34" t="s">
        <v>856</v>
      </c>
      <c r="D38" s="51" t="s">
        <v>485</v>
      </c>
      <c r="E38" s="61" t="str">
        <f>IFERROR(VLOOKUP(D38,'Master List'!D:H,2,FALSE),"NA")</f>
        <v>430203</v>
      </c>
      <c r="F38" s="62" t="str">
        <f>IFERROR(VLOOKUP(D38,'Master List'!D:H,3,FALSE),"NA")</f>
        <v>430203</v>
      </c>
      <c r="G38" s="58" t="str">
        <f>IFERROR(VLOOKUP(D38,'Master List'!D:H,4,FALSE),"NA")</f>
        <v>430203</v>
      </c>
      <c r="H38" s="39" t="str">
        <f>IFERROR(VLOOKUP(D38,'Master List'!D:H,5,FALSE),"NA")</f>
        <v>Fire Science/Fire-fighting.</v>
      </c>
      <c r="I38" s="19"/>
      <c r="J38" s="20"/>
      <c r="K38" s="20"/>
      <c r="L38" s="21"/>
    </row>
    <row r="39" spans="1:12" x14ac:dyDescent="0.3">
      <c r="A39" s="33">
        <v>12</v>
      </c>
      <c r="B39" s="33" t="s">
        <v>2158</v>
      </c>
      <c r="C39" s="34" t="s">
        <v>856</v>
      </c>
      <c r="D39" s="51" t="s">
        <v>523</v>
      </c>
      <c r="E39" s="61" t="str">
        <f>IFERROR(VLOOKUP(D39,'Master List'!D:H,2,FALSE),"NA")</f>
        <v>010101</v>
      </c>
      <c r="F39" s="62" t="str">
        <f>IFERROR(VLOOKUP(D39,'Master List'!D:H,3,FALSE),"NA")</f>
        <v>010101</v>
      </c>
      <c r="G39" s="58" t="str">
        <f>IFERROR(VLOOKUP(D39,'Master List'!D:H,4,FALSE),"NA")</f>
        <v>010101</v>
      </c>
      <c r="H39" s="39" t="str">
        <f>IFERROR(VLOOKUP(D39,'Master List'!D:H,5,FALSE),"NA")</f>
        <v>Agricultural Business and Management, General.</v>
      </c>
      <c r="I39" s="19"/>
      <c r="J39" s="20"/>
      <c r="K39" s="20"/>
      <c r="L39" s="21"/>
    </row>
    <row r="40" spans="1:12" x14ac:dyDescent="0.3">
      <c r="A40" s="33">
        <v>12</v>
      </c>
      <c r="B40" s="33" t="s">
        <v>2158</v>
      </c>
      <c r="C40" s="34" t="s">
        <v>856</v>
      </c>
      <c r="D40" s="51" t="s">
        <v>325</v>
      </c>
      <c r="E40" s="61" t="str">
        <f>IFERROR(VLOOKUP(D40,'Master List'!D:H,2,FALSE),"NA")</f>
        <v>510707</v>
      </c>
      <c r="F40" s="62" t="str">
        <f>IFERROR(VLOOKUP(D40,'Master List'!D:H,3,FALSE),"NA")</f>
        <v>510707</v>
      </c>
      <c r="G40" s="58" t="str">
        <f>IFERROR(VLOOKUP(D40,'Master List'!D:H,4,FALSE),"NA")</f>
        <v>510707</v>
      </c>
      <c r="H40" s="39" t="str">
        <f>IFERROR(VLOOKUP(D40,'Master List'!D:H,5,FALSE),"NA")</f>
        <v>Health Information/Medical Records Technology/Technician.</v>
      </c>
      <c r="I40" s="19"/>
      <c r="J40" s="20"/>
      <c r="K40" s="20"/>
      <c r="L40" s="21"/>
    </row>
    <row r="41" spans="1:12" x14ac:dyDescent="0.3">
      <c r="A41" s="33">
        <v>12</v>
      </c>
      <c r="B41" s="33" t="s">
        <v>2158</v>
      </c>
      <c r="C41" s="34" t="s">
        <v>856</v>
      </c>
      <c r="D41" s="51" t="s">
        <v>87</v>
      </c>
      <c r="E41" s="61" t="str">
        <f>IFERROR(VLOOKUP(D41,'Master List'!D:H,2,FALSE),"NA")</f>
        <v>510806</v>
      </c>
      <c r="F41" s="62" t="str">
        <f>IFERROR(VLOOKUP(D41,'Master List'!D:H,3,FALSE),"NA")</f>
        <v>510806</v>
      </c>
      <c r="G41" s="58" t="str">
        <f>IFERROR(VLOOKUP(D41,'Master List'!D:H,4,FALSE),"NA")</f>
        <v>510806</v>
      </c>
      <c r="H41" s="39" t="str">
        <f>IFERROR(VLOOKUP(D41,'Master List'!D:H,5,FALSE),"NA")</f>
        <v>Physical Therapy Assistant.</v>
      </c>
      <c r="I41" s="19"/>
      <c r="J41" s="20"/>
      <c r="K41" s="20"/>
      <c r="L41" s="21"/>
    </row>
    <row r="42" spans="1:12" x14ac:dyDescent="0.3">
      <c r="A42" s="33">
        <v>12</v>
      </c>
      <c r="B42" s="33" t="s">
        <v>2158</v>
      </c>
      <c r="C42" s="34" t="s">
        <v>856</v>
      </c>
      <c r="D42" s="51" t="s">
        <v>90</v>
      </c>
      <c r="E42" s="61" t="str">
        <f>IFERROR(VLOOKUP(D42,'Master List'!D:H,2,FALSE),"NA")</f>
        <v>510904</v>
      </c>
      <c r="F42" s="62" t="str">
        <f>IFERROR(VLOOKUP(D42,'Master List'!D:H,3,FALSE),"NA")</f>
        <v>510904</v>
      </c>
      <c r="G42" s="58" t="str">
        <f>IFERROR(VLOOKUP(D42,'Master List'!D:H,4,FALSE),"NA")</f>
        <v>510904</v>
      </c>
      <c r="H42" s="39" t="str">
        <f>IFERROR(VLOOKUP(D42,'Master List'!D:H,5,FALSE),"NA")</f>
        <v>Emergency Medical Technology/Technician (EMT Paramedic).</v>
      </c>
      <c r="I42" s="19"/>
      <c r="J42" s="20"/>
      <c r="K42" s="20"/>
      <c r="L42" s="21"/>
    </row>
    <row r="43" spans="1:12" x14ac:dyDescent="0.3">
      <c r="A43" s="33">
        <v>12</v>
      </c>
      <c r="B43" s="33" t="s">
        <v>2158</v>
      </c>
      <c r="C43" s="34" t="s">
        <v>856</v>
      </c>
      <c r="D43" s="51" t="s">
        <v>101</v>
      </c>
      <c r="E43" s="61" t="str">
        <f>IFERROR(VLOOKUP(D43,'Master List'!D:H,2,FALSE),"NA")</f>
        <v>513801</v>
      </c>
      <c r="F43" s="62" t="str">
        <f>IFERROR(VLOOKUP(D43,'Master List'!D:H,3,FALSE),"NA")</f>
        <v>513801</v>
      </c>
      <c r="G43" s="58" t="str">
        <f>IFERROR(VLOOKUP(D43,'Master List'!D:H,4,FALSE),"NA")</f>
        <v>513801</v>
      </c>
      <c r="H43" s="39" t="str">
        <f>IFERROR(VLOOKUP(D43,'Master List'!D:H,5,FALSE),"NA")</f>
        <v>Registered Nursing/Registered Nurse.</v>
      </c>
      <c r="I43" s="19"/>
      <c r="J43" s="20"/>
      <c r="K43" s="20"/>
      <c r="L43" s="21"/>
    </row>
    <row r="44" spans="1:12" x14ac:dyDescent="0.3">
      <c r="A44" s="33">
        <v>12</v>
      </c>
      <c r="B44" s="33" t="s">
        <v>2158</v>
      </c>
      <c r="C44" s="34" t="s">
        <v>856</v>
      </c>
      <c r="D44" s="51" t="s">
        <v>400</v>
      </c>
      <c r="E44" s="61" t="str">
        <f>IFERROR(VLOOKUP(D44,'Master List'!D:H,2,FALSE),"NA")</f>
        <v>131210</v>
      </c>
      <c r="F44" s="62" t="str">
        <f>IFERROR(VLOOKUP(D44,'Master List'!D:H,3,FALSE),"NA")</f>
        <v>131210</v>
      </c>
      <c r="G44" s="58" t="str">
        <f>IFERROR(VLOOKUP(D44,'Master List'!D:H,4,FALSE),"NA")</f>
        <v>131210</v>
      </c>
      <c r="H44" s="39" t="str">
        <f>IFERROR(VLOOKUP(D44,'Master List'!D:H,5,FALSE),"NA")</f>
        <v>Early Childhood Education and Teaching.</v>
      </c>
      <c r="I44" s="19"/>
      <c r="J44" s="20"/>
      <c r="K44" s="20"/>
      <c r="L44" s="21"/>
    </row>
    <row r="45" spans="1:12" x14ac:dyDescent="0.3">
      <c r="A45" s="33">
        <v>12</v>
      </c>
      <c r="B45" s="33" t="s">
        <v>2158</v>
      </c>
      <c r="C45" s="34" t="s">
        <v>856</v>
      </c>
      <c r="D45" s="51" t="s">
        <v>167</v>
      </c>
      <c r="E45" s="61" t="str">
        <f>IFERROR(VLOOKUP(D45,'Master List'!D:H,2,FALSE),"NA")</f>
        <v>110103</v>
      </c>
      <c r="F45" s="62" t="str">
        <f>IFERROR(VLOOKUP(D45,'Master List'!D:H,3,FALSE),"NA")</f>
        <v>110103</v>
      </c>
      <c r="G45" s="58" t="str">
        <f>IFERROR(VLOOKUP(D45,'Master List'!D:H,4,FALSE),"NA")</f>
        <v>110103</v>
      </c>
      <c r="H45" s="39" t="str">
        <f>IFERROR(VLOOKUP(D45,'Master List'!D:H,5,FALSE),"NA")</f>
        <v>Information Technology.</v>
      </c>
      <c r="I45" s="19"/>
      <c r="J45" s="20"/>
      <c r="K45" s="20"/>
      <c r="L45" s="21"/>
    </row>
    <row r="46" spans="1:12" x14ac:dyDescent="0.3">
      <c r="A46" s="33">
        <v>12</v>
      </c>
      <c r="B46" s="33" t="s">
        <v>2158</v>
      </c>
      <c r="C46" s="34" t="s">
        <v>856</v>
      </c>
      <c r="D46" s="51" t="s">
        <v>170</v>
      </c>
      <c r="E46" s="61" t="str">
        <f>IFERROR(VLOOKUP(D46,'Master List'!D:H,2,FALSE),"NA")</f>
        <v>110201</v>
      </c>
      <c r="F46" s="62" t="str">
        <f>IFERROR(VLOOKUP(D46,'Master List'!D:H,3,FALSE),"NA")</f>
        <v>110201</v>
      </c>
      <c r="G46" s="58" t="str">
        <f>IFERROR(VLOOKUP(D46,'Master List'!D:H,4,FALSE),"NA")</f>
        <v>110201</v>
      </c>
      <c r="H46" s="39" t="str">
        <f>IFERROR(VLOOKUP(D46,'Master List'!D:H,5,FALSE),"NA")</f>
        <v>Computer Programming/Programmer, General.</v>
      </c>
      <c r="I46" s="19"/>
      <c r="J46" s="20"/>
      <c r="K46" s="20"/>
      <c r="L46" s="21"/>
    </row>
    <row r="47" spans="1:12" x14ac:dyDescent="0.3">
      <c r="A47" s="33">
        <v>12</v>
      </c>
      <c r="B47" s="33" t="s">
        <v>2158</v>
      </c>
      <c r="C47" s="34" t="s">
        <v>856</v>
      </c>
      <c r="D47" s="51" t="s">
        <v>107</v>
      </c>
      <c r="E47" s="61" t="str">
        <f>IFERROR(VLOOKUP(D47,'Master List'!D:H,2,FALSE),"NA")</f>
        <v>520201</v>
      </c>
      <c r="F47" s="62" t="str">
        <f>IFERROR(VLOOKUP(D47,'Master List'!D:H,3,FALSE),"NA")</f>
        <v>520201</v>
      </c>
      <c r="G47" s="58" t="str">
        <f>IFERROR(VLOOKUP(D47,'Master List'!D:H,4,FALSE),"NA")</f>
        <v>520201</v>
      </c>
      <c r="H47" s="39" t="str">
        <f>IFERROR(VLOOKUP(D47,'Master List'!D:H,5,FALSE),"NA")</f>
        <v>Business Administration and Management, General.</v>
      </c>
      <c r="I47" s="19"/>
      <c r="J47" s="20"/>
      <c r="K47" s="20"/>
      <c r="L47" s="21"/>
    </row>
    <row r="48" spans="1:12" x14ac:dyDescent="0.3">
      <c r="A48" s="33">
        <v>12</v>
      </c>
      <c r="B48" s="33" t="s">
        <v>2158</v>
      </c>
      <c r="C48" s="34" t="s">
        <v>856</v>
      </c>
      <c r="D48" s="51" t="s">
        <v>114</v>
      </c>
      <c r="E48" s="61" t="str">
        <f>IFERROR(VLOOKUP(D48,'Master List'!D:H,2,FALSE),"NA")</f>
        <v>110801</v>
      </c>
      <c r="F48" s="62" t="str">
        <f>IFERROR(VLOOKUP(D48,'Master List'!D:H,3,FALSE),"NA")</f>
        <v>110801</v>
      </c>
      <c r="G48" s="58" t="str">
        <f>IFERROR(VLOOKUP(D48,'Master List'!D:H,4,FALSE),"NA")</f>
        <v>110801</v>
      </c>
      <c r="H48" s="39" t="str">
        <f>IFERROR(VLOOKUP(D48,'Master List'!D:H,5,FALSE),"NA")</f>
        <v>Web Page, Digital/Multimedia and Information Resources Design.</v>
      </c>
      <c r="I48" s="19"/>
      <c r="J48" s="20"/>
      <c r="K48" s="20"/>
      <c r="L48" s="21"/>
    </row>
    <row r="49" spans="1:12" x14ac:dyDescent="0.3">
      <c r="A49" s="33">
        <v>12</v>
      </c>
      <c r="B49" s="33" t="s">
        <v>2158</v>
      </c>
      <c r="C49" s="34" t="s">
        <v>856</v>
      </c>
      <c r="D49" s="51" t="s">
        <v>583</v>
      </c>
      <c r="E49" s="61" t="str">
        <f>IFERROR(VLOOKUP(D49,'Master List'!D:H,2,FALSE),"NA")</f>
        <v>110803</v>
      </c>
      <c r="F49" s="62" t="str">
        <f>IFERROR(VLOOKUP(D49,'Master List'!D:H,3,FALSE),"NA")</f>
        <v>110803</v>
      </c>
      <c r="G49" s="58" t="str">
        <f>IFERROR(VLOOKUP(D49,'Master List'!D:H,4,FALSE),"NA")</f>
        <v>110803</v>
      </c>
      <c r="H49" s="39" t="str">
        <f>IFERROR(VLOOKUP(D49,'Master List'!D:H,5,FALSE),"NA")</f>
        <v>Computer Graphics.</v>
      </c>
      <c r="I49" s="19"/>
      <c r="J49" s="20"/>
      <c r="K49" s="20"/>
      <c r="L49" s="21"/>
    </row>
    <row r="50" spans="1:12" x14ac:dyDescent="0.3">
      <c r="A50" s="33">
        <v>12</v>
      </c>
      <c r="B50" s="33" t="s">
        <v>2158</v>
      </c>
      <c r="C50" s="34" t="s">
        <v>856</v>
      </c>
      <c r="D50" s="51" t="s">
        <v>371</v>
      </c>
      <c r="E50" s="61" t="str">
        <f>IFERROR(VLOOKUP(D50,'Master List'!D:H,2,FALSE),"NA")</f>
        <v>520209</v>
      </c>
      <c r="F50" s="62" t="str">
        <f>IFERROR(VLOOKUP(D50,'Master List'!D:H,3,FALSE),"NA")</f>
        <v>520209</v>
      </c>
      <c r="G50" s="58" t="str">
        <f>IFERROR(VLOOKUP(D50,'Master List'!D:H,4,FALSE),"NA")</f>
        <v>520209</v>
      </c>
      <c r="H50" s="39" t="str">
        <f>IFERROR(VLOOKUP(D50,'Master List'!D:H,5,FALSE),"NA")</f>
        <v>Transportation/Mobility Management.</v>
      </c>
      <c r="I50" s="19"/>
      <c r="J50" s="20"/>
      <c r="K50" s="20"/>
      <c r="L50" s="21"/>
    </row>
    <row r="51" spans="1:12" x14ac:dyDescent="0.3">
      <c r="A51" s="33">
        <v>12</v>
      </c>
      <c r="B51" s="33" t="s">
        <v>2158</v>
      </c>
      <c r="C51" s="34" t="s">
        <v>856</v>
      </c>
      <c r="D51" s="51" t="s">
        <v>372</v>
      </c>
      <c r="E51" s="61" t="str">
        <f>IFERROR(VLOOKUP(D51,'Master List'!D:H,2,FALSE),"NA")</f>
        <v>030104</v>
      </c>
      <c r="F51" s="62" t="str">
        <f>IFERROR(VLOOKUP(D51,'Master List'!D:H,3,FALSE),"NA")</f>
        <v>030104</v>
      </c>
      <c r="G51" s="58" t="str">
        <f>IFERROR(VLOOKUP(D51,'Master List'!D:H,4,FALSE),"NA")</f>
        <v>030104</v>
      </c>
      <c r="H51" s="39" t="str">
        <f>IFERROR(VLOOKUP(D51,'Master List'!D:H,5,FALSE),"NA")</f>
        <v>Environmental Science.</v>
      </c>
      <c r="I51" s="19"/>
      <c r="J51" s="20"/>
      <c r="K51" s="20"/>
      <c r="L51" s="21"/>
    </row>
    <row r="52" spans="1:12" x14ac:dyDescent="0.3">
      <c r="A52" s="33">
        <v>12</v>
      </c>
      <c r="B52" s="33" t="s">
        <v>2158</v>
      </c>
      <c r="C52" s="34" t="s">
        <v>856</v>
      </c>
      <c r="D52" s="51" t="s">
        <v>374</v>
      </c>
      <c r="E52" s="61" t="str">
        <f>IFERROR(VLOOKUP(D52,'Master List'!D:H,2,FALSE),"NA")</f>
        <v>NA</v>
      </c>
      <c r="F52" s="62" t="str">
        <f>IFERROR(VLOOKUP(D52,'Master List'!D:H,3,FALSE),"NA")</f>
        <v>NA</v>
      </c>
      <c r="G52" s="58" t="str">
        <f>IFERROR(VLOOKUP(D52,'Master List'!D:H,4,FALSE),"NA")</f>
        <v>NA</v>
      </c>
      <c r="H52" s="39" t="str">
        <f>IFERROR(VLOOKUP(D52,'Master List'!D:H,5,FALSE),"NA")</f>
        <v>NA</v>
      </c>
      <c r="I52" s="19"/>
      <c r="J52" s="20"/>
      <c r="K52" s="20"/>
      <c r="L52" s="21"/>
    </row>
    <row r="53" spans="1:12" x14ac:dyDescent="0.3">
      <c r="A53" s="33">
        <v>12</v>
      </c>
      <c r="B53" s="33" t="s">
        <v>2158</v>
      </c>
      <c r="C53" s="34" t="s">
        <v>856</v>
      </c>
      <c r="D53" s="51" t="s">
        <v>128</v>
      </c>
      <c r="E53" s="61" t="str">
        <f>IFERROR(VLOOKUP(D53,'Master List'!D:H,2,FALSE),"NA")</f>
        <v>430103</v>
      </c>
      <c r="F53" s="62" t="str">
        <f>IFERROR(VLOOKUP(D53,'Master List'!D:H,3,FALSE),"NA")</f>
        <v>430103</v>
      </c>
      <c r="G53" s="58" t="str">
        <f>IFERROR(VLOOKUP(D53,'Master List'!D:H,4,FALSE),"NA")</f>
        <v>430103</v>
      </c>
      <c r="H53" s="39" t="str">
        <f>IFERROR(VLOOKUP(D53,'Master List'!D:H,5,FALSE),"NA")</f>
        <v>Criminal Justice/Law Enforcement Administration.</v>
      </c>
      <c r="I53" s="19"/>
      <c r="J53" s="20"/>
      <c r="K53" s="20"/>
      <c r="L53" s="21"/>
    </row>
  </sheetData>
  <sheetProtection algorithmName="SHA-512" hashValue="rOD4zp23Qo/ci7FMOMMOl9V9vQ+G6JqB69nHX7ucal/Y1ehAsd1RXRygGGxITBjpVBM+QY9/WqxCx9iD9dYlVQ==" saltValue="ivJPfc0QHrOWsFSCLALczA==" spinCount="100000" sheet="1" objects="1" scenarios="1" sort="0" autoFilter="0"/>
  <autoFilter ref="A2:L53"/>
  <mergeCells count="3">
    <mergeCell ref="A1:D1"/>
    <mergeCell ref="E1:H1"/>
    <mergeCell ref="I1:L1"/>
  </mergeCells>
  <dataValidations count="1">
    <dataValidation type="list" allowBlank="1" showInputMessage="1" showErrorMessage="1" sqref="I3:I53">
      <formula1>"Agree,Disagree"</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76.9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13</v>
      </c>
      <c r="B3" s="33" t="s">
        <v>2159</v>
      </c>
      <c r="C3" s="34" t="s">
        <v>853</v>
      </c>
      <c r="D3" s="51" t="s">
        <v>195</v>
      </c>
      <c r="E3" s="61" t="str">
        <f>IFERROR(VLOOKUP(D3,'Master List'!D:H,2,FALSE),"NA")</f>
        <v>510707</v>
      </c>
      <c r="F3" s="62" t="str">
        <f>IFERROR(VLOOKUP(D3,'Master List'!D:H,3,FALSE),"NA")</f>
        <v>510707</v>
      </c>
      <c r="G3" s="58" t="str">
        <f>IFERROR(VLOOKUP(D3,'Master List'!D:H,4,FALSE),"NA")</f>
        <v>510707</v>
      </c>
      <c r="H3" s="39" t="str">
        <f>IFERROR(VLOOKUP(D3,'Master List'!D:H,5,FALSE),"NA")</f>
        <v>Health Information/Medical Records Technology/Technician.</v>
      </c>
      <c r="I3" s="19"/>
      <c r="J3" s="20"/>
      <c r="K3" s="20"/>
      <c r="L3" s="21"/>
    </row>
    <row r="4" spans="1:12" x14ac:dyDescent="0.3">
      <c r="A4" s="33">
        <v>13</v>
      </c>
      <c r="B4" s="33" t="s">
        <v>2159</v>
      </c>
      <c r="C4" s="34" t="s">
        <v>853</v>
      </c>
      <c r="D4" s="51" t="s">
        <v>198</v>
      </c>
      <c r="E4" s="61" t="str">
        <f>IFERROR(VLOOKUP(D4,'Master List'!D:H,2,FALSE),"NA")</f>
        <v>510707</v>
      </c>
      <c r="F4" s="62" t="str">
        <f>IFERROR(VLOOKUP(D4,'Master List'!D:H,3,FALSE),"NA")</f>
        <v>510707</v>
      </c>
      <c r="G4" s="58">
        <f>IFERROR(VLOOKUP(D4,'Master List'!D:H,4,FALSE),"NA")</f>
        <v>510714</v>
      </c>
      <c r="H4" s="39" t="str">
        <f>IFERROR(VLOOKUP(D4,'Master List'!D:H,5,FALSE),"NA")</f>
        <v>Medical Insurance Specialist/Medical Biller</v>
      </c>
      <c r="I4" s="19"/>
      <c r="J4" s="20"/>
      <c r="K4" s="20"/>
      <c r="L4" s="21"/>
    </row>
    <row r="5" spans="1:12" x14ac:dyDescent="0.3">
      <c r="A5" s="33">
        <v>13</v>
      </c>
      <c r="B5" s="33" t="s">
        <v>2159</v>
      </c>
      <c r="C5" s="34" t="s">
        <v>853</v>
      </c>
      <c r="D5" s="51" t="s">
        <v>218</v>
      </c>
      <c r="E5" s="61" t="str">
        <f>IFERROR(VLOOKUP(D5,'Master List'!D:H,2,FALSE),"NA")</f>
        <v>110103</v>
      </c>
      <c r="F5" s="62" t="str">
        <f>IFERROR(VLOOKUP(D5,'Master List'!D:H,3,FALSE),"NA")</f>
        <v>110103</v>
      </c>
      <c r="G5" s="58" t="str">
        <f>IFERROR(VLOOKUP(D5,'Master List'!D:H,4,FALSE),"NA")</f>
        <v>110103</v>
      </c>
      <c r="H5" s="39" t="str">
        <f>IFERROR(VLOOKUP(D5,'Master List'!D:H,5,FALSE),"NA")</f>
        <v>Information Technology.</v>
      </c>
      <c r="I5" s="19"/>
      <c r="J5" s="20"/>
      <c r="K5" s="20"/>
      <c r="L5" s="21"/>
    </row>
    <row r="6" spans="1:12" x14ac:dyDescent="0.3">
      <c r="A6" s="33">
        <v>13</v>
      </c>
      <c r="B6" s="33" t="s">
        <v>2159</v>
      </c>
      <c r="C6" s="34" t="s">
        <v>853</v>
      </c>
      <c r="D6" s="51" t="s">
        <v>502</v>
      </c>
      <c r="E6" s="61" t="str">
        <f>IFERROR(VLOOKUP(D6,'Master List'!D:H,2,FALSE),"NA")</f>
        <v>110103</v>
      </c>
      <c r="F6" s="62" t="str">
        <f>IFERROR(VLOOKUP(D6,'Master List'!D:H,3,FALSE),"NA")</f>
        <v>110103</v>
      </c>
      <c r="G6" s="58" t="str">
        <f>IFERROR(VLOOKUP(D6,'Master List'!D:H,4,FALSE),"NA")</f>
        <v>110103</v>
      </c>
      <c r="H6" s="39" t="str">
        <f>IFERROR(VLOOKUP(D6,'Master List'!D:H,5,FALSE),"NA")</f>
        <v>Information Technology.</v>
      </c>
      <c r="I6" s="19"/>
      <c r="J6" s="20"/>
      <c r="K6" s="20"/>
      <c r="L6" s="21"/>
    </row>
    <row r="7" spans="1:12" x14ac:dyDescent="0.3">
      <c r="A7" s="33">
        <v>13</v>
      </c>
      <c r="B7" s="33" t="s">
        <v>2159</v>
      </c>
      <c r="C7" s="34" t="s">
        <v>853</v>
      </c>
      <c r="D7" s="51" t="s">
        <v>221</v>
      </c>
      <c r="E7" s="61" t="str">
        <f>IFERROR(VLOOKUP(D7,'Master List'!D:H,2,FALSE),"NA")</f>
        <v>111001</v>
      </c>
      <c r="F7" s="62" t="str">
        <f>IFERROR(VLOOKUP(D7,'Master List'!D:H,3,FALSE),"NA")</f>
        <v>111001</v>
      </c>
      <c r="G7" s="58" t="str">
        <f>IFERROR(VLOOKUP(D7,'Master List'!D:H,4,FALSE),"NA")</f>
        <v>111001</v>
      </c>
      <c r="H7" s="39" t="str">
        <f>IFERROR(VLOOKUP(D7,'Master List'!D:H,5,FALSE),"NA")</f>
        <v>Network and System Administration/Administrator.</v>
      </c>
      <c r="I7" s="19"/>
      <c r="J7" s="20"/>
      <c r="K7" s="20"/>
      <c r="L7" s="21"/>
    </row>
    <row r="8" spans="1:12" x14ac:dyDescent="0.3">
      <c r="A8" s="33">
        <v>13</v>
      </c>
      <c r="B8" s="33" t="s">
        <v>2159</v>
      </c>
      <c r="C8" s="34" t="s">
        <v>853</v>
      </c>
      <c r="D8" s="51" t="s">
        <v>422</v>
      </c>
      <c r="E8" s="61" t="str">
        <f>IFERROR(VLOOKUP(D8,'Master List'!D:H,2,FALSE),"NA")</f>
        <v>510716</v>
      </c>
      <c r="F8" s="62" t="str">
        <f>IFERROR(VLOOKUP(D8,'Master List'!D:H,3,FALSE),"NA")</f>
        <v>510716</v>
      </c>
      <c r="G8" s="58">
        <f>IFERROR(VLOOKUP(D8,'Master List'!D:H,4,FALSE),"NA")</f>
        <v>510705</v>
      </c>
      <c r="H8" s="39" t="str">
        <f>IFERROR(VLOOKUP(D8,'Master List'!D:H,5,FALSE),"NA")</f>
        <v>Medical Office Management/Administration</v>
      </c>
      <c r="I8" s="19"/>
      <c r="J8" s="20"/>
      <c r="K8" s="20"/>
      <c r="L8" s="21"/>
    </row>
    <row r="9" spans="1:12" x14ac:dyDescent="0.3">
      <c r="A9" s="33">
        <v>13</v>
      </c>
      <c r="B9" s="33" t="s">
        <v>2159</v>
      </c>
      <c r="C9" s="34" t="s">
        <v>853</v>
      </c>
      <c r="D9" s="51" t="s">
        <v>153</v>
      </c>
      <c r="E9" s="61" t="str">
        <f>IFERROR(VLOOKUP(D9,'Master List'!D:H,2,FALSE),"NA")</f>
        <v>520201</v>
      </c>
      <c r="F9" s="62" t="str">
        <f>IFERROR(VLOOKUP(D9,'Master List'!D:H,3,FALSE),"NA")</f>
        <v>520201</v>
      </c>
      <c r="G9" s="58" t="str">
        <f>IFERROR(VLOOKUP(D9,'Master List'!D:H,4,FALSE),"NA")</f>
        <v>520201</v>
      </c>
      <c r="H9" s="39" t="str">
        <f>IFERROR(VLOOKUP(D9,'Master List'!D:H,5,FALSE),"NA")</f>
        <v>Business Administration and Management, General.</v>
      </c>
      <c r="I9" s="19"/>
      <c r="J9" s="20"/>
      <c r="K9" s="20"/>
      <c r="L9" s="21"/>
    </row>
    <row r="10" spans="1:12" x14ac:dyDescent="0.3">
      <c r="A10" s="33">
        <v>13</v>
      </c>
      <c r="B10" s="33" t="s">
        <v>2159</v>
      </c>
      <c r="C10" s="34" t="s">
        <v>853</v>
      </c>
      <c r="D10" s="51" t="s">
        <v>154</v>
      </c>
      <c r="E10" s="61" t="str">
        <f>IFERROR(VLOOKUP(D10,'Master List'!D:H,2,FALSE),"NA")</f>
        <v>520201</v>
      </c>
      <c r="F10" s="62" t="str">
        <f>IFERROR(VLOOKUP(D10,'Master List'!D:H,3,FALSE),"NA")</f>
        <v>520201</v>
      </c>
      <c r="G10" s="58" t="str">
        <f>IFERROR(VLOOKUP(D10,'Master List'!D:H,4,FALSE),"NA")</f>
        <v>520201</v>
      </c>
      <c r="H10" s="39" t="str">
        <f>IFERROR(VLOOKUP(D10,'Master List'!D:H,5,FALSE),"NA")</f>
        <v>Business Administration and Management, General.</v>
      </c>
      <c r="I10" s="19"/>
      <c r="J10" s="20"/>
      <c r="K10" s="20"/>
      <c r="L10" s="21"/>
    </row>
    <row r="11" spans="1:12" x14ac:dyDescent="0.3">
      <c r="A11" s="33">
        <v>13</v>
      </c>
      <c r="B11" s="33" t="s">
        <v>2159</v>
      </c>
      <c r="C11" s="34" t="s">
        <v>853</v>
      </c>
      <c r="D11" s="51" t="s">
        <v>229</v>
      </c>
      <c r="E11" s="61" t="str">
        <f>IFERROR(VLOOKUP(D11,'Master List'!D:H,2,FALSE),"NA")</f>
        <v>520407</v>
      </c>
      <c r="F11" s="62" t="str">
        <f>IFERROR(VLOOKUP(D11,'Master List'!D:H,3,FALSE),"NA")</f>
        <v>520407</v>
      </c>
      <c r="G11" s="58" t="str">
        <f>IFERROR(VLOOKUP(D11,'Master List'!D:H,4,FALSE),"NA")</f>
        <v>520407</v>
      </c>
      <c r="H11" s="39" t="str">
        <f>IFERROR(VLOOKUP(D11,'Master List'!D:H,5,FALSE),"NA")</f>
        <v>Business/Office Automation/Technology/Data Entry.</v>
      </c>
      <c r="I11" s="19"/>
      <c r="J11" s="20"/>
      <c r="K11" s="20"/>
      <c r="L11" s="21"/>
    </row>
    <row r="12" spans="1:12" x14ac:dyDescent="0.3">
      <c r="A12" s="33">
        <v>13</v>
      </c>
      <c r="B12" s="33" t="s">
        <v>2159</v>
      </c>
      <c r="C12" s="34" t="s">
        <v>853</v>
      </c>
      <c r="D12" s="51" t="s">
        <v>232</v>
      </c>
      <c r="E12" s="61" t="str">
        <f>IFERROR(VLOOKUP(D12,'Master List'!D:H,2,FALSE),"NA")</f>
        <v>520701</v>
      </c>
      <c r="F12" s="62" t="str">
        <f>IFERROR(VLOOKUP(D12,'Master List'!D:H,3,FALSE),"NA")</f>
        <v>520701</v>
      </c>
      <c r="G12" s="58" t="str">
        <f>IFERROR(VLOOKUP(D12,'Master List'!D:H,4,FALSE),"NA")</f>
        <v>520701</v>
      </c>
      <c r="H12" s="39" t="str">
        <f>IFERROR(VLOOKUP(D12,'Master List'!D:H,5,FALSE),"NA")</f>
        <v>Entrepreneurship/Entrepreneurial Studies.</v>
      </c>
      <c r="I12" s="19"/>
      <c r="J12" s="20"/>
      <c r="K12" s="20"/>
      <c r="L12" s="21"/>
    </row>
    <row r="13" spans="1:12" x14ac:dyDescent="0.3">
      <c r="A13" s="33">
        <v>13</v>
      </c>
      <c r="B13" s="33" t="s">
        <v>2159</v>
      </c>
      <c r="C13" s="34" t="s">
        <v>853</v>
      </c>
      <c r="D13" s="51" t="s">
        <v>394</v>
      </c>
      <c r="E13" s="61" t="str">
        <f>IFERROR(VLOOKUP(D13,'Master List'!D:H,2,FALSE),"NA")</f>
        <v>520703</v>
      </c>
      <c r="F13" s="62" t="str">
        <f>IFERROR(VLOOKUP(D13,'Master List'!D:H,3,FALSE),"NA")</f>
        <v>520703</v>
      </c>
      <c r="G13" s="58" t="str">
        <f>IFERROR(VLOOKUP(D13,'Master List'!D:H,4,FALSE),"NA")</f>
        <v>520703</v>
      </c>
      <c r="H13" s="39" t="str">
        <f>IFERROR(VLOOKUP(D13,'Master List'!D:H,5,FALSE),"NA")</f>
        <v>Small Business Administration/Management.</v>
      </c>
      <c r="I13" s="19"/>
      <c r="J13" s="20"/>
      <c r="K13" s="20"/>
      <c r="L13" s="21"/>
    </row>
    <row r="14" spans="1:12" x14ac:dyDescent="0.3">
      <c r="A14" s="33">
        <v>13</v>
      </c>
      <c r="B14" s="33" t="s">
        <v>2159</v>
      </c>
      <c r="C14" s="34" t="s">
        <v>853</v>
      </c>
      <c r="D14" s="51" t="s">
        <v>246</v>
      </c>
      <c r="E14" s="61" t="str">
        <f>IFERROR(VLOOKUP(D14,'Master List'!D:H,2,FALSE),"NA")</f>
        <v>150000</v>
      </c>
      <c r="F14" s="62" t="str">
        <f>IFERROR(VLOOKUP(D14,'Master List'!D:H,3,FALSE),"NA")</f>
        <v>150000</v>
      </c>
      <c r="G14" s="58" t="str">
        <f>IFERROR(VLOOKUP(D14,'Master List'!D:H,4,FALSE),"NA")</f>
        <v>150000</v>
      </c>
      <c r="H14" s="39" t="str">
        <f>IFERROR(VLOOKUP(D14,'Master List'!D:H,5,FALSE),"NA")</f>
        <v>Engineering Technologies/Technicians, General.</v>
      </c>
      <c r="I14" s="19"/>
      <c r="J14" s="20"/>
      <c r="K14" s="20"/>
      <c r="L14" s="21"/>
    </row>
    <row r="15" spans="1:12" x14ac:dyDescent="0.3">
      <c r="A15" s="33">
        <v>13</v>
      </c>
      <c r="B15" s="33" t="s">
        <v>2159</v>
      </c>
      <c r="C15" s="34" t="s">
        <v>853</v>
      </c>
      <c r="D15" s="51" t="s">
        <v>268</v>
      </c>
      <c r="E15" s="61" t="str">
        <f>IFERROR(VLOOKUP(D15,'Master List'!D:H,2,FALSE),"NA")</f>
        <v>410301</v>
      </c>
      <c r="F15" s="62" t="str">
        <f>IFERROR(VLOOKUP(D15,'Master List'!D:H,3,FALSE),"NA")</f>
        <v>410301</v>
      </c>
      <c r="G15" s="58" t="str">
        <f>IFERROR(VLOOKUP(D15,'Master List'!D:H,4,FALSE),"NA")</f>
        <v>410301</v>
      </c>
      <c r="H15" s="39" t="str">
        <f>IFERROR(VLOOKUP(D15,'Master List'!D:H,5,FALSE),"NA")</f>
        <v>Chemical Technology/Technician.</v>
      </c>
      <c r="I15" s="19"/>
      <c r="J15" s="20"/>
      <c r="K15" s="20"/>
      <c r="L15" s="21"/>
    </row>
    <row r="16" spans="1:12" x14ac:dyDescent="0.3">
      <c r="A16" s="33">
        <v>13</v>
      </c>
      <c r="B16" s="33" t="s">
        <v>2159</v>
      </c>
      <c r="C16" s="34" t="s">
        <v>853</v>
      </c>
      <c r="D16" s="51" t="s">
        <v>271</v>
      </c>
      <c r="E16" s="61" t="str">
        <f>IFERROR(VLOOKUP(D16,'Master List'!D:H,2,FALSE),"NA")</f>
        <v>410301</v>
      </c>
      <c r="F16" s="62" t="str">
        <f>IFERROR(VLOOKUP(D16,'Master List'!D:H,3,FALSE),"NA")</f>
        <v>410301</v>
      </c>
      <c r="G16" s="58" t="str">
        <f>IFERROR(VLOOKUP(D16,'Master List'!D:H,4,FALSE),"NA")</f>
        <v>410301</v>
      </c>
      <c r="H16" s="39" t="str">
        <f>IFERROR(VLOOKUP(D16,'Master List'!D:H,5,FALSE),"NA")</f>
        <v>Chemical Technology/Technician.</v>
      </c>
      <c r="I16" s="19"/>
      <c r="J16" s="20"/>
      <c r="K16" s="20"/>
      <c r="L16" s="21"/>
    </row>
    <row r="17" spans="1:12" x14ac:dyDescent="0.3">
      <c r="A17" s="33">
        <v>13</v>
      </c>
      <c r="B17" s="33" t="s">
        <v>2159</v>
      </c>
      <c r="C17" s="34" t="s">
        <v>853</v>
      </c>
      <c r="D17" s="51" t="s">
        <v>854</v>
      </c>
      <c r="E17" s="61" t="str">
        <f>IFERROR(VLOOKUP(D17,'Master List'!D:H,2,FALSE),"NA")</f>
        <v>460301</v>
      </c>
      <c r="F17" s="62" t="str">
        <f>IFERROR(VLOOKUP(D17,'Master List'!D:H,3,FALSE),"NA")</f>
        <v>460301</v>
      </c>
      <c r="G17" s="58">
        <f>IFERROR(VLOOKUP(D17,'Master List'!D:H,4,FALSE),"NA")</f>
        <v>460303</v>
      </c>
      <c r="H17" s="39" t="str">
        <f>IFERROR(VLOOKUP(D17,'Master List'!D:H,5,FALSE),"NA")</f>
        <v>Lineworker</v>
      </c>
      <c r="I17" s="19"/>
      <c r="J17" s="20"/>
      <c r="K17" s="20"/>
      <c r="L17" s="21"/>
    </row>
    <row r="18" spans="1:12" x14ac:dyDescent="0.3">
      <c r="A18" s="33">
        <v>13</v>
      </c>
      <c r="B18" s="33" t="s">
        <v>2159</v>
      </c>
      <c r="C18" s="34" t="s">
        <v>853</v>
      </c>
      <c r="D18" s="51" t="s">
        <v>700</v>
      </c>
      <c r="E18" s="61" t="str">
        <f>IFERROR(VLOOKUP(D18,'Master List'!D:H,2,FALSE),"NA")</f>
        <v>460301</v>
      </c>
      <c r="F18" s="62" t="str">
        <f>IFERROR(VLOOKUP(D18,'Master List'!D:H,3,FALSE),"NA")</f>
        <v>460301</v>
      </c>
      <c r="G18" s="58">
        <f>IFERROR(VLOOKUP(D18,'Master List'!D:H,4,FALSE),"NA")</f>
        <v>460303</v>
      </c>
      <c r="H18" s="39" t="str">
        <f>IFERROR(VLOOKUP(D18,'Master List'!D:H,5,FALSE),"NA")</f>
        <v>Lineworker</v>
      </c>
      <c r="I18" s="19"/>
      <c r="J18" s="20"/>
      <c r="K18" s="20"/>
      <c r="L18" s="21"/>
    </row>
    <row r="19" spans="1:12" x14ac:dyDescent="0.3">
      <c r="A19" s="33">
        <v>13</v>
      </c>
      <c r="B19" s="33" t="s">
        <v>2159</v>
      </c>
      <c r="C19" s="34" t="s">
        <v>853</v>
      </c>
      <c r="D19" s="51" t="s">
        <v>855</v>
      </c>
      <c r="E19" s="61" t="str">
        <f>IFERROR(VLOOKUP(D19,'Master List'!D:H,2,FALSE),"NA")</f>
        <v>460303</v>
      </c>
      <c r="F19" s="62" t="str">
        <f>IFERROR(VLOOKUP(D19,'Master List'!D:H,3,FALSE),"NA")</f>
        <v>460303</v>
      </c>
      <c r="G19" s="58" t="str">
        <f>IFERROR(VLOOKUP(D19,'Master List'!D:H,4,FALSE),"NA")</f>
        <v>460303</v>
      </c>
      <c r="H19" s="39" t="str">
        <f>IFERROR(VLOOKUP(D19,'Master List'!D:H,5,FALSE),"NA")</f>
        <v>Lineworker.</v>
      </c>
      <c r="I19" s="19"/>
      <c r="J19" s="20"/>
      <c r="K19" s="20"/>
      <c r="L19" s="21"/>
    </row>
    <row r="20" spans="1:12" x14ac:dyDescent="0.3">
      <c r="A20" s="33">
        <v>13</v>
      </c>
      <c r="B20" s="33" t="s">
        <v>2159</v>
      </c>
      <c r="C20" s="34" t="s">
        <v>853</v>
      </c>
      <c r="D20" s="51" t="s">
        <v>316</v>
      </c>
      <c r="E20" s="61" t="str">
        <f>IFERROR(VLOOKUP(D20,'Master List'!D:H,2,FALSE),"NA")</f>
        <v>430103</v>
      </c>
      <c r="F20" s="62" t="str">
        <f>IFERROR(VLOOKUP(D20,'Master List'!D:H,3,FALSE),"NA")</f>
        <v>430103</v>
      </c>
      <c r="G20" s="58" t="str">
        <f>IFERROR(VLOOKUP(D20,'Master List'!D:H,4,FALSE),"NA")</f>
        <v>430103</v>
      </c>
      <c r="H20" s="39" t="str">
        <f>IFERROR(VLOOKUP(D20,'Master List'!D:H,5,FALSE),"NA")</f>
        <v>Criminal Justice/Law Enforcement Administration.</v>
      </c>
      <c r="I20" s="19"/>
      <c r="J20" s="20"/>
      <c r="K20" s="20"/>
      <c r="L20" s="21"/>
    </row>
    <row r="21" spans="1:12" x14ac:dyDescent="0.3">
      <c r="A21" s="33">
        <v>13</v>
      </c>
      <c r="B21" s="33" t="s">
        <v>2159</v>
      </c>
      <c r="C21" s="34" t="s">
        <v>853</v>
      </c>
      <c r="D21" s="51" t="s">
        <v>325</v>
      </c>
      <c r="E21" s="61" t="str">
        <f>IFERROR(VLOOKUP(D21,'Master List'!D:H,2,FALSE),"NA")</f>
        <v>510707</v>
      </c>
      <c r="F21" s="62" t="str">
        <f>IFERROR(VLOOKUP(D21,'Master List'!D:H,3,FALSE),"NA")</f>
        <v>510707</v>
      </c>
      <c r="G21" s="58" t="str">
        <f>IFERROR(VLOOKUP(D21,'Master List'!D:H,4,FALSE),"NA")</f>
        <v>510707</v>
      </c>
      <c r="H21" s="39" t="str">
        <f>IFERROR(VLOOKUP(D21,'Master List'!D:H,5,FALSE),"NA")</f>
        <v>Health Information/Medical Records Technology/Technician.</v>
      </c>
      <c r="I21" s="19"/>
      <c r="J21" s="20"/>
      <c r="K21" s="20"/>
      <c r="L21" s="21"/>
    </row>
    <row r="22" spans="1:12" x14ac:dyDescent="0.3">
      <c r="A22" s="33">
        <v>13</v>
      </c>
      <c r="B22" s="33" t="s">
        <v>2159</v>
      </c>
      <c r="C22" s="34" t="s">
        <v>853</v>
      </c>
      <c r="D22" s="51" t="s">
        <v>101</v>
      </c>
      <c r="E22" s="61" t="str">
        <f>IFERROR(VLOOKUP(D22,'Master List'!D:H,2,FALSE),"NA")</f>
        <v>513801</v>
      </c>
      <c r="F22" s="62" t="str">
        <f>IFERROR(VLOOKUP(D22,'Master List'!D:H,3,FALSE),"NA")</f>
        <v>513801</v>
      </c>
      <c r="G22" s="58" t="str">
        <f>IFERROR(VLOOKUP(D22,'Master List'!D:H,4,FALSE),"NA")</f>
        <v>513801</v>
      </c>
      <c r="H22" s="39" t="str">
        <f>IFERROR(VLOOKUP(D22,'Master List'!D:H,5,FALSE),"NA")</f>
        <v>Registered Nursing/Registered Nurse.</v>
      </c>
      <c r="I22" s="19"/>
      <c r="J22" s="20"/>
      <c r="K22" s="20"/>
      <c r="L22" s="21"/>
    </row>
    <row r="23" spans="1:12" x14ac:dyDescent="0.3">
      <c r="A23" s="33">
        <v>13</v>
      </c>
      <c r="B23" s="33" t="s">
        <v>2159</v>
      </c>
      <c r="C23" s="34" t="s">
        <v>853</v>
      </c>
      <c r="D23" s="51" t="s">
        <v>342</v>
      </c>
      <c r="E23" s="61" t="str">
        <f>IFERROR(VLOOKUP(D23,'Master List'!D:H,2,FALSE),"NA")</f>
        <v>190708</v>
      </c>
      <c r="F23" s="62" t="str">
        <f>IFERROR(VLOOKUP(D23,'Master List'!D:H,3,FALSE),"NA")</f>
        <v>190708</v>
      </c>
      <c r="G23" s="58" t="str">
        <f>IFERROR(VLOOKUP(D23,'Master List'!D:H,4,FALSE),"NA")</f>
        <v>190708</v>
      </c>
      <c r="H23" s="39" t="str">
        <f>IFERROR(VLOOKUP(D23,'Master List'!D:H,5,FALSE),"NA")</f>
        <v>Child Care and Support Services Management.</v>
      </c>
      <c r="I23" s="19"/>
      <c r="J23" s="20"/>
      <c r="K23" s="20"/>
      <c r="L23" s="21"/>
    </row>
    <row r="24" spans="1:12" x14ac:dyDescent="0.3">
      <c r="A24" s="33">
        <v>13</v>
      </c>
      <c r="B24" s="33" t="s">
        <v>2159</v>
      </c>
      <c r="C24" s="34" t="s">
        <v>853</v>
      </c>
      <c r="D24" s="51" t="s">
        <v>167</v>
      </c>
      <c r="E24" s="61" t="str">
        <f>IFERROR(VLOOKUP(D24,'Master List'!D:H,2,FALSE),"NA")</f>
        <v>110103</v>
      </c>
      <c r="F24" s="62" t="str">
        <f>IFERROR(VLOOKUP(D24,'Master List'!D:H,3,FALSE),"NA")</f>
        <v>110103</v>
      </c>
      <c r="G24" s="58" t="str">
        <f>IFERROR(VLOOKUP(D24,'Master List'!D:H,4,FALSE),"NA")</f>
        <v>110103</v>
      </c>
      <c r="H24" s="39" t="str">
        <f>IFERROR(VLOOKUP(D24,'Master List'!D:H,5,FALSE),"NA")</f>
        <v>Information Technology.</v>
      </c>
      <c r="I24" s="19"/>
      <c r="J24" s="20"/>
      <c r="K24" s="20"/>
      <c r="L24" s="21"/>
    </row>
    <row r="25" spans="1:12" x14ac:dyDescent="0.3">
      <c r="A25" s="33">
        <v>13</v>
      </c>
      <c r="B25" s="33" t="s">
        <v>2159</v>
      </c>
      <c r="C25" s="34" t="s">
        <v>853</v>
      </c>
      <c r="D25" s="51" t="s">
        <v>107</v>
      </c>
      <c r="E25" s="61" t="str">
        <f>IFERROR(VLOOKUP(D25,'Master List'!D:H,2,FALSE),"NA")</f>
        <v>520201</v>
      </c>
      <c r="F25" s="62" t="str">
        <f>IFERROR(VLOOKUP(D25,'Master List'!D:H,3,FALSE),"NA")</f>
        <v>520201</v>
      </c>
      <c r="G25" s="58" t="str">
        <f>IFERROR(VLOOKUP(D25,'Master List'!D:H,4,FALSE),"NA")</f>
        <v>520201</v>
      </c>
      <c r="H25" s="39" t="str">
        <f>IFERROR(VLOOKUP(D25,'Master List'!D:H,5,FALSE),"NA")</f>
        <v>Business Administration and Management, General.</v>
      </c>
      <c r="I25" s="19"/>
      <c r="J25" s="20"/>
      <c r="K25" s="20"/>
      <c r="L25" s="21"/>
    </row>
    <row r="26" spans="1:12" x14ac:dyDescent="0.3">
      <c r="A26" s="33">
        <v>13</v>
      </c>
      <c r="B26" s="33" t="s">
        <v>2159</v>
      </c>
      <c r="C26" s="34" t="s">
        <v>853</v>
      </c>
      <c r="D26" s="51" t="s">
        <v>120</v>
      </c>
      <c r="E26" s="61" t="str">
        <f>IFERROR(VLOOKUP(D26,'Master List'!D:H,2,FALSE),"NA")</f>
        <v>150000</v>
      </c>
      <c r="F26" s="62" t="str">
        <f>IFERROR(VLOOKUP(D26,'Master List'!D:H,3,FALSE),"NA")</f>
        <v>150000</v>
      </c>
      <c r="G26" s="58" t="str">
        <f>IFERROR(VLOOKUP(D26,'Master List'!D:H,4,FALSE),"NA")</f>
        <v>150000</v>
      </c>
      <c r="H26" s="39" t="str">
        <f>IFERROR(VLOOKUP(D26,'Master List'!D:H,5,FALSE),"NA")</f>
        <v>Engineering Technologies/Technicians, General.</v>
      </c>
      <c r="I26" s="19"/>
      <c r="J26" s="20"/>
      <c r="K26" s="20"/>
      <c r="L26" s="21"/>
    </row>
    <row r="27" spans="1:12" x14ac:dyDescent="0.3">
      <c r="A27" s="33">
        <v>13</v>
      </c>
      <c r="B27" s="33" t="s">
        <v>2159</v>
      </c>
      <c r="C27" s="34" t="s">
        <v>853</v>
      </c>
      <c r="D27" s="51" t="s">
        <v>367</v>
      </c>
      <c r="E27" s="61" t="str">
        <f>IFERROR(VLOOKUP(D27,'Master List'!D:H,2,FALSE),"NA")</f>
        <v>520205</v>
      </c>
      <c r="F27" s="62" t="str">
        <f>IFERROR(VLOOKUP(D27,'Master List'!D:H,3,FALSE),"NA")</f>
        <v>520205</v>
      </c>
      <c r="G27" s="58" t="str">
        <f>IFERROR(VLOOKUP(D27,'Master List'!D:H,4,FALSE),"NA")</f>
        <v>520205</v>
      </c>
      <c r="H27" s="39" t="str">
        <f>IFERROR(VLOOKUP(D27,'Master List'!D:H,5,FALSE),"NA")</f>
        <v>Operations Management and Supervision.</v>
      </c>
      <c r="I27" s="19"/>
      <c r="J27" s="20"/>
      <c r="K27" s="20"/>
      <c r="L27" s="21"/>
    </row>
    <row r="28" spans="1:12" x14ac:dyDescent="0.3">
      <c r="A28" s="33">
        <v>13</v>
      </c>
      <c r="B28" s="33" t="s">
        <v>2159</v>
      </c>
      <c r="C28" s="34" t="s">
        <v>853</v>
      </c>
      <c r="D28" s="51" t="s">
        <v>128</v>
      </c>
      <c r="E28" s="61" t="str">
        <f>IFERROR(VLOOKUP(D28,'Master List'!D:H,2,FALSE),"NA")</f>
        <v>430103</v>
      </c>
      <c r="F28" s="62" t="str">
        <f>IFERROR(VLOOKUP(D28,'Master List'!D:H,3,FALSE),"NA")</f>
        <v>430103</v>
      </c>
      <c r="G28" s="58" t="str">
        <f>IFERROR(VLOOKUP(D28,'Master List'!D:H,4,FALSE),"NA")</f>
        <v>430103</v>
      </c>
      <c r="H28" s="39" t="str">
        <f>IFERROR(VLOOKUP(D28,'Master List'!D:H,5,FALSE),"NA")</f>
        <v>Criminal Justice/Law Enforcement Administration.</v>
      </c>
      <c r="I28" s="19"/>
      <c r="J28" s="20"/>
      <c r="K28" s="20"/>
      <c r="L28" s="21"/>
    </row>
  </sheetData>
  <sheetProtection algorithmName="SHA-512" hashValue="bCnp6elPUB4kf/kh6EL70e1vyCzYHghe4WceMxZ8MtBY9ZI4d9I+1Q+vGW6y2BDi3iruJ3u92xgdNykeQhDNWA==" saltValue="psE5gTR3/n7d/mQr+/C8kw==" spinCount="100000" sheet="1" objects="1" scenarios="1" sort="0" autoFilter="0"/>
  <autoFilter ref="A2:L28"/>
  <mergeCells count="3">
    <mergeCell ref="A1:D1"/>
    <mergeCell ref="E1:H1"/>
    <mergeCell ref="I1:L1"/>
  </mergeCells>
  <dataValidations count="1">
    <dataValidation type="list" allowBlank="1" showInputMessage="1" showErrorMessage="1" sqref="I3:I28">
      <formula1>"Agree,Disagree"</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71.400000000000006"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14</v>
      </c>
      <c r="B3" s="33" t="s">
        <v>2216</v>
      </c>
      <c r="C3" s="34" t="s">
        <v>852</v>
      </c>
      <c r="D3" s="51" t="s">
        <v>498</v>
      </c>
      <c r="E3" s="61" t="str">
        <f>IFERROR(VLOOKUP(D3,'Master List'!D:H,2,FALSE),"NA")</f>
        <v>521401</v>
      </c>
      <c r="F3" s="62" t="str">
        <f>IFERROR(VLOOKUP(D3,'Master List'!D:H,3,FALSE),"NA")</f>
        <v>521401</v>
      </c>
      <c r="G3" s="58" t="str">
        <f>IFERROR(VLOOKUP(D3,'Master List'!D:H,4,FALSE),"NA")</f>
        <v>521401</v>
      </c>
      <c r="H3" s="39" t="str">
        <f>IFERROR(VLOOKUP(D3,'Master List'!D:H,5,FALSE),"NA")</f>
        <v>Marketing/Marketing Management, General.</v>
      </c>
      <c r="I3" s="19"/>
      <c r="J3" s="20"/>
      <c r="K3" s="20"/>
      <c r="L3" s="21"/>
    </row>
    <row r="4" spans="1:12" x14ac:dyDescent="0.3">
      <c r="A4" s="33">
        <v>14</v>
      </c>
      <c r="B4" s="33" t="s">
        <v>2216</v>
      </c>
      <c r="C4" s="34" t="s">
        <v>852</v>
      </c>
      <c r="D4" s="51" t="s">
        <v>28</v>
      </c>
      <c r="E4" s="61" t="str">
        <f>IFERROR(VLOOKUP(D4,'Master List'!D:H,2,FALSE),"NA")</f>
        <v>190709</v>
      </c>
      <c r="F4" s="62" t="str">
        <f>IFERROR(VLOOKUP(D4,'Master List'!D:H,3,FALSE),"NA")</f>
        <v>190709</v>
      </c>
      <c r="G4" s="58" t="str">
        <f>IFERROR(VLOOKUP(D4,'Master List'!D:H,4,FALSE),"NA")</f>
        <v>190709</v>
      </c>
      <c r="H4" s="39" t="str">
        <f>IFERROR(VLOOKUP(D4,'Master List'!D:H,5,FALSE),"NA")</f>
        <v>Child Care Provider/Assistant.</v>
      </c>
      <c r="I4" s="19"/>
      <c r="J4" s="20"/>
      <c r="K4" s="20"/>
      <c r="L4" s="21"/>
    </row>
    <row r="5" spans="1:12" x14ac:dyDescent="0.3">
      <c r="A5" s="33">
        <v>14</v>
      </c>
      <c r="B5" s="33" t="s">
        <v>2216</v>
      </c>
      <c r="C5" s="34" t="s">
        <v>852</v>
      </c>
      <c r="D5" s="51" t="s">
        <v>218</v>
      </c>
      <c r="E5" s="61" t="str">
        <f>IFERROR(VLOOKUP(D5,'Master List'!D:H,2,FALSE),"NA")</f>
        <v>110103</v>
      </c>
      <c r="F5" s="62" t="str">
        <f>IFERROR(VLOOKUP(D5,'Master List'!D:H,3,FALSE),"NA")</f>
        <v>110103</v>
      </c>
      <c r="G5" s="58" t="str">
        <f>IFERROR(VLOOKUP(D5,'Master List'!D:H,4,FALSE),"NA")</f>
        <v>110103</v>
      </c>
      <c r="H5" s="39" t="str">
        <f>IFERROR(VLOOKUP(D5,'Master List'!D:H,5,FALSE),"NA")</f>
        <v>Information Technology.</v>
      </c>
      <c r="I5" s="19"/>
      <c r="J5" s="20"/>
      <c r="K5" s="20"/>
      <c r="L5" s="21"/>
    </row>
    <row r="6" spans="1:12" x14ac:dyDescent="0.3">
      <c r="A6" s="33">
        <v>14</v>
      </c>
      <c r="B6" s="33" t="s">
        <v>2216</v>
      </c>
      <c r="C6" s="34" t="s">
        <v>852</v>
      </c>
      <c r="D6" s="51" t="s">
        <v>390</v>
      </c>
      <c r="E6" s="61" t="str">
        <f>IFERROR(VLOOKUP(D6,'Master List'!D:H,2,FALSE),"NA")</f>
        <v>110202</v>
      </c>
      <c r="F6" s="62" t="str">
        <f>IFERROR(VLOOKUP(D6,'Master List'!D:H,3,FALSE),"NA")</f>
        <v>110202</v>
      </c>
      <c r="G6" s="58" t="str">
        <f>IFERROR(VLOOKUP(D6,'Master List'!D:H,4,FALSE),"NA")</f>
        <v>110202</v>
      </c>
      <c r="H6" s="39" t="str">
        <f>IFERROR(VLOOKUP(D6,'Master List'!D:H,5,FALSE),"NA")</f>
        <v>Computer Programming, Specific Applications.</v>
      </c>
      <c r="I6" s="19"/>
      <c r="J6" s="20"/>
      <c r="K6" s="20"/>
      <c r="L6" s="21"/>
    </row>
    <row r="7" spans="1:12" x14ac:dyDescent="0.3">
      <c r="A7" s="33">
        <v>14</v>
      </c>
      <c r="B7" s="33" t="s">
        <v>2216</v>
      </c>
      <c r="C7" s="34" t="s">
        <v>852</v>
      </c>
      <c r="D7" s="51" t="s">
        <v>814</v>
      </c>
      <c r="E7" s="61" t="str">
        <f>IFERROR(VLOOKUP(D7,'Master List'!D:H,2,FALSE),"NA")</f>
        <v>110203</v>
      </c>
      <c r="F7" s="62" t="str">
        <f>IFERROR(VLOOKUP(D7,'Master List'!D:H,3,FALSE),"NA")</f>
        <v>110203</v>
      </c>
      <c r="G7" s="58" t="str">
        <f>IFERROR(VLOOKUP(D7,'Master List'!D:H,4,FALSE),"NA")</f>
        <v>110203</v>
      </c>
      <c r="H7" s="39" t="str">
        <f>IFERROR(VLOOKUP(D7,'Master List'!D:H,5,FALSE),"NA")</f>
        <v>Computer Programming, Vendor/Product Certification.</v>
      </c>
      <c r="I7" s="19"/>
      <c r="J7" s="20"/>
      <c r="K7" s="20"/>
      <c r="L7" s="21"/>
    </row>
    <row r="8" spans="1:12" x14ac:dyDescent="0.3">
      <c r="A8" s="33">
        <v>14</v>
      </c>
      <c r="B8" s="33" t="s">
        <v>2216</v>
      </c>
      <c r="C8" s="34" t="s">
        <v>852</v>
      </c>
      <c r="D8" s="51" t="s">
        <v>31</v>
      </c>
      <c r="E8" s="61" t="str">
        <f>IFERROR(VLOOKUP(D8,'Master List'!D:H,2,FALSE),"NA")</f>
        <v>111001</v>
      </c>
      <c r="F8" s="62" t="str">
        <f>IFERROR(VLOOKUP(D8,'Master List'!D:H,3,FALSE),"NA")</f>
        <v>111001</v>
      </c>
      <c r="G8" s="58" t="str">
        <f>IFERROR(VLOOKUP(D8,'Master List'!D:H,4,FALSE),"NA")</f>
        <v>111001</v>
      </c>
      <c r="H8" s="39" t="str">
        <f>IFERROR(VLOOKUP(D8,'Master List'!D:H,5,FALSE),"NA")</f>
        <v>Network and System Administration/Administrator.</v>
      </c>
      <c r="I8" s="19"/>
      <c r="J8" s="20"/>
      <c r="K8" s="20"/>
      <c r="L8" s="21"/>
    </row>
    <row r="9" spans="1:12" x14ac:dyDescent="0.3">
      <c r="A9" s="33">
        <v>14</v>
      </c>
      <c r="B9" s="33" t="s">
        <v>2216</v>
      </c>
      <c r="C9" s="34" t="s">
        <v>852</v>
      </c>
      <c r="D9" s="51" t="s">
        <v>34</v>
      </c>
      <c r="E9" s="61" t="str">
        <f>IFERROR(VLOOKUP(D9,'Master List'!D:H,2,FALSE),"NA")</f>
        <v>111001</v>
      </c>
      <c r="F9" s="62" t="str">
        <f>IFERROR(VLOOKUP(D9,'Master List'!D:H,3,FALSE),"NA")</f>
        <v>111001</v>
      </c>
      <c r="G9" s="58" t="str">
        <f>IFERROR(VLOOKUP(D9,'Master List'!D:H,4,FALSE),"NA")</f>
        <v>111001</v>
      </c>
      <c r="H9" s="39" t="str">
        <f>IFERROR(VLOOKUP(D9,'Master List'!D:H,5,FALSE),"NA")</f>
        <v>Network and System Administration/Administrator.</v>
      </c>
      <c r="I9" s="19"/>
      <c r="J9" s="20"/>
      <c r="K9" s="20"/>
      <c r="L9" s="21"/>
    </row>
    <row r="10" spans="1:12" x14ac:dyDescent="0.3">
      <c r="A10" s="33">
        <v>14</v>
      </c>
      <c r="B10" s="33" t="s">
        <v>2216</v>
      </c>
      <c r="C10" s="34" t="s">
        <v>852</v>
      </c>
      <c r="D10" s="51" t="s">
        <v>35</v>
      </c>
      <c r="E10" s="61" t="str">
        <f>IFERROR(VLOOKUP(D10,'Master List'!D:H,2,FALSE),"NA")</f>
        <v>111001</v>
      </c>
      <c r="F10" s="62" t="str">
        <f>IFERROR(VLOOKUP(D10,'Master List'!D:H,3,FALSE),"NA")</f>
        <v>111001</v>
      </c>
      <c r="G10" s="58" t="str">
        <f>IFERROR(VLOOKUP(D10,'Master List'!D:H,4,FALSE),"NA")</f>
        <v>111001</v>
      </c>
      <c r="H10" s="39" t="str">
        <f>IFERROR(VLOOKUP(D10,'Master List'!D:H,5,FALSE),"NA")</f>
        <v>Network and System Administration/Administrator.</v>
      </c>
      <c r="I10" s="19"/>
      <c r="J10" s="20"/>
      <c r="K10" s="20"/>
      <c r="L10" s="21"/>
    </row>
    <row r="11" spans="1:12" x14ac:dyDescent="0.3">
      <c r="A11" s="33">
        <v>14</v>
      </c>
      <c r="B11" s="33" t="s">
        <v>2216</v>
      </c>
      <c r="C11" s="34" t="s">
        <v>852</v>
      </c>
      <c r="D11" s="51" t="s">
        <v>40</v>
      </c>
      <c r="E11" s="61" t="str">
        <f>IFERROR(VLOOKUP(D11,'Master List'!D:H,2,FALSE),"NA")</f>
        <v>520302</v>
      </c>
      <c r="F11" s="62" t="str">
        <f>IFERROR(VLOOKUP(D11,'Master List'!D:H,3,FALSE),"NA")</f>
        <v>520302</v>
      </c>
      <c r="G11" s="58" t="str">
        <f>IFERROR(VLOOKUP(D11,'Master List'!D:H,4,FALSE),"NA")</f>
        <v>520302</v>
      </c>
      <c r="H11" s="39" t="str">
        <f>IFERROR(VLOOKUP(D11,'Master List'!D:H,5,FALSE),"NA")</f>
        <v>Accounting Technology/Technician and Bookkeeping.</v>
      </c>
      <c r="I11" s="19"/>
      <c r="J11" s="20"/>
      <c r="K11" s="20"/>
      <c r="L11" s="21"/>
    </row>
    <row r="12" spans="1:12" x14ac:dyDescent="0.3">
      <c r="A12" s="33">
        <v>14</v>
      </c>
      <c r="B12" s="33" t="s">
        <v>2216</v>
      </c>
      <c r="C12" s="34" t="s">
        <v>852</v>
      </c>
      <c r="D12" s="51" t="s">
        <v>232</v>
      </c>
      <c r="E12" s="61" t="str">
        <f>IFERROR(VLOOKUP(D12,'Master List'!D:H,2,FALSE),"NA")</f>
        <v>520701</v>
      </c>
      <c r="F12" s="62" t="str">
        <f>IFERROR(VLOOKUP(D12,'Master List'!D:H,3,FALSE),"NA")</f>
        <v>520701</v>
      </c>
      <c r="G12" s="58" t="str">
        <f>IFERROR(VLOOKUP(D12,'Master List'!D:H,4,FALSE),"NA")</f>
        <v>520701</v>
      </c>
      <c r="H12" s="39" t="str">
        <f>IFERROR(VLOOKUP(D12,'Master List'!D:H,5,FALSE),"NA")</f>
        <v>Entrepreneurship/Entrepreneurial Studies.</v>
      </c>
      <c r="I12" s="19"/>
      <c r="J12" s="20"/>
      <c r="K12" s="20"/>
      <c r="L12" s="21"/>
    </row>
    <row r="13" spans="1:12" x14ac:dyDescent="0.3">
      <c r="A13" s="33">
        <v>14</v>
      </c>
      <c r="B13" s="33" t="s">
        <v>2216</v>
      </c>
      <c r="C13" s="34" t="s">
        <v>852</v>
      </c>
      <c r="D13" s="51" t="s">
        <v>233</v>
      </c>
      <c r="E13" s="61" t="str">
        <f>IFERROR(VLOOKUP(D13,'Master List'!D:H,2,FALSE),"NA")</f>
        <v>520703</v>
      </c>
      <c r="F13" s="62" t="str">
        <f>IFERROR(VLOOKUP(D13,'Master List'!D:H,3,FALSE),"NA")</f>
        <v>520703</v>
      </c>
      <c r="G13" s="58" t="str">
        <f>IFERROR(VLOOKUP(D13,'Master List'!D:H,4,FALSE),"NA")</f>
        <v>520703</v>
      </c>
      <c r="H13" s="39" t="str">
        <f>IFERROR(VLOOKUP(D13,'Master List'!D:H,5,FALSE),"NA")</f>
        <v>Small Business Administration/Management.</v>
      </c>
      <c r="I13" s="19"/>
      <c r="J13" s="20"/>
      <c r="K13" s="20"/>
      <c r="L13" s="21"/>
    </row>
    <row r="14" spans="1:12" x14ac:dyDescent="0.3">
      <c r="A14" s="33">
        <v>14</v>
      </c>
      <c r="B14" s="33" t="s">
        <v>2216</v>
      </c>
      <c r="C14" s="34" t="s">
        <v>852</v>
      </c>
      <c r="D14" s="51" t="s">
        <v>427</v>
      </c>
      <c r="E14" s="61" t="str">
        <f>IFERROR(VLOOKUP(D14,'Master List'!D:H,2,FALSE),"NA")</f>
        <v>100202</v>
      </c>
      <c r="F14" s="62" t="str">
        <f>IFERROR(VLOOKUP(D14,'Master List'!D:H,3,FALSE),"NA")</f>
        <v>100202</v>
      </c>
      <c r="G14" s="58" t="str">
        <f>IFERROR(VLOOKUP(D14,'Master List'!D:H,4,FALSE),"NA")</f>
        <v>100202</v>
      </c>
      <c r="H14" s="39" t="str">
        <f>IFERROR(VLOOKUP(D14,'Master List'!D:H,5,FALSE),"NA")</f>
        <v>Radio and Television Broadcasting Technology/Technician.</v>
      </c>
      <c r="I14" s="19"/>
      <c r="J14" s="20"/>
      <c r="K14" s="20"/>
      <c r="L14" s="21"/>
    </row>
    <row r="15" spans="1:12" x14ac:dyDescent="0.3">
      <c r="A15" s="33">
        <v>14</v>
      </c>
      <c r="B15" s="33" t="s">
        <v>2216</v>
      </c>
      <c r="C15" s="34" t="s">
        <v>852</v>
      </c>
      <c r="D15" s="51" t="s">
        <v>515</v>
      </c>
      <c r="E15" s="61" t="str">
        <f>IFERROR(VLOOKUP(D15,'Master List'!D:H,2,FALSE),"NA")</f>
        <v>110803</v>
      </c>
      <c r="F15" s="62" t="str">
        <f>IFERROR(VLOOKUP(D15,'Master List'!D:H,3,FALSE),"NA")</f>
        <v>110803</v>
      </c>
      <c r="G15" s="58" t="str">
        <f>IFERROR(VLOOKUP(D15,'Master List'!D:H,4,FALSE),"NA")</f>
        <v>110803</v>
      </c>
      <c r="H15" s="39" t="str">
        <f>IFERROR(VLOOKUP(D15,'Master List'!D:H,5,FALSE),"NA")</f>
        <v>Computer Graphics.</v>
      </c>
      <c r="I15" s="19"/>
      <c r="J15" s="20"/>
      <c r="K15" s="20"/>
      <c r="L15" s="21"/>
    </row>
    <row r="16" spans="1:12" x14ac:dyDescent="0.3">
      <c r="A16" s="33">
        <v>14</v>
      </c>
      <c r="B16" s="33" t="s">
        <v>2216</v>
      </c>
      <c r="C16" s="34" t="s">
        <v>852</v>
      </c>
      <c r="D16" s="51" t="s">
        <v>553</v>
      </c>
      <c r="E16" s="61" t="str">
        <f>IFERROR(VLOOKUP(D16,'Master List'!D:H,2,FALSE),"NA")</f>
        <v>110803</v>
      </c>
      <c r="F16" s="62" t="str">
        <f>IFERROR(VLOOKUP(D16,'Master List'!D:H,3,FALSE),"NA")</f>
        <v>110803</v>
      </c>
      <c r="G16" s="58" t="str">
        <f>IFERROR(VLOOKUP(D16,'Master List'!D:H,4,FALSE),"NA")</f>
        <v>110803</v>
      </c>
      <c r="H16" s="39" t="str">
        <f>IFERROR(VLOOKUP(D16,'Master List'!D:H,5,FALSE),"NA")</f>
        <v>Computer Graphics.</v>
      </c>
      <c r="I16" s="19"/>
      <c r="J16" s="20"/>
      <c r="K16" s="20"/>
      <c r="L16" s="21"/>
    </row>
    <row r="17" spans="1:12" x14ac:dyDescent="0.3">
      <c r="A17" s="33">
        <v>14</v>
      </c>
      <c r="B17" s="33" t="s">
        <v>2216</v>
      </c>
      <c r="C17" s="34" t="s">
        <v>852</v>
      </c>
      <c r="D17" s="51" t="s">
        <v>246</v>
      </c>
      <c r="E17" s="61" t="str">
        <f>IFERROR(VLOOKUP(D17,'Master List'!D:H,2,FALSE),"NA")</f>
        <v>150000</v>
      </c>
      <c r="F17" s="62" t="str">
        <f>IFERROR(VLOOKUP(D17,'Master List'!D:H,3,FALSE),"NA")</f>
        <v>150000</v>
      </c>
      <c r="G17" s="58" t="str">
        <f>IFERROR(VLOOKUP(D17,'Master List'!D:H,4,FALSE),"NA")</f>
        <v>150000</v>
      </c>
      <c r="H17" s="39" t="str">
        <f>IFERROR(VLOOKUP(D17,'Master List'!D:H,5,FALSE),"NA")</f>
        <v>Engineering Technologies/Technicians, General.</v>
      </c>
      <c r="I17" s="19"/>
      <c r="J17" s="20"/>
      <c r="K17" s="20"/>
      <c r="L17" s="21"/>
    </row>
    <row r="18" spans="1:12" x14ac:dyDescent="0.3">
      <c r="A18" s="33">
        <v>14</v>
      </c>
      <c r="B18" s="33" t="s">
        <v>2216</v>
      </c>
      <c r="C18" s="34" t="s">
        <v>852</v>
      </c>
      <c r="D18" s="51" t="s">
        <v>557</v>
      </c>
      <c r="E18" s="61" t="str">
        <f>IFERROR(VLOOKUP(D18,'Master List'!D:H,2,FALSE),"NA")</f>
        <v>150303</v>
      </c>
      <c r="F18" s="62" t="str">
        <f>IFERROR(VLOOKUP(D18,'Master List'!D:H,3,FALSE),"NA")</f>
        <v>150303</v>
      </c>
      <c r="G18" s="58" t="str">
        <f>IFERROR(VLOOKUP(D18,'Master List'!D:H,4,FALSE),"NA")</f>
        <v>150303</v>
      </c>
      <c r="H18" s="39" t="str">
        <f>IFERROR(VLOOKUP(D18,'Master List'!D:H,5,FALSE),"NA")</f>
        <v>Electrical, Electronic, and Communications Engineering Technology/Technician.</v>
      </c>
      <c r="I18" s="19"/>
      <c r="J18" s="20"/>
      <c r="K18" s="20"/>
      <c r="L18" s="21"/>
    </row>
    <row r="19" spans="1:12" x14ac:dyDescent="0.3">
      <c r="A19" s="33">
        <v>14</v>
      </c>
      <c r="B19" s="33" t="s">
        <v>2216</v>
      </c>
      <c r="C19" s="34" t="s">
        <v>852</v>
      </c>
      <c r="D19" s="51" t="s">
        <v>629</v>
      </c>
      <c r="E19" s="61" t="str">
        <f>IFERROR(VLOOKUP(D19,'Master List'!D:H,2,FALSE),"NA")</f>
        <v>150503</v>
      </c>
      <c r="F19" s="62" t="str">
        <f>IFERROR(VLOOKUP(D19,'Master List'!D:H,3,FALSE),"NA")</f>
        <v>151701</v>
      </c>
      <c r="G19" s="58" t="str">
        <f>IFERROR(VLOOKUP(D19,'Master List'!D:H,4,FALSE),"NA")</f>
        <v>151701</v>
      </c>
      <c r="H19" s="39" t="str">
        <f>IFERROR(VLOOKUP(D19,'Master List'!D:H,5,FALSE),"NA")</f>
        <v>Energy Systems Technology/Technician.</v>
      </c>
      <c r="I19" s="19"/>
      <c r="J19" s="20"/>
      <c r="K19" s="20"/>
      <c r="L19" s="21"/>
    </row>
    <row r="20" spans="1:12" x14ac:dyDescent="0.3">
      <c r="A20" s="33">
        <v>14</v>
      </c>
      <c r="B20" s="33" t="s">
        <v>2216</v>
      </c>
      <c r="C20" s="34" t="s">
        <v>852</v>
      </c>
      <c r="D20" s="51" t="s">
        <v>437</v>
      </c>
      <c r="E20" s="61" t="str">
        <f>IFERROR(VLOOKUP(D20,'Master List'!D:H,2,FALSE),"NA")</f>
        <v>151303</v>
      </c>
      <c r="F20" s="62" t="str">
        <f>IFERROR(VLOOKUP(D20,'Master List'!D:H,3,FALSE),"NA")</f>
        <v>151303</v>
      </c>
      <c r="G20" s="58" t="str">
        <f>IFERROR(VLOOKUP(D20,'Master List'!D:H,4,FALSE),"NA")</f>
        <v>151303</v>
      </c>
      <c r="H20" s="39" t="str">
        <f>IFERROR(VLOOKUP(D20,'Master List'!D:H,5,FALSE),"NA")</f>
        <v>Architectural Drafting and Architectural CAD/CADD.</v>
      </c>
      <c r="I20" s="19"/>
      <c r="J20" s="20"/>
      <c r="K20" s="20"/>
      <c r="L20" s="21"/>
    </row>
    <row r="21" spans="1:12" x14ac:dyDescent="0.3">
      <c r="A21" s="33">
        <v>14</v>
      </c>
      <c r="B21" s="33" t="s">
        <v>2216</v>
      </c>
      <c r="C21" s="34" t="s">
        <v>852</v>
      </c>
      <c r="D21" s="51" t="s">
        <v>265</v>
      </c>
      <c r="E21" s="61" t="str">
        <f>IFERROR(VLOOKUP(D21,'Master List'!D:H,2,FALSE),"NA")</f>
        <v>261201</v>
      </c>
      <c r="F21" s="62" t="str">
        <f>IFERROR(VLOOKUP(D21,'Master List'!D:H,3,FALSE),"NA")</f>
        <v>261201</v>
      </c>
      <c r="G21" s="58" t="str">
        <f>IFERROR(VLOOKUP(D21,'Master List'!D:H,4,FALSE),"NA")</f>
        <v>261201</v>
      </c>
      <c r="H21" s="39" t="str">
        <f>IFERROR(VLOOKUP(D21,'Master List'!D:H,5,FALSE),"NA")</f>
        <v>Biotechnology.</v>
      </c>
      <c r="I21" s="19"/>
      <c r="J21" s="20"/>
      <c r="K21" s="20"/>
      <c r="L21" s="21"/>
    </row>
    <row r="22" spans="1:12" x14ac:dyDescent="0.3">
      <c r="A22" s="33">
        <v>14</v>
      </c>
      <c r="B22" s="33" t="s">
        <v>2216</v>
      </c>
      <c r="C22" s="34" t="s">
        <v>852</v>
      </c>
      <c r="D22" s="51" t="s">
        <v>316</v>
      </c>
      <c r="E22" s="61" t="str">
        <f>IFERROR(VLOOKUP(D22,'Master List'!D:H,2,FALSE),"NA")</f>
        <v>430103</v>
      </c>
      <c r="F22" s="62" t="str">
        <f>IFERROR(VLOOKUP(D22,'Master List'!D:H,3,FALSE),"NA")</f>
        <v>430103</v>
      </c>
      <c r="G22" s="58" t="str">
        <f>IFERROR(VLOOKUP(D22,'Master List'!D:H,4,FALSE),"NA")</f>
        <v>430103</v>
      </c>
      <c r="H22" s="39" t="str">
        <f>IFERROR(VLOOKUP(D22,'Master List'!D:H,5,FALSE),"NA")</f>
        <v>Criminal Justice/Law Enforcement Administration.</v>
      </c>
      <c r="I22" s="19"/>
      <c r="J22" s="20"/>
      <c r="K22" s="20"/>
      <c r="L22" s="21"/>
    </row>
    <row r="23" spans="1:12" x14ac:dyDescent="0.3">
      <c r="A23" s="33">
        <v>14</v>
      </c>
      <c r="B23" s="33" t="s">
        <v>2216</v>
      </c>
      <c r="C23" s="34" t="s">
        <v>852</v>
      </c>
      <c r="D23" s="51" t="s">
        <v>574</v>
      </c>
      <c r="E23" s="61" t="str">
        <f>IFERROR(VLOOKUP(D23,'Master List'!D:H,2,FALSE),"NA")</f>
        <v>430103</v>
      </c>
      <c r="F23" s="62" t="str">
        <f>IFERROR(VLOOKUP(D23,'Master List'!D:H,3,FALSE),"NA")</f>
        <v>430103</v>
      </c>
      <c r="G23" s="58" t="str">
        <f>IFERROR(VLOOKUP(D23,'Master List'!D:H,4,FALSE),"NA")</f>
        <v>430103</v>
      </c>
      <c r="H23" s="39" t="str">
        <f>IFERROR(VLOOKUP(D23,'Master List'!D:H,5,FALSE),"NA")</f>
        <v>Criminal Justice/Law Enforcement Administration.</v>
      </c>
      <c r="I23" s="19"/>
      <c r="J23" s="20"/>
      <c r="K23" s="20"/>
      <c r="L23" s="21"/>
    </row>
    <row r="24" spans="1:12" x14ac:dyDescent="0.3">
      <c r="A24" s="33">
        <v>14</v>
      </c>
      <c r="B24" s="33" t="s">
        <v>2216</v>
      </c>
      <c r="C24" s="34" t="s">
        <v>852</v>
      </c>
      <c r="D24" s="51" t="s">
        <v>84</v>
      </c>
      <c r="E24" s="61" t="str">
        <f>IFERROR(VLOOKUP(D24,'Master List'!D:H,2,FALSE),"NA")</f>
        <v>510602</v>
      </c>
      <c r="F24" s="62" t="str">
        <f>IFERROR(VLOOKUP(D24,'Master List'!D:H,3,FALSE),"NA")</f>
        <v>510602</v>
      </c>
      <c r="G24" s="58" t="str">
        <f>IFERROR(VLOOKUP(D24,'Master List'!D:H,4,FALSE),"NA")</f>
        <v>510602</v>
      </c>
      <c r="H24" s="39" t="str">
        <f>IFERROR(VLOOKUP(D24,'Master List'!D:H,5,FALSE),"NA")</f>
        <v>Dental Hygiene/Hygienist.</v>
      </c>
      <c r="I24" s="19"/>
      <c r="J24" s="20"/>
      <c r="K24" s="20"/>
      <c r="L24" s="21"/>
    </row>
    <row r="25" spans="1:12" x14ac:dyDescent="0.3">
      <c r="A25" s="33">
        <v>14</v>
      </c>
      <c r="B25" s="33" t="s">
        <v>2216</v>
      </c>
      <c r="C25" s="34" t="s">
        <v>852</v>
      </c>
      <c r="D25" s="51" t="s">
        <v>612</v>
      </c>
      <c r="E25" s="61" t="str">
        <f>IFERROR(VLOOKUP(D25,'Master List'!D:H,2,FALSE),"NA")</f>
        <v>510701</v>
      </c>
      <c r="F25" s="62" t="str">
        <f>IFERROR(VLOOKUP(D25,'Master List'!D:H,3,FALSE),"NA")</f>
        <v>510701</v>
      </c>
      <c r="G25" s="58" t="str">
        <f>IFERROR(VLOOKUP(D25,'Master List'!D:H,4,FALSE),"NA")</f>
        <v>510701</v>
      </c>
      <c r="H25" s="39" t="str">
        <f>IFERROR(VLOOKUP(D25,'Master List'!D:H,5,FALSE),"NA")</f>
        <v>Health/Health Care Administration/Management.</v>
      </c>
      <c r="I25" s="19"/>
      <c r="J25" s="20"/>
      <c r="K25" s="20"/>
      <c r="L25" s="21"/>
    </row>
    <row r="26" spans="1:12" x14ac:dyDescent="0.3">
      <c r="A26" s="33">
        <v>14</v>
      </c>
      <c r="B26" s="33" t="s">
        <v>2216</v>
      </c>
      <c r="C26" s="34" t="s">
        <v>852</v>
      </c>
      <c r="D26" s="51" t="s">
        <v>458</v>
      </c>
      <c r="E26" s="61" t="str">
        <f>IFERROR(VLOOKUP(D26,'Master List'!D:H,2,FALSE),"NA")</f>
        <v>510803</v>
      </c>
      <c r="F26" s="62" t="str">
        <f>IFERROR(VLOOKUP(D26,'Master List'!D:H,3,FALSE),"NA")</f>
        <v>510803</v>
      </c>
      <c r="G26" s="58" t="str">
        <f>IFERROR(VLOOKUP(D26,'Master List'!D:H,4,FALSE),"NA")</f>
        <v>510803</v>
      </c>
      <c r="H26" s="39" t="str">
        <f>IFERROR(VLOOKUP(D26,'Master List'!D:H,5,FALSE),"NA")</f>
        <v>Occupational Therapist Assistant.</v>
      </c>
      <c r="I26" s="19"/>
      <c r="J26" s="20"/>
      <c r="K26" s="20"/>
      <c r="L26" s="21"/>
    </row>
    <row r="27" spans="1:12" x14ac:dyDescent="0.3">
      <c r="A27" s="33">
        <v>14</v>
      </c>
      <c r="B27" s="33" t="s">
        <v>2216</v>
      </c>
      <c r="C27" s="34" t="s">
        <v>852</v>
      </c>
      <c r="D27" s="51" t="s">
        <v>87</v>
      </c>
      <c r="E27" s="61" t="str">
        <f>IFERROR(VLOOKUP(D27,'Master List'!D:H,2,FALSE),"NA")</f>
        <v>510806</v>
      </c>
      <c r="F27" s="62" t="str">
        <f>IFERROR(VLOOKUP(D27,'Master List'!D:H,3,FALSE),"NA")</f>
        <v>510806</v>
      </c>
      <c r="G27" s="58" t="str">
        <f>IFERROR(VLOOKUP(D27,'Master List'!D:H,4,FALSE),"NA")</f>
        <v>510806</v>
      </c>
      <c r="H27" s="39" t="str">
        <f>IFERROR(VLOOKUP(D27,'Master List'!D:H,5,FALSE),"NA")</f>
        <v>Physical Therapy Assistant.</v>
      </c>
      <c r="I27" s="19"/>
      <c r="J27" s="20"/>
      <c r="K27" s="20"/>
      <c r="L27" s="21"/>
    </row>
    <row r="28" spans="1:12" x14ac:dyDescent="0.3">
      <c r="A28" s="33">
        <v>14</v>
      </c>
      <c r="B28" s="33" t="s">
        <v>2216</v>
      </c>
      <c r="C28" s="34" t="s">
        <v>852</v>
      </c>
      <c r="D28" s="51" t="s">
        <v>91</v>
      </c>
      <c r="E28" s="61" t="str">
        <f>IFERROR(VLOOKUP(D28,'Master List'!D:H,2,FALSE),"NA")</f>
        <v>510907</v>
      </c>
      <c r="F28" s="62" t="str">
        <f>IFERROR(VLOOKUP(D28,'Master List'!D:H,3,FALSE),"NA")</f>
        <v>510907</v>
      </c>
      <c r="G28" s="58">
        <f>IFERROR(VLOOKUP(D28,'Master List'!D:H,4,FALSE),"NA")</f>
        <v>510911</v>
      </c>
      <c r="H28" s="39" t="str">
        <f>IFERROR(VLOOKUP(D28,'Master List'!D:H,5,FALSE),"NA")</f>
        <v>Radiologic Technology/Science - Radiographer</v>
      </c>
      <c r="I28" s="19"/>
      <c r="J28" s="20"/>
      <c r="K28" s="20"/>
      <c r="L28" s="21"/>
    </row>
    <row r="29" spans="1:12" x14ac:dyDescent="0.3">
      <c r="A29" s="33">
        <v>14</v>
      </c>
      <c r="B29" s="33" t="s">
        <v>2216</v>
      </c>
      <c r="C29" s="34" t="s">
        <v>852</v>
      </c>
      <c r="D29" s="51" t="s">
        <v>101</v>
      </c>
      <c r="E29" s="61" t="str">
        <f>IFERROR(VLOOKUP(D29,'Master List'!D:H,2,FALSE),"NA")</f>
        <v>513801</v>
      </c>
      <c r="F29" s="62" t="str">
        <f>IFERROR(VLOOKUP(D29,'Master List'!D:H,3,FALSE),"NA")</f>
        <v>513801</v>
      </c>
      <c r="G29" s="58" t="str">
        <f>IFERROR(VLOOKUP(D29,'Master List'!D:H,4,FALSE),"NA")</f>
        <v>513801</v>
      </c>
      <c r="H29" s="39" t="str">
        <f>IFERROR(VLOOKUP(D29,'Master List'!D:H,5,FALSE),"NA")</f>
        <v>Registered Nursing/Registered Nurse.</v>
      </c>
      <c r="I29" s="19"/>
      <c r="J29" s="20"/>
      <c r="K29" s="20"/>
      <c r="L29" s="21"/>
    </row>
    <row r="30" spans="1:12" x14ac:dyDescent="0.3">
      <c r="A30" s="33">
        <v>14</v>
      </c>
      <c r="B30" s="33" t="s">
        <v>2216</v>
      </c>
      <c r="C30" s="34" t="s">
        <v>852</v>
      </c>
      <c r="D30" s="51" t="s">
        <v>400</v>
      </c>
      <c r="E30" s="61" t="str">
        <f>IFERROR(VLOOKUP(D30,'Master List'!D:H,2,FALSE),"NA")</f>
        <v>131210</v>
      </c>
      <c r="F30" s="62" t="str">
        <f>IFERROR(VLOOKUP(D30,'Master List'!D:H,3,FALSE),"NA")</f>
        <v>131210</v>
      </c>
      <c r="G30" s="58" t="str">
        <f>IFERROR(VLOOKUP(D30,'Master List'!D:H,4,FALSE),"NA")</f>
        <v>131210</v>
      </c>
      <c r="H30" s="39" t="str">
        <f>IFERROR(VLOOKUP(D30,'Master List'!D:H,5,FALSE),"NA")</f>
        <v>Early Childhood Education and Teaching.</v>
      </c>
      <c r="I30" s="19"/>
      <c r="J30" s="20"/>
      <c r="K30" s="20"/>
      <c r="L30" s="21"/>
    </row>
    <row r="31" spans="1:12" x14ac:dyDescent="0.3">
      <c r="A31" s="33">
        <v>14</v>
      </c>
      <c r="B31" s="33" t="s">
        <v>2216</v>
      </c>
      <c r="C31" s="34" t="s">
        <v>852</v>
      </c>
      <c r="D31" s="51" t="s">
        <v>167</v>
      </c>
      <c r="E31" s="61" t="str">
        <f>IFERROR(VLOOKUP(D31,'Master List'!D:H,2,FALSE),"NA")</f>
        <v>110103</v>
      </c>
      <c r="F31" s="62" t="str">
        <f>IFERROR(VLOOKUP(D31,'Master List'!D:H,3,FALSE),"NA")</f>
        <v>110103</v>
      </c>
      <c r="G31" s="58" t="str">
        <f>IFERROR(VLOOKUP(D31,'Master List'!D:H,4,FALSE),"NA")</f>
        <v>110103</v>
      </c>
      <c r="H31" s="39" t="str">
        <f>IFERROR(VLOOKUP(D31,'Master List'!D:H,5,FALSE),"NA")</f>
        <v>Information Technology.</v>
      </c>
      <c r="I31" s="19"/>
      <c r="J31" s="20"/>
      <c r="K31" s="20"/>
      <c r="L31" s="21"/>
    </row>
    <row r="32" spans="1:12" x14ac:dyDescent="0.3">
      <c r="A32" s="33">
        <v>14</v>
      </c>
      <c r="B32" s="33" t="s">
        <v>2216</v>
      </c>
      <c r="C32" s="34" t="s">
        <v>852</v>
      </c>
      <c r="D32" s="51" t="s">
        <v>170</v>
      </c>
      <c r="E32" s="61" t="str">
        <f>IFERROR(VLOOKUP(D32,'Master List'!D:H,2,FALSE),"NA")</f>
        <v>110201</v>
      </c>
      <c r="F32" s="62" t="str">
        <f>IFERROR(VLOOKUP(D32,'Master List'!D:H,3,FALSE),"NA")</f>
        <v>110201</v>
      </c>
      <c r="G32" s="58" t="str">
        <f>IFERROR(VLOOKUP(D32,'Master List'!D:H,4,FALSE),"NA")</f>
        <v>110201</v>
      </c>
      <c r="H32" s="39" t="str">
        <f>IFERROR(VLOOKUP(D32,'Master List'!D:H,5,FALSE),"NA")</f>
        <v>Computer Programming/Programmer, General.</v>
      </c>
      <c r="I32" s="19"/>
      <c r="J32" s="20"/>
      <c r="K32" s="20"/>
      <c r="L32" s="21"/>
    </row>
    <row r="33" spans="1:12" x14ac:dyDescent="0.3">
      <c r="A33" s="33">
        <v>14</v>
      </c>
      <c r="B33" s="33" t="s">
        <v>2216</v>
      </c>
      <c r="C33" s="34" t="s">
        <v>852</v>
      </c>
      <c r="D33" s="51" t="s">
        <v>106</v>
      </c>
      <c r="E33" s="61" t="str">
        <f>IFERROR(VLOOKUP(D33,'Master List'!D:H,2,FALSE),"NA")</f>
        <v>111001</v>
      </c>
      <c r="F33" s="62" t="str">
        <f>IFERROR(VLOOKUP(D33,'Master List'!D:H,3,FALSE),"NA")</f>
        <v>111001</v>
      </c>
      <c r="G33" s="58" t="str">
        <f>IFERROR(VLOOKUP(D33,'Master List'!D:H,4,FALSE),"NA")</f>
        <v>111001</v>
      </c>
      <c r="H33" s="39" t="str">
        <f>IFERROR(VLOOKUP(D33,'Master List'!D:H,5,FALSE),"NA")</f>
        <v>Network and System Administration/Administrator.</v>
      </c>
      <c r="I33" s="19"/>
      <c r="J33" s="20"/>
      <c r="K33" s="20"/>
      <c r="L33" s="21"/>
    </row>
    <row r="34" spans="1:12" x14ac:dyDescent="0.3">
      <c r="A34" s="33">
        <v>14</v>
      </c>
      <c r="B34" s="33" t="s">
        <v>2216</v>
      </c>
      <c r="C34" s="34" t="s">
        <v>852</v>
      </c>
      <c r="D34" s="51" t="s">
        <v>751</v>
      </c>
      <c r="E34" s="61" t="str">
        <f>IFERROR(VLOOKUP(D34,'Master List'!D:H,2,FALSE),"NA")</f>
        <v>111005</v>
      </c>
      <c r="F34" s="62" t="str">
        <f>IFERROR(VLOOKUP(D34,'Master List'!D:H,3,FALSE),"NA")</f>
        <v>111005</v>
      </c>
      <c r="G34" s="58" t="str">
        <f>IFERROR(VLOOKUP(D34,'Master List'!D:H,4,FALSE),"NA")</f>
        <v>111005</v>
      </c>
      <c r="H34" s="39" t="str">
        <f>IFERROR(VLOOKUP(D34,'Master List'!D:H,5,FALSE),"NA")</f>
        <v>Information Technology Project Management.</v>
      </c>
      <c r="I34" s="19"/>
      <c r="J34" s="20"/>
      <c r="K34" s="20"/>
      <c r="L34" s="21"/>
    </row>
    <row r="35" spans="1:12" x14ac:dyDescent="0.3">
      <c r="A35" s="33">
        <v>14</v>
      </c>
      <c r="B35" s="33" t="s">
        <v>2216</v>
      </c>
      <c r="C35" s="34" t="s">
        <v>852</v>
      </c>
      <c r="D35" s="51" t="s">
        <v>107</v>
      </c>
      <c r="E35" s="61" t="str">
        <f>IFERROR(VLOOKUP(D35,'Master List'!D:H,2,FALSE),"NA")</f>
        <v>520201</v>
      </c>
      <c r="F35" s="62" t="str">
        <f>IFERROR(VLOOKUP(D35,'Master List'!D:H,3,FALSE),"NA")</f>
        <v>520201</v>
      </c>
      <c r="G35" s="58" t="str">
        <f>IFERROR(VLOOKUP(D35,'Master List'!D:H,4,FALSE),"NA")</f>
        <v>520201</v>
      </c>
      <c r="H35" s="39" t="str">
        <f>IFERROR(VLOOKUP(D35,'Master List'!D:H,5,FALSE),"NA")</f>
        <v>Business Administration and Management, General.</v>
      </c>
      <c r="I35" s="19"/>
      <c r="J35" s="20"/>
      <c r="K35" s="20"/>
      <c r="L35" s="21"/>
    </row>
    <row r="36" spans="1:12" x14ac:dyDescent="0.3">
      <c r="A36" s="33">
        <v>14</v>
      </c>
      <c r="B36" s="33" t="s">
        <v>2216</v>
      </c>
      <c r="C36" s="34" t="s">
        <v>852</v>
      </c>
      <c r="D36" s="51" t="s">
        <v>111</v>
      </c>
      <c r="E36" s="61" t="str">
        <f>IFERROR(VLOOKUP(D36,'Master List'!D:H,2,FALSE),"NA")</f>
        <v>520703</v>
      </c>
      <c r="F36" s="62" t="str">
        <f>IFERROR(VLOOKUP(D36,'Master List'!D:H,3,FALSE),"NA")</f>
        <v>520703</v>
      </c>
      <c r="G36" s="58" t="str">
        <f>IFERROR(VLOOKUP(D36,'Master List'!D:H,4,FALSE),"NA")</f>
        <v>520703</v>
      </c>
      <c r="H36" s="39" t="str">
        <f>IFERROR(VLOOKUP(D36,'Master List'!D:H,5,FALSE),"NA")</f>
        <v>Small Business Administration/Management.</v>
      </c>
      <c r="I36" s="19"/>
      <c r="J36" s="20"/>
      <c r="K36" s="20"/>
      <c r="L36" s="21"/>
    </row>
    <row r="37" spans="1:12" x14ac:dyDescent="0.3">
      <c r="A37" s="33">
        <v>14</v>
      </c>
      <c r="B37" s="33" t="s">
        <v>2216</v>
      </c>
      <c r="C37" s="34" t="s">
        <v>852</v>
      </c>
      <c r="D37" s="51" t="s">
        <v>583</v>
      </c>
      <c r="E37" s="61" t="str">
        <f>IFERROR(VLOOKUP(D37,'Master List'!D:H,2,FALSE),"NA")</f>
        <v>110803</v>
      </c>
      <c r="F37" s="62" t="str">
        <f>IFERROR(VLOOKUP(D37,'Master List'!D:H,3,FALSE),"NA")</f>
        <v>110803</v>
      </c>
      <c r="G37" s="58" t="str">
        <f>IFERROR(VLOOKUP(D37,'Master List'!D:H,4,FALSE),"NA")</f>
        <v>110803</v>
      </c>
      <c r="H37" s="39" t="str">
        <f>IFERROR(VLOOKUP(D37,'Master List'!D:H,5,FALSE),"NA")</f>
        <v>Computer Graphics.</v>
      </c>
      <c r="I37" s="19"/>
      <c r="J37" s="20"/>
      <c r="K37" s="20"/>
      <c r="L37" s="21"/>
    </row>
    <row r="38" spans="1:12" x14ac:dyDescent="0.3">
      <c r="A38" s="33">
        <v>14</v>
      </c>
      <c r="B38" s="33" t="s">
        <v>2216</v>
      </c>
      <c r="C38" s="34" t="s">
        <v>852</v>
      </c>
      <c r="D38" s="51" t="s">
        <v>120</v>
      </c>
      <c r="E38" s="61" t="str">
        <f>IFERROR(VLOOKUP(D38,'Master List'!D:H,2,FALSE),"NA")</f>
        <v>150000</v>
      </c>
      <c r="F38" s="62" t="str">
        <f>IFERROR(VLOOKUP(D38,'Master List'!D:H,3,FALSE),"NA")</f>
        <v>150000</v>
      </c>
      <c r="G38" s="58" t="str">
        <f>IFERROR(VLOOKUP(D38,'Master List'!D:H,4,FALSE),"NA")</f>
        <v>150000</v>
      </c>
      <c r="H38" s="39" t="str">
        <f>IFERROR(VLOOKUP(D38,'Master List'!D:H,5,FALSE),"NA")</f>
        <v>Engineering Technologies/Technicians, General.</v>
      </c>
      <c r="I38" s="19"/>
      <c r="J38" s="20"/>
      <c r="K38" s="20"/>
      <c r="L38" s="21"/>
    </row>
    <row r="39" spans="1:12" x14ac:dyDescent="0.3">
      <c r="A39" s="33">
        <v>14</v>
      </c>
      <c r="B39" s="33" t="s">
        <v>2216</v>
      </c>
      <c r="C39" s="34" t="s">
        <v>852</v>
      </c>
      <c r="D39" s="51" t="s">
        <v>848</v>
      </c>
      <c r="E39" s="61" t="str">
        <f>IFERROR(VLOOKUP(D39,'Master List'!D:H,2,FALSE),"NA")</f>
        <v>NA</v>
      </c>
      <c r="F39" s="62" t="str">
        <f>IFERROR(VLOOKUP(D39,'Master List'!D:H,3,FALSE),"NA")</f>
        <v>NA</v>
      </c>
      <c r="G39" s="58" t="str">
        <f>IFERROR(VLOOKUP(D39,'Master List'!D:H,4,FALSE),"NA")</f>
        <v>NA</v>
      </c>
      <c r="H39" s="39" t="str">
        <f>IFERROR(VLOOKUP(D39,'Master List'!D:H,5,FALSE),"NA")</f>
        <v>NA</v>
      </c>
      <c r="I39" s="19"/>
      <c r="J39" s="20"/>
      <c r="K39" s="20"/>
      <c r="L39" s="21"/>
    </row>
    <row r="40" spans="1:12" x14ac:dyDescent="0.3">
      <c r="A40" s="33">
        <v>14</v>
      </c>
      <c r="B40" s="33" t="s">
        <v>2216</v>
      </c>
      <c r="C40" s="34" t="s">
        <v>852</v>
      </c>
      <c r="D40" s="51" t="s">
        <v>644</v>
      </c>
      <c r="E40" s="61" t="str">
        <f>IFERROR(VLOOKUP(D40,'Master List'!D:H,2,FALSE),"NA")</f>
        <v>460412</v>
      </c>
      <c r="F40" s="62" t="str">
        <f>IFERROR(VLOOKUP(D40,'Master List'!D:H,3,FALSE),"NA")</f>
        <v>460412</v>
      </c>
      <c r="G40" s="58" t="str">
        <f>IFERROR(VLOOKUP(D40,'Master List'!D:H,4,FALSE),"NA")</f>
        <v>460412</v>
      </c>
      <c r="H40" s="39" t="str">
        <f>IFERROR(VLOOKUP(D40,'Master List'!D:H,5,FALSE),"NA")</f>
        <v>Building/Construction Site Management/Manager.</v>
      </c>
      <c r="I40" s="19"/>
      <c r="J40" s="20"/>
      <c r="K40" s="20"/>
      <c r="L40" s="21"/>
    </row>
    <row r="41" spans="1:12" x14ac:dyDescent="0.3">
      <c r="A41" s="33">
        <v>14</v>
      </c>
      <c r="B41" s="33" t="s">
        <v>2216</v>
      </c>
      <c r="C41" s="34" t="s">
        <v>852</v>
      </c>
      <c r="D41" s="51" t="s">
        <v>586</v>
      </c>
      <c r="E41" s="61" t="str">
        <f>IFERROR(VLOOKUP(D41,'Master List'!D:H,2,FALSE),"NA")</f>
        <v>500602</v>
      </c>
      <c r="F41" s="62" t="str">
        <f>IFERROR(VLOOKUP(D41,'Master List'!D:H,3,FALSE),"NA")</f>
        <v>500602</v>
      </c>
      <c r="G41" s="58" t="str">
        <f>IFERROR(VLOOKUP(D41,'Master List'!D:H,4,FALSE),"NA")</f>
        <v>500602</v>
      </c>
      <c r="H41" s="39" t="str">
        <f>IFERROR(VLOOKUP(D41,'Master List'!D:H,5,FALSE),"NA")</f>
        <v>Cinematography and Film/Video Production.</v>
      </c>
      <c r="I41" s="19"/>
      <c r="J41" s="20"/>
      <c r="K41" s="20"/>
      <c r="L41" s="21"/>
    </row>
    <row r="42" spans="1:12" x14ac:dyDescent="0.3">
      <c r="A42" s="33">
        <v>14</v>
      </c>
      <c r="B42" s="33" t="s">
        <v>2216</v>
      </c>
      <c r="C42" s="34" t="s">
        <v>852</v>
      </c>
      <c r="D42" s="51" t="s">
        <v>475</v>
      </c>
      <c r="E42" s="61" t="str">
        <f>IFERROR(VLOOKUP(D42,'Master List'!D:H,2,FALSE),"NA")</f>
        <v>500605</v>
      </c>
      <c r="F42" s="62" t="str">
        <f>IFERROR(VLOOKUP(D42,'Master List'!D:H,3,FALSE),"NA")</f>
        <v>500605</v>
      </c>
      <c r="G42" s="58" t="str">
        <f>IFERROR(VLOOKUP(D42,'Master List'!D:H,4,FALSE),"NA")</f>
        <v>500605</v>
      </c>
      <c r="H42" s="39" t="str">
        <f>IFERROR(VLOOKUP(D42,'Master List'!D:H,5,FALSE),"NA")</f>
        <v>Photography.</v>
      </c>
      <c r="I42" s="19"/>
      <c r="J42" s="20"/>
      <c r="K42" s="20"/>
      <c r="L42" s="21"/>
    </row>
    <row r="43" spans="1:12" x14ac:dyDescent="0.3">
      <c r="A43" s="33">
        <v>14</v>
      </c>
      <c r="B43" s="33" t="s">
        <v>2216</v>
      </c>
      <c r="C43" s="34" t="s">
        <v>852</v>
      </c>
      <c r="D43" s="51" t="s">
        <v>125</v>
      </c>
      <c r="E43" s="61" t="str">
        <f>IFERROR(VLOOKUP(D43,'Master List'!D:H,2,FALSE),"NA")</f>
        <v>220302</v>
      </c>
      <c r="F43" s="62" t="str">
        <f>IFERROR(VLOOKUP(D43,'Master List'!D:H,3,FALSE),"NA")</f>
        <v>220302</v>
      </c>
      <c r="G43" s="58" t="str">
        <f>IFERROR(VLOOKUP(D43,'Master List'!D:H,4,FALSE),"NA")</f>
        <v>220302</v>
      </c>
      <c r="H43" s="39" t="str">
        <f>IFERROR(VLOOKUP(D43,'Master List'!D:H,5,FALSE),"NA")</f>
        <v>Legal Assistant/Paralegal.</v>
      </c>
      <c r="I43" s="19"/>
      <c r="J43" s="20"/>
      <c r="K43" s="20"/>
      <c r="L43" s="21"/>
    </row>
    <row r="44" spans="1:12" x14ac:dyDescent="0.3">
      <c r="A44" s="33">
        <v>14</v>
      </c>
      <c r="B44" s="33" t="s">
        <v>2216</v>
      </c>
      <c r="C44" s="34" t="s">
        <v>852</v>
      </c>
      <c r="D44" s="51" t="s">
        <v>128</v>
      </c>
      <c r="E44" s="61" t="str">
        <f>IFERROR(VLOOKUP(D44,'Master List'!D:H,2,FALSE),"NA")</f>
        <v>430103</v>
      </c>
      <c r="F44" s="62" t="str">
        <f>IFERROR(VLOOKUP(D44,'Master List'!D:H,3,FALSE),"NA")</f>
        <v>430103</v>
      </c>
      <c r="G44" s="58" t="str">
        <f>IFERROR(VLOOKUP(D44,'Master List'!D:H,4,FALSE),"NA")</f>
        <v>430103</v>
      </c>
      <c r="H44" s="39" t="str">
        <f>IFERROR(VLOOKUP(D44,'Master List'!D:H,5,FALSE),"NA")</f>
        <v>Criminal Justice/Law Enforcement Administration.</v>
      </c>
      <c r="I44" s="19"/>
      <c r="J44" s="20"/>
      <c r="K44" s="20"/>
      <c r="L44" s="21"/>
    </row>
  </sheetData>
  <sheetProtection algorithmName="SHA-512" hashValue="E7NEpW2IWzcJAZ+Oi4kWkxwfh7ls2eSj52kostz703KSEdRzYPsjD+1cG2Dv0/pzTkIq5UUsTGBOE4sWHkH+6g==" saltValue="BeRc5Oaj03zuQOv908vVbg==" spinCount="100000" sheet="1" objects="1" scenarios="1" sort="0" autoFilter="0"/>
  <autoFilter ref="A2:L44"/>
  <mergeCells count="3">
    <mergeCell ref="A1:D1"/>
    <mergeCell ref="E1:H1"/>
    <mergeCell ref="I1:L1"/>
  </mergeCells>
  <dataValidations count="1">
    <dataValidation type="list" allowBlank="1" showInputMessage="1" showErrorMessage="1" sqref="I3:I44">
      <formula1>"Agree,Disagree"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88"/>
  <sheetViews>
    <sheetView workbookViewId="0">
      <selection activeCell="A958" sqref="A958:XFD959"/>
    </sheetView>
  </sheetViews>
  <sheetFormatPr defaultRowHeight="14.4" outlineLevelRow="2" x14ac:dyDescent="0.3"/>
  <cols>
    <col min="1" max="1" width="8.88671875" style="6"/>
    <col min="2" max="2" width="43.33203125" bestFit="1" customWidth="1"/>
    <col min="3" max="3" width="11.6640625" style="9" customWidth="1"/>
    <col min="4" max="4" width="8.88671875" style="9"/>
    <col min="5" max="5" width="8.88671875" style="9" customWidth="1"/>
    <col min="6" max="6" width="11.33203125" bestFit="1" customWidth="1"/>
    <col min="7" max="7" width="7" bestFit="1" customWidth="1"/>
    <col min="8" max="8" width="45" customWidth="1"/>
  </cols>
  <sheetData>
    <row r="1" spans="1:8" ht="57.6" x14ac:dyDescent="0.3">
      <c r="A1" s="5" t="s">
        <v>1</v>
      </c>
      <c r="B1" s="4" t="s">
        <v>2</v>
      </c>
      <c r="C1" s="7" t="s">
        <v>1862</v>
      </c>
      <c r="D1" s="8" t="s">
        <v>1863</v>
      </c>
      <c r="E1" s="7" t="s">
        <v>1800</v>
      </c>
      <c r="F1" s="4" t="s">
        <v>1801</v>
      </c>
      <c r="G1" s="4" t="s">
        <v>1802</v>
      </c>
      <c r="H1" s="4" t="s">
        <v>1803</v>
      </c>
    </row>
    <row r="2" spans="1:8" outlineLevel="2" x14ac:dyDescent="0.3">
      <c r="A2" s="6">
        <v>1</v>
      </c>
      <c r="B2" t="s">
        <v>7</v>
      </c>
      <c r="C2" s="9" t="s">
        <v>1266</v>
      </c>
      <c r="D2" s="9">
        <v>50</v>
      </c>
      <c r="E2" s="9" t="s">
        <v>1804</v>
      </c>
      <c r="F2" t="s">
        <v>8</v>
      </c>
      <c r="G2" t="s">
        <v>526</v>
      </c>
      <c r="H2" t="s">
        <v>1805</v>
      </c>
    </row>
    <row r="3" spans="1:8" outlineLevel="2" x14ac:dyDescent="0.3">
      <c r="A3" s="6">
        <v>1</v>
      </c>
      <c r="B3" t="s">
        <v>7</v>
      </c>
      <c r="C3" s="9" t="s">
        <v>932</v>
      </c>
      <c r="D3" s="9">
        <v>37</v>
      </c>
      <c r="E3" s="9" t="s">
        <v>1804</v>
      </c>
      <c r="F3" t="s">
        <v>198</v>
      </c>
      <c r="G3" t="s">
        <v>196</v>
      </c>
      <c r="H3" t="s">
        <v>1267</v>
      </c>
    </row>
    <row r="4" spans="1:8" outlineLevel="2" x14ac:dyDescent="0.3">
      <c r="A4" s="6">
        <v>1</v>
      </c>
      <c r="B4" t="s">
        <v>7</v>
      </c>
      <c r="C4" s="9" t="s">
        <v>932</v>
      </c>
      <c r="D4" s="9">
        <v>44</v>
      </c>
      <c r="E4" s="9" t="s">
        <v>1804</v>
      </c>
      <c r="F4" t="s">
        <v>202</v>
      </c>
      <c r="G4" t="s">
        <v>200</v>
      </c>
      <c r="H4" t="s">
        <v>1272</v>
      </c>
    </row>
    <row r="5" spans="1:8" outlineLevel="2" x14ac:dyDescent="0.3">
      <c r="A5" s="6">
        <v>1</v>
      </c>
      <c r="B5" t="s">
        <v>7</v>
      </c>
      <c r="C5" s="9" t="s">
        <v>1266</v>
      </c>
      <c r="D5" s="9">
        <v>40</v>
      </c>
      <c r="E5" s="9" t="s">
        <v>1804</v>
      </c>
      <c r="F5" t="s">
        <v>11</v>
      </c>
      <c r="G5" t="s">
        <v>12</v>
      </c>
      <c r="H5" t="s">
        <v>1277</v>
      </c>
    </row>
    <row r="6" spans="1:8" outlineLevel="2" x14ac:dyDescent="0.3">
      <c r="A6" s="6">
        <v>1</v>
      </c>
      <c r="B6" t="s">
        <v>7</v>
      </c>
      <c r="C6" s="9" t="s">
        <v>932</v>
      </c>
      <c r="D6" s="9">
        <v>14</v>
      </c>
      <c r="E6" s="9" t="s">
        <v>1804</v>
      </c>
      <c r="F6" t="s">
        <v>911</v>
      </c>
      <c r="G6" t="s">
        <v>680</v>
      </c>
      <c r="H6" t="s">
        <v>949</v>
      </c>
    </row>
    <row r="7" spans="1:8" outlineLevel="2" x14ac:dyDescent="0.3">
      <c r="A7" s="6">
        <v>1</v>
      </c>
      <c r="B7" t="s">
        <v>7</v>
      </c>
      <c r="C7" s="9" t="s">
        <v>932</v>
      </c>
      <c r="D7" s="9">
        <v>42</v>
      </c>
      <c r="E7" s="9" t="s">
        <v>1804</v>
      </c>
      <c r="F7" t="s">
        <v>14</v>
      </c>
      <c r="G7" t="s">
        <v>15</v>
      </c>
      <c r="H7" t="s">
        <v>1290</v>
      </c>
    </row>
    <row r="8" spans="1:8" outlineLevel="2" x14ac:dyDescent="0.3">
      <c r="A8" s="6">
        <v>1</v>
      </c>
      <c r="B8" t="s">
        <v>7</v>
      </c>
      <c r="C8" s="9" t="s">
        <v>1266</v>
      </c>
      <c r="D8" s="9">
        <v>12</v>
      </c>
      <c r="E8" s="9" t="s">
        <v>1804</v>
      </c>
      <c r="F8" t="s">
        <v>17</v>
      </c>
      <c r="G8" t="s">
        <v>15</v>
      </c>
      <c r="H8" t="s">
        <v>1291</v>
      </c>
    </row>
    <row r="9" spans="1:8" outlineLevel="2" x14ac:dyDescent="0.3">
      <c r="A9" s="6">
        <v>1</v>
      </c>
      <c r="B9" t="s">
        <v>7</v>
      </c>
      <c r="C9" s="9" t="s">
        <v>1807</v>
      </c>
      <c r="D9" s="9">
        <v>165</v>
      </c>
      <c r="E9" s="9" t="s">
        <v>1808</v>
      </c>
      <c r="F9" t="s">
        <v>410</v>
      </c>
      <c r="G9" t="s">
        <v>411</v>
      </c>
      <c r="H9" t="s">
        <v>1313</v>
      </c>
    </row>
    <row r="10" spans="1:8" outlineLevel="2" x14ac:dyDescent="0.3">
      <c r="A10" s="6">
        <v>1</v>
      </c>
      <c r="B10" t="s">
        <v>7</v>
      </c>
      <c r="C10" s="9" t="s">
        <v>932</v>
      </c>
      <c r="D10" s="9">
        <v>31</v>
      </c>
      <c r="E10" s="9" t="s">
        <v>1804</v>
      </c>
      <c r="F10" t="s">
        <v>208</v>
      </c>
      <c r="G10" t="s">
        <v>209</v>
      </c>
      <c r="H10" t="s">
        <v>1325</v>
      </c>
    </row>
    <row r="11" spans="1:8" outlineLevel="2" x14ac:dyDescent="0.3">
      <c r="A11" s="6">
        <v>1</v>
      </c>
      <c r="B11" t="s">
        <v>7</v>
      </c>
      <c r="C11" s="9" t="s">
        <v>1807</v>
      </c>
      <c r="D11" s="9">
        <v>1350</v>
      </c>
      <c r="E11" s="9" t="s">
        <v>1808</v>
      </c>
      <c r="F11" t="s">
        <v>413</v>
      </c>
      <c r="G11" t="s">
        <v>414</v>
      </c>
      <c r="H11" t="s">
        <v>1332</v>
      </c>
    </row>
    <row r="12" spans="1:8" outlineLevel="2" x14ac:dyDescent="0.3">
      <c r="A12" s="6">
        <v>1</v>
      </c>
      <c r="B12" t="s">
        <v>7</v>
      </c>
      <c r="C12" s="9" t="s">
        <v>1807</v>
      </c>
      <c r="D12" s="9">
        <v>290</v>
      </c>
      <c r="E12" s="9" t="s">
        <v>1808</v>
      </c>
      <c r="F12" t="s">
        <v>777</v>
      </c>
      <c r="G12" t="s">
        <v>26</v>
      </c>
      <c r="H12" t="s">
        <v>1334</v>
      </c>
    </row>
    <row r="13" spans="1:8" outlineLevel="2" x14ac:dyDescent="0.3">
      <c r="A13" s="6">
        <v>1</v>
      </c>
      <c r="B13" t="s">
        <v>7</v>
      </c>
      <c r="C13" s="9" t="s">
        <v>932</v>
      </c>
      <c r="D13" s="9">
        <v>36</v>
      </c>
      <c r="E13" s="9" t="s">
        <v>1804</v>
      </c>
      <c r="F13" t="s">
        <v>28</v>
      </c>
      <c r="G13" t="s">
        <v>29</v>
      </c>
      <c r="H13" t="s">
        <v>1180</v>
      </c>
    </row>
    <row r="14" spans="1:8" outlineLevel="2" x14ac:dyDescent="0.3">
      <c r="A14" s="6">
        <v>1</v>
      </c>
      <c r="B14" t="s">
        <v>7</v>
      </c>
      <c r="C14" s="9" t="s">
        <v>932</v>
      </c>
      <c r="D14" s="9">
        <v>12</v>
      </c>
      <c r="E14" s="9" t="s">
        <v>1804</v>
      </c>
      <c r="F14" t="s">
        <v>483</v>
      </c>
      <c r="G14" t="s">
        <v>29</v>
      </c>
      <c r="H14" t="s">
        <v>1182</v>
      </c>
    </row>
    <row r="15" spans="1:8" outlineLevel="2" x14ac:dyDescent="0.3">
      <c r="A15" s="6">
        <v>1</v>
      </c>
      <c r="B15" t="s">
        <v>7</v>
      </c>
      <c r="C15" s="9" t="s">
        <v>932</v>
      </c>
      <c r="D15" s="9">
        <v>12</v>
      </c>
      <c r="E15" s="9" t="s">
        <v>1804</v>
      </c>
      <c r="F15" t="s">
        <v>588</v>
      </c>
      <c r="G15" t="s">
        <v>29</v>
      </c>
      <c r="H15" t="s">
        <v>1183</v>
      </c>
    </row>
    <row r="16" spans="1:8" outlineLevel="2" x14ac:dyDescent="0.3">
      <c r="A16" s="6">
        <v>1</v>
      </c>
      <c r="B16" t="s">
        <v>7</v>
      </c>
      <c r="C16" s="9" t="s">
        <v>932</v>
      </c>
      <c r="D16" s="9">
        <v>12</v>
      </c>
      <c r="E16" s="9" t="s">
        <v>1804</v>
      </c>
      <c r="F16" t="s">
        <v>589</v>
      </c>
      <c r="G16" t="s">
        <v>29</v>
      </c>
      <c r="H16" t="s">
        <v>1184</v>
      </c>
    </row>
    <row r="17" spans="1:8" outlineLevel="2" x14ac:dyDescent="0.3">
      <c r="A17" s="6">
        <v>1</v>
      </c>
      <c r="B17" t="s">
        <v>7</v>
      </c>
      <c r="C17" s="9" t="s">
        <v>932</v>
      </c>
      <c r="D17" s="9">
        <v>18</v>
      </c>
      <c r="E17" s="9" t="s">
        <v>1804</v>
      </c>
      <c r="F17" t="s">
        <v>912</v>
      </c>
      <c r="G17" t="s">
        <v>386</v>
      </c>
      <c r="H17" t="s">
        <v>1422</v>
      </c>
    </row>
    <row r="18" spans="1:8" outlineLevel="2" x14ac:dyDescent="0.3">
      <c r="A18" s="6">
        <v>1</v>
      </c>
      <c r="B18" t="s">
        <v>7</v>
      </c>
      <c r="C18" s="9" t="s">
        <v>932</v>
      </c>
      <c r="D18" s="9">
        <v>18</v>
      </c>
      <c r="E18" s="9" t="s">
        <v>1804</v>
      </c>
      <c r="F18" t="s">
        <v>669</v>
      </c>
      <c r="G18" t="s">
        <v>386</v>
      </c>
      <c r="H18" t="s">
        <v>1423</v>
      </c>
    </row>
    <row r="19" spans="1:8" outlineLevel="2" x14ac:dyDescent="0.3">
      <c r="A19" s="6">
        <v>1</v>
      </c>
      <c r="B19" t="s">
        <v>7</v>
      </c>
      <c r="C19" s="9" t="s">
        <v>932</v>
      </c>
      <c r="D19" s="9">
        <v>18</v>
      </c>
      <c r="E19" s="9" t="s">
        <v>1804</v>
      </c>
      <c r="F19" t="s">
        <v>913</v>
      </c>
      <c r="G19" t="s">
        <v>386</v>
      </c>
      <c r="H19" t="s">
        <v>1424</v>
      </c>
    </row>
    <row r="20" spans="1:8" outlineLevel="2" x14ac:dyDescent="0.3">
      <c r="A20" s="6">
        <v>1</v>
      </c>
      <c r="B20" t="s">
        <v>7</v>
      </c>
      <c r="C20" s="9" t="s">
        <v>932</v>
      </c>
      <c r="D20" s="9">
        <v>18</v>
      </c>
      <c r="E20" s="9" t="s">
        <v>1804</v>
      </c>
      <c r="F20" t="s">
        <v>217</v>
      </c>
      <c r="G20" t="s">
        <v>168</v>
      </c>
      <c r="H20" t="s">
        <v>1442</v>
      </c>
    </row>
    <row r="21" spans="1:8" outlineLevel="2" x14ac:dyDescent="0.3">
      <c r="A21" s="6">
        <v>1</v>
      </c>
      <c r="B21" t="s">
        <v>7</v>
      </c>
      <c r="C21" s="9" t="s">
        <v>932</v>
      </c>
      <c r="D21" s="9">
        <v>33</v>
      </c>
      <c r="E21" s="9" t="s">
        <v>1804</v>
      </c>
      <c r="F21" t="s">
        <v>390</v>
      </c>
      <c r="G21" t="s">
        <v>391</v>
      </c>
      <c r="H21" t="s">
        <v>1449</v>
      </c>
    </row>
    <row r="22" spans="1:8" outlineLevel="2" x14ac:dyDescent="0.3">
      <c r="A22" s="6">
        <v>1</v>
      </c>
      <c r="B22" t="s">
        <v>7</v>
      </c>
      <c r="C22" s="9" t="s">
        <v>932</v>
      </c>
      <c r="D22" s="9">
        <v>15</v>
      </c>
      <c r="E22" s="9" t="s">
        <v>1804</v>
      </c>
      <c r="F22" t="s">
        <v>811</v>
      </c>
      <c r="G22" t="s">
        <v>812</v>
      </c>
      <c r="H22" t="s">
        <v>1452</v>
      </c>
    </row>
    <row r="23" spans="1:8" outlineLevel="2" x14ac:dyDescent="0.3">
      <c r="A23" s="6">
        <v>1</v>
      </c>
      <c r="B23" t="s">
        <v>7</v>
      </c>
      <c r="C23" s="9" t="s">
        <v>932</v>
      </c>
      <c r="D23" s="9">
        <v>35</v>
      </c>
      <c r="E23" s="9" t="s">
        <v>1804</v>
      </c>
      <c r="F23" t="s">
        <v>421</v>
      </c>
      <c r="G23" t="s">
        <v>115</v>
      </c>
      <c r="H23" t="s">
        <v>1464</v>
      </c>
    </row>
    <row r="24" spans="1:8" outlineLevel="2" x14ac:dyDescent="0.3">
      <c r="A24" s="6">
        <v>1</v>
      </c>
      <c r="B24" t="s">
        <v>7</v>
      </c>
      <c r="C24" s="9" t="s">
        <v>932</v>
      </c>
      <c r="D24" s="9">
        <v>24</v>
      </c>
      <c r="E24" s="9" t="s">
        <v>1804</v>
      </c>
      <c r="F24" t="s">
        <v>31</v>
      </c>
      <c r="G24" t="s">
        <v>32</v>
      </c>
      <c r="H24" t="s">
        <v>1483</v>
      </c>
    </row>
    <row r="25" spans="1:8" outlineLevel="2" x14ac:dyDescent="0.3">
      <c r="A25" s="6">
        <v>1</v>
      </c>
      <c r="B25" t="s">
        <v>7</v>
      </c>
      <c r="C25" s="9" t="s">
        <v>932</v>
      </c>
      <c r="D25" s="9">
        <v>21</v>
      </c>
      <c r="E25" s="9" t="s">
        <v>1804</v>
      </c>
      <c r="F25" t="s">
        <v>34</v>
      </c>
      <c r="G25" t="s">
        <v>32</v>
      </c>
      <c r="H25" t="s">
        <v>1485</v>
      </c>
    </row>
    <row r="26" spans="1:8" outlineLevel="2" x14ac:dyDescent="0.3">
      <c r="A26" s="6">
        <v>1</v>
      </c>
      <c r="B26" t="s">
        <v>7</v>
      </c>
      <c r="C26" s="9" t="s">
        <v>932</v>
      </c>
      <c r="D26" s="9">
        <v>24</v>
      </c>
      <c r="E26" s="9" t="s">
        <v>1804</v>
      </c>
      <c r="F26" t="s">
        <v>542</v>
      </c>
      <c r="G26" t="s">
        <v>32</v>
      </c>
      <c r="H26" t="s">
        <v>1487</v>
      </c>
    </row>
    <row r="27" spans="1:8" outlineLevel="2" x14ac:dyDescent="0.3">
      <c r="A27" s="6">
        <v>1</v>
      </c>
      <c r="B27" t="s">
        <v>7</v>
      </c>
      <c r="C27" s="9" t="s">
        <v>932</v>
      </c>
      <c r="D27" s="9">
        <v>30</v>
      </c>
      <c r="E27" s="9" t="s">
        <v>1804</v>
      </c>
      <c r="F27" t="s">
        <v>35</v>
      </c>
      <c r="G27" t="s">
        <v>32</v>
      </c>
      <c r="H27" t="s">
        <v>1489</v>
      </c>
    </row>
    <row r="28" spans="1:8" outlineLevel="2" x14ac:dyDescent="0.3">
      <c r="A28" s="6">
        <v>1</v>
      </c>
      <c r="B28" t="s">
        <v>7</v>
      </c>
      <c r="C28" s="9" t="s">
        <v>932</v>
      </c>
      <c r="D28" s="9">
        <v>21</v>
      </c>
      <c r="E28" s="9" t="s">
        <v>1804</v>
      </c>
      <c r="F28" t="s">
        <v>36</v>
      </c>
      <c r="G28" t="s">
        <v>32</v>
      </c>
      <c r="H28" t="s">
        <v>1492</v>
      </c>
    </row>
    <row r="29" spans="1:8" outlineLevel="2" x14ac:dyDescent="0.3">
      <c r="A29" s="6">
        <v>1</v>
      </c>
      <c r="B29" t="s">
        <v>7</v>
      </c>
      <c r="C29" s="9" t="s">
        <v>932</v>
      </c>
      <c r="D29" s="9">
        <v>21</v>
      </c>
      <c r="E29" s="9" t="s">
        <v>1804</v>
      </c>
      <c r="F29" t="s">
        <v>223</v>
      </c>
      <c r="G29" t="s">
        <v>224</v>
      </c>
      <c r="H29" t="s">
        <v>1510</v>
      </c>
    </row>
    <row r="30" spans="1:8" outlineLevel="2" x14ac:dyDescent="0.3">
      <c r="A30" s="6">
        <v>1</v>
      </c>
      <c r="B30" t="s">
        <v>7</v>
      </c>
      <c r="C30" s="9" t="s">
        <v>932</v>
      </c>
      <c r="D30" s="9">
        <v>34</v>
      </c>
      <c r="E30" s="9" t="s">
        <v>1804</v>
      </c>
      <c r="F30" t="s">
        <v>422</v>
      </c>
      <c r="G30" t="s">
        <v>423</v>
      </c>
      <c r="H30" t="s">
        <v>1149</v>
      </c>
    </row>
    <row r="31" spans="1:8" outlineLevel="2" x14ac:dyDescent="0.3">
      <c r="A31" s="6">
        <v>1</v>
      </c>
      <c r="B31" t="s">
        <v>7</v>
      </c>
      <c r="C31" s="9" t="s">
        <v>932</v>
      </c>
      <c r="D31" s="9">
        <v>12</v>
      </c>
      <c r="E31" s="9" t="s">
        <v>1804</v>
      </c>
      <c r="F31" t="s">
        <v>153</v>
      </c>
      <c r="G31" t="s">
        <v>108</v>
      </c>
      <c r="H31" t="s">
        <v>1150</v>
      </c>
    </row>
    <row r="32" spans="1:8" outlineLevel="2" x14ac:dyDescent="0.3">
      <c r="A32" s="6">
        <v>1</v>
      </c>
      <c r="B32" t="s">
        <v>7</v>
      </c>
      <c r="C32" s="9" t="s">
        <v>932</v>
      </c>
      <c r="D32" s="9">
        <v>18</v>
      </c>
      <c r="E32" s="9" t="s">
        <v>1804</v>
      </c>
      <c r="F32" t="s">
        <v>154</v>
      </c>
      <c r="G32" t="s">
        <v>108</v>
      </c>
      <c r="H32" t="s">
        <v>1151</v>
      </c>
    </row>
    <row r="33" spans="1:8" outlineLevel="2" x14ac:dyDescent="0.3">
      <c r="A33" s="6">
        <v>1</v>
      </c>
      <c r="B33" t="s">
        <v>7</v>
      </c>
      <c r="C33" s="9" t="s">
        <v>932</v>
      </c>
      <c r="D33" s="9">
        <v>21</v>
      </c>
      <c r="E33" s="9" t="s">
        <v>1804</v>
      </c>
      <c r="F33" t="s">
        <v>507</v>
      </c>
      <c r="G33" t="s">
        <v>108</v>
      </c>
      <c r="H33" t="s">
        <v>1154</v>
      </c>
    </row>
    <row r="34" spans="1:8" outlineLevel="2" x14ac:dyDescent="0.3">
      <c r="A34" s="6">
        <v>1</v>
      </c>
      <c r="B34" t="s">
        <v>7</v>
      </c>
      <c r="C34" s="9" t="s">
        <v>932</v>
      </c>
      <c r="D34" s="9">
        <v>27</v>
      </c>
      <c r="E34" s="9" t="s">
        <v>1804</v>
      </c>
      <c r="F34" t="s">
        <v>37</v>
      </c>
      <c r="G34" t="s">
        <v>38</v>
      </c>
      <c r="H34" t="s">
        <v>1164</v>
      </c>
    </row>
    <row r="35" spans="1:8" outlineLevel="2" x14ac:dyDescent="0.3">
      <c r="A35" s="6">
        <v>1</v>
      </c>
      <c r="B35" t="s">
        <v>7</v>
      </c>
      <c r="C35" s="9" t="s">
        <v>932</v>
      </c>
      <c r="D35" s="9">
        <v>12</v>
      </c>
      <c r="E35" s="9" t="s">
        <v>1804</v>
      </c>
      <c r="F35" t="s">
        <v>226</v>
      </c>
      <c r="G35" t="s">
        <v>38</v>
      </c>
      <c r="H35" t="s">
        <v>1165</v>
      </c>
    </row>
    <row r="36" spans="1:8" outlineLevel="2" x14ac:dyDescent="0.3">
      <c r="A36" s="6">
        <v>1</v>
      </c>
      <c r="B36" t="s">
        <v>7</v>
      </c>
      <c r="C36" s="9" t="s">
        <v>932</v>
      </c>
      <c r="D36" s="9">
        <v>27</v>
      </c>
      <c r="E36" s="9" t="s">
        <v>1804</v>
      </c>
      <c r="F36" t="s">
        <v>914</v>
      </c>
      <c r="G36" t="s">
        <v>38</v>
      </c>
      <c r="H36" t="s">
        <v>1166</v>
      </c>
    </row>
    <row r="37" spans="1:8" outlineLevel="2" x14ac:dyDescent="0.3">
      <c r="A37" s="6">
        <v>1</v>
      </c>
      <c r="B37" t="s">
        <v>7</v>
      </c>
      <c r="C37" s="9" t="s">
        <v>932</v>
      </c>
      <c r="D37" s="9">
        <v>18</v>
      </c>
      <c r="E37" s="9" t="s">
        <v>1804</v>
      </c>
      <c r="F37" t="s">
        <v>227</v>
      </c>
      <c r="G37" t="s">
        <v>41</v>
      </c>
      <c r="H37" t="s">
        <v>1167</v>
      </c>
    </row>
    <row r="38" spans="1:8" outlineLevel="2" x14ac:dyDescent="0.3">
      <c r="A38" s="6">
        <v>1</v>
      </c>
      <c r="B38" t="s">
        <v>7</v>
      </c>
      <c r="C38" s="9" t="s">
        <v>932</v>
      </c>
      <c r="D38" s="9">
        <v>12</v>
      </c>
      <c r="E38" s="9" t="s">
        <v>1804</v>
      </c>
      <c r="F38" t="s">
        <v>228</v>
      </c>
      <c r="G38" t="s">
        <v>41</v>
      </c>
      <c r="H38" t="s">
        <v>1168</v>
      </c>
    </row>
    <row r="39" spans="1:8" outlineLevel="2" x14ac:dyDescent="0.3">
      <c r="A39" s="6">
        <v>1</v>
      </c>
      <c r="B39" t="s">
        <v>7</v>
      </c>
      <c r="C39" s="9" t="s">
        <v>932</v>
      </c>
      <c r="D39" s="9">
        <v>27</v>
      </c>
      <c r="E39" s="9" t="s">
        <v>1804</v>
      </c>
      <c r="F39" t="s">
        <v>40</v>
      </c>
      <c r="G39" t="s">
        <v>41</v>
      </c>
      <c r="H39" t="s">
        <v>1169</v>
      </c>
    </row>
    <row r="40" spans="1:8" outlineLevel="2" x14ac:dyDescent="0.3">
      <c r="A40" s="6">
        <v>1</v>
      </c>
      <c r="B40" t="s">
        <v>7</v>
      </c>
      <c r="C40" s="9" t="s">
        <v>932</v>
      </c>
      <c r="D40" s="9">
        <v>18</v>
      </c>
      <c r="E40" s="9" t="s">
        <v>1804</v>
      </c>
      <c r="F40" t="s">
        <v>229</v>
      </c>
      <c r="G40" t="s">
        <v>230</v>
      </c>
      <c r="H40" t="s">
        <v>1170</v>
      </c>
    </row>
    <row r="41" spans="1:8" outlineLevel="2" x14ac:dyDescent="0.3">
      <c r="A41" s="6">
        <v>1</v>
      </c>
      <c r="B41" t="s">
        <v>7</v>
      </c>
      <c r="C41" s="9" t="s">
        <v>932</v>
      </c>
      <c r="D41" s="9">
        <v>24</v>
      </c>
      <c r="E41" s="9" t="s">
        <v>1804</v>
      </c>
      <c r="F41" t="s">
        <v>232</v>
      </c>
      <c r="G41" t="s">
        <v>144</v>
      </c>
      <c r="H41" t="s">
        <v>1171</v>
      </c>
    </row>
    <row r="42" spans="1:8" outlineLevel="2" x14ac:dyDescent="0.3">
      <c r="A42" s="6">
        <v>1</v>
      </c>
      <c r="B42" t="s">
        <v>7</v>
      </c>
      <c r="C42" s="9" t="s">
        <v>932</v>
      </c>
      <c r="D42" s="9">
        <v>25</v>
      </c>
      <c r="E42" s="9" t="s">
        <v>1804</v>
      </c>
      <c r="F42" t="s">
        <v>394</v>
      </c>
      <c r="G42" t="s">
        <v>112</v>
      </c>
      <c r="H42" t="s">
        <v>1172</v>
      </c>
    </row>
    <row r="43" spans="1:8" outlineLevel="2" x14ac:dyDescent="0.3">
      <c r="A43" s="6">
        <v>1</v>
      </c>
      <c r="B43" t="s">
        <v>7</v>
      </c>
      <c r="C43" s="9" t="s">
        <v>932</v>
      </c>
      <c r="D43" s="9">
        <v>12</v>
      </c>
      <c r="E43" s="9" t="s">
        <v>1804</v>
      </c>
      <c r="F43" t="s">
        <v>233</v>
      </c>
      <c r="G43" t="s">
        <v>112</v>
      </c>
      <c r="H43" t="s">
        <v>1146</v>
      </c>
    </row>
    <row r="44" spans="1:8" outlineLevel="2" x14ac:dyDescent="0.3">
      <c r="A44" s="6">
        <v>1</v>
      </c>
      <c r="B44" t="s">
        <v>7</v>
      </c>
      <c r="C44" s="9" t="s">
        <v>932</v>
      </c>
      <c r="D44" s="9">
        <v>25</v>
      </c>
      <c r="E44" s="9" t="s">
        <v>1804</v>
      </c>
      <c r="F44" t="s">
        <v>624</v>
      </c>
      <c r="G44" t="s">
        <v>112</v>
      </c>
      <c r="H44" t="s">
        <v>1173</v>
      </c>
    </row>
    <row r="45" spans="1:8" outlineLevel="2" x14ac:dyDescent="0.3">
      <c r="A45" s="6">
        <v>1</v>
      </c>
      <c r="B45" t="s">
        <v>7</v>
      </c>
      <c r="C45" s="9" t="s">
        <v>932</v>
      </c>
      <c r="D45" s="9">
        <v>12</v>
      </c>
      <c r="E45" s="9" t="s">
        <v>1804</v>
      </c>
      <c r="F45" t="s">
        <v>426</v>
      </c>
      <c r="G45" t="s">
        <v>44</v>
      </c>
      <c r="H45" t="s">
        <v>1051</v>
      </c>
    </row>
    <row r="46" spans="1:8" outlineLevel="2" x14ac:dyDescent="0.3">
      <c r="A46" s="6">
        <v>1</v>
      </c>
      <c r="B46" t="s">
        <v>7</v>
      </c>
      <c r="C46" s="9" t="s">
        <v>932</v>
      </c>
      <c r="D46" s="9">
        <v>24</v>
      </c>
      <c r="E46" s="9" t="s">
        <v>1804</v>
      </c>
      <c r="F46" t="s">
        <v>427</v>
      </c>
      <c r="G46" t="s">
        <v>428</v>
      </c>
      <c r="H46" t="s">
        <v>1054</v>
      </c>
    </row>
    <row r="47" spans="1:8" outlineLevel="2" x14ac:dyDescent="0.3">
      <c r="A47" s="6">
        <v>1</v>
      </c>
      <c r="B47" t="s">
        <v>7</v>
      </c>
      <c r="C47" s="9" t="s">
        <v>932</v>
      </c>
      <c r="D47" s="9">
        <v>12</v>
      </c>
      <c r="E47" s="9" t="s">
        <v>1804</v>
      </c>
      <c r="F47" t="s">
        <v>550</v>
      </c>
      <c r="G47" t="s">
        <v>551</v>
      </c>
      <c r="H47" t="s">
        <v>1059</v>
      </c>
    </row>
    <row r="48" spans="1:8" outlineLevel="2" x14ac:dyDescent="0.3">
      <c r="A48" s="6">
        <v>1</v>
      </c>
      <c r="B48" t="s">
        <v>7</v>
      </c>
      <c r="C48" s="9" t="s">
        <v>932</v>
      </c>
      <c r="D48" s="9">
        <v>15</v>
      </c>
      <c r="E48" s="9" t="s">
        <v>1804</v>
      </c>
      <c r="F48" t="s">
        <v>515</v>
      </c>
      <c r="G48" t="s">
        <v>238</v>
      </c>
      <c r="H48" t="s">
        <v>1064</v>
      </c>
    </row>
    <row r="49" spans="1:8" outlineLevel="2" x14ac:dyDescent="0.3">
      <c r="A49" s="6">
        <v>1</v>
      </c>
      <c r="B49" t="s">
        <v>7</v>
      </c>
      <c r="C49" s="9" t="s">
        <v>932</v>
      </c>
      <c r="D49" s="9">
        <v>24</v>
      </c>
      <c r="E49" s="9" t="s">
        <v>1804</v>
      </c>
      <c r="F49" t="s">
        <v>237</v>
      </c>
      <c r="G49" t="s">
        <v>238</v>
      </c>
      <c r="H49" t="s">
        <v>1065</v>
      </c>
    </row>
    <row r="50" spans="1:8" outlineLevel="2" x14ac:dyDescent="0.3">
      <c r="A50" s="6">
        <v>1</v>
      </c>
      <c r="B50" t="s">
        <v>7</v>
      </c>
      <c r="C50" s="9" t="s">
        <v>932</v>
      </c>
      <c r="D50" s="9">
        <v>24</v>
      </c>
      <c r="E50" s="9" t="s">
        <v>1804</v>
      </c>
      <c r="F50" t="s">
        <v>553</v>
      </c>
      <c r="G50" t="s">
        <v>238</v>
      </c>
      <c r="H50" t="s">
        <v>1066</v>
      </c>
    </row>
    <row r="51" spans="1:8" outlineLevel="2" x14ac:dyDescent="0.3">
      <c r="A51" s="6">
        <v>1</v>
      </c>
      <c r="B51" t="s">
        <v>7</v>
      </c>
      <c r="C51" s="9" t="s">
        <v>1807</v>
      </c>
      <c r="D51" s="9">
        <v>1200</v>
      </c>
      <c r="E51" s="9" t="s">
        <v>1808</v>
      </c>
      <c r="F51" t="s">
        <v>240</v>
      </c>
      <c r="G51" t="s">
        <v>241</v>
      </c>
      <c r="H51" t="s">
        <v>1427</v>
      </c>
    </row>
    <row r="52" spans="1:8" outlineLevel="2" x14ac:dyDescent="0.3">
      <c r="A52" s="6">
        <v>1</v>
      </c>
      <c r="B52" t="s">
        <v>7</v>
      </c>
      <c r="C52" s="9" t="s">
        <v>1807</v>
      </c>
      <c r="D52" s="9">
        <v>260</v>
      </c>
      <c r="E52" s="9" t="s">
        <v>1808</v>
      </c>
      <c r="F52" t="s">
        <v>243</v>
      </c>
      <c r="G52" t="s">
        <v>244</v>
      </c>
      <c r="H52" t="s">
        <v>1429</v>
      </c>
    </row>
    <row r="53" spans="1:8" outlineLevel="2" x14ac:dyDescent="0.3">
      <c r="A53" s="6">
        <v>1</v>
      </c>
      <c r="B53" t="s">
        <v>7</v>
      </c>
      <c r="C53" s="9" t="s">
        <v>932</v>
      </c>
      <c r="D53" s="9">
        <v>18</v>
      </c>
      <c r="E53" s="9" t="s">
        <v>1804</v>
      </c>
      <c r="F53" t="s">
        <v>246</v>
      </c>
      <c r="G53" t="s">
        <v>51</v>
      </c>
      <c r="H53" t="s">
        <v>1596</v>
      </c>
    </row>
    <row r="54" spans="1:8" outlineLevel="2" x14ac:dyDescent="0.3">
      <c r="A54" s="6">
        <v>1</v>
      </c>
      <c r="B54" t="s">
        <v>7</v>
      </c>
      <c r="C54" s="9" t="s">
        <v>932</v>
      </c>
      <c r="D54" s="9">
        <v>12</v>
      </c>
      <c r="E54" s="9" t="s">
        <v>1804</v>
      </c>
      <c r="F54" t="s">
        <v>561</v>
      </c>
      <c r="G54" t="s">
        <v>562</v>
      </c>
      <c r="H54" t="s">
        <v>1622</v>
      </c>
    </row>
    <row r="55" spans="1:8" outlineLevel="2" x14ac:dyDescent="0.3">
      <c r="A55" s="6">
        <v>1</v>
      </c>
      <c r="B55" t="s">
        <v>7</v>
      </c>
      <c r="C55" s="9" t="s">
        <v>932</v>
      </c>
      <c r="D55" s="9">
        <v>18</v>
      </c>
      <c r="E55" s="9" t="s">
        <v>1804</v>
      </c>
      <c r="F55" t="s">
        <v>733</v>
      </c>
      <c r="G55" t="s">
        <v>630</v>
      </c>
      <c r="H55" t="s">
        <v>1629</v>
      </c>
    </row>
    <row r="56" spans="1:8" outlineLevel="2" x14ac:dyDescent="0.3">
      <c r="A56" s="6">
        <v>1</v>
      </c>
      <c r="B56" t="s">
        <v>7</v>
      </c>
      <c r="C56" s="9" t="s">
        <v>932</v>
      </c>
      <c r="D56" s="9">
        <v>16</v>
      </c>
      <c r="E56" s="9" t="s">
        <v>1804</v>
      </c>
      <c r="F56" t="s">
        <v>915</v>
      </c>
      <c r="G56" t="s">
        <v>916</v>
      </c>
      <c r="H56" t="s">
        <v>1633</v>
      </c>
    </row>
    <row r="57" spans="1:8" outlineLevel="2" x14ac:dyDescent="0.3">
      <c r="A57" s="6">
        <v>1</v>
      </c>
      <c r="B57" t="s">
        <v>7</v>
      </c>
      <c r="C57" s="9" t="s">
        <v>932</v>
      </c>
      <c r="D57" s="9">
        <v>17</v>
      </c>
      <c r="E57" s="9" t="s">
        <v>1804</v>
      </c>
      <c r="F57" t="s">
        <v>918</v>
      </c>
      <c r="G57" t="s">
        <v>470</v>
      </c>
      <c r="H57" t="s">
        <v>1638</v>
      </c>
    </row>
    <row r="58" spans="1:8" outlineLevel="2" x14ac:dyDescent="0.3">
      <c r="A58" s="6">
        <v>1</v>
      </c>
      <c r="B58" t="s">
        <v>7</v>
      </c>
      <c r="C58" s="9" t="s">
        <v>932</v>
      </c>
      <c r="D58" s="9">
        <v>43</v>
      </c>
      <c r="E58" s="9" t="s">
        <v>1804</v>
      </c>
      <c r="F58" t="s">
        <v>919</v>
      </c>
      <c r="G58" t="s">
        <v>470</v>
      </c>
      <c r="H58" t="s">
        <v>1639</v>
      </c>
    </row>
    <row r="59" spans="1:8" outlineLevel="2" x14ac:dyDescent="0.3">
      <c r="A59" s="6">
        <v>1</v>
      </c>
      <c r="B59" t="s">
        <v>7</v>
      </c>
      <c r="C59" s="9" t="s">
        <v>932</v>
      </c>
      <c r="D59" s="9">
        <v>22</v>
      </c>
      <c r="E59" s="9" t="s">
        <v>1804</v>
      </c>
      <c r="F59" t="s">
        <v>259</v>
      </c>
      <c r="G59" t="s">
        <v>260</v>
      </c>
      <c r="H59" t="s">
        <v>986</v>
      </c>
    </row>
    <row r="60" spans="1:8" outlineLevel="2" x14ac:dyDescent="0.3">
      <c r="A60" s="6">
        <v>1</v>
      </c>
      <c r="B60" t="s">
        <v>7</v>
      </c>
      <c r="C60" s="9" t="s">
        <v>932</v>
      </c>
      <c r="D60" s="9">
        <v>14</v>
      </c>
      <c r="E60" s="9" t="s">
        <v>1804</v>
      </c>
      <c r="F60" t="s">
        <v>262</v>
      </c>
      <c r="G60" t="s">
        <v>263</v>
      </c>
      <c r="H60" t="s">
        <v>989</v>
      </c>
    </row>
    <row r="61" spans="1:8" outlineLevel="2" x14ac:dyDescent="0.3">
      <c r="A61" s="6">
        <v>1</v>
      </c>
      <c r="B61" t="s">
        <v>7</v>
      </c>
      <c r="C61" s="9" t="s">
        <v>932</v>
      </c>
      <c r="D61" s="9">
        <v>26</v>
      </c>
      <c r="E61" s="9" t="s">
        <v>1804</v>
      </c>
      <c r="F61" t="s">
        <v>271</v>
      </c>
      <c r="G61" t="s">
        <v>269</v>
      </c>
      <c r="H61" t="s">
        <v>1646</v>
      </c>
    </row>
    <row r="62" spans="1:8" outlineLevel="2" x14ac:dyDescent="0.3">
      <c r="A62" s="6">
        <v>1</v>
      </c>
      <c r="B62" t="s">
        <v>7</v>
      </c>
      <c r="C62" s="9" t="s">
        <v>1807</v>
      </c>
      <c r="D62" s="9">
        <v>1350</v>
      </c>
      <c r="E62" s="9" t="s">
        <v>1808</v>
      </c>
      <c r="F62" t="s">
        <v>275</v>
      </c>
      <c r="G62" t="s">
        <v>276</v>
      </c>
      <c r="H62" t="s">
        <v>1012</v>
      </c>
    </row>
    <row r="63" spans="1:8" outlineLevel="2" x14ac:dyDescent="0.3">
      <c r="A63" s="6">
        <v>1</v>
      </c>
      <c r="B63" t="s">
        <v>7</v>
      </c>
      <c r="C63" s="9" t="s">
        <v>1807</v>
      </c>
      <c r="D63" s="9">
        <v>1350</v>
      </c>
      <c r="E63" s="9" t="s">
        <v>1808</v>
      </c>
      <c r="F63" t="s">
        <v>282</v>
      </c>
      <c r="G63" t="s">
        <v>283</v>
      </c>
      <c r="H63" t="s">
        <v>1758</v>
      </c>
    </row>
    <row r="64" spans="1:8" outlineLevel="2" x14ac:dyDescent="0.3">
      <c r="A64" s="6">
        <v>1</v>
      </c>
      <c r="B64" t="s">
        <v>7</v>
      </c>
      <c r="C64" s="9" t="s">
        <v>1807</v>
      </c>
      <c r="D64" s="9">
        <v>1350</v>
      </c>
      <c r="E64" s="9" t="s">
        <v>1808</v>
      </c>
      <c r="F64" t="s">
        <v>285</v>
      </c>
      <c r="G64" t="s">
        <v>286</v>
      </c>
      <c r="H64" t="s">
        <v>1759</v>
      </c>
    </row>
    <row r="65" spans="1:8" outlineLevel="2" x14ac:dyDescent="0.3">
      <c r="A65" s="6">
        <v>1</v>
      </c>
      <c r="B65" t="s">
        <v>7</v>
      </c>
      <c r="C65" s="9" t="s">
        <v>932</v>
      </c>
      <c r="D65" s="9">
        <v>19</v>
      </c>
      <c r="E65" s="9" t="s">
        <v>1804</v>
      </c>
      <c r="F65" t="s">
        <v>920</v>
      </c>
      <c r="G65" t="s">
        <v>792</v>
      </c>
      <c r="H65" t="s">
        <v>1675</v>
      </c>
    </row>
    <row r="66" spans="1:8" outlineLevel="2" x14ac:dyDescent="0.3">
      <c r="A66" s="6">
        <v>1</v>
      </c>
      <c r="B66" t="s">
        <v>7</v>
      </c>
      <c r="C66" s="9" t="s">
        <v>1807</v>
      </c>
      <c r="D66" s="9">
        <v>1050</v>
      </c>
      <c r="E66" s="9" t="s">
        <v>1808</v>
      </c>
      <c r="F66" t="s">
        <v>291</v>
      </c>
      <c r="G66" t="s">
        <v>292</v>
      </c>
      <c r="H66" t="s">
        <v>1678</v>
      </c>
    </row>
    <row r="67" spans="1:8" outlineLevel="2" x14ac:dyDescent="0.3">
      <c r="A67" s="6">
        <v>1</v>
      </c>
      <c r="B67" t="s">
        <v>7</v>
      </c>
      <c r="C67" s="9" t="s">
        <v>932</v>
      </c>
      <c r="D67" s="9">
        <v>12</v>
      </c>
      <c r="E67" s="9" t="s">
        <v>1804</v>
      </c>
      <c r="F67" t="s">
        <v>294</v>
      </c>
      <c r="G67" t="s">
        <v>295</v>
      </c>
      <c r="H67" t="s">
        <v>1680</v>
      </c>
    </row>
    <row r="68" spans="1:8" outlineLevel="2" x14ac:dyDescent="0.3">
      <c r="A68" s="6">
        <v>1</v>
      </c>
      <c r="B68" t="s">
        <v>7</v>
      </c>
      <c r="C68" s="9" t="s">
        <v>932</v>
      </c>
      <c r="D68" s="9">
        <v>15</v>
      </c>
      <c r="E68" s="9" t="s">
        <v>1804</v>
      </c>
      <c r="F68" t="s">
        <v>565</v>
      </c>
      <c r="G68" t="s">
        <v>60</v>
      </c>
      <c r="H68" t="s">
        <v>1077</v>
      </c>
    </row>
    <row r="69" spans="1:8" outlineLevel="2" x14ac:dyDescent="0.3">
      <c r="A69" s="6">
        <v>1</v>
      </c>
      <c r="B69" t="s">
        <v>7</v>
      </c>
      <c r="C69" s="9" t="s">
        <v>932</v>
      </c>
      <c r="D69" s="9">
        <v>22</v>
      </c>
      <c r="E69" s="9" t="s">
        <v>1804</v>
      </c>
      <c r="F69" t="s">
        <v>676</v>
      </c>
      <c r="G69" t="s">
        <v>476</v>
      </c>
      <c r="H69" t="s">
        <v>1108</v>
      </c>
    </row>
    <row r="70" spans="1:8" outlineLevel="2" x14ac:dyDescent="0.3">
      <c r="A70" s="6">
        <v>1</v>
      </c>
      <c r="B70" t="s">
        <v>7</v>
      </c>
      <c r="C70" s="9" t="s">
        <v>932</v>
      </c>
      <c r="D70" s="9">
        <v>15</v>
      </c>
      <c r="E70" s="9" t="s">
        <v>1804</v>
      </c>
      <c r="F70" t="s">
        <v>827</v>
      </c>
      <c r="G70" t="s">
        <v>309</v>
      </c>
      <c r="H70" t="s">
        <v>1789</v>
      </c>
    </row>
    <row r="71" spans="1:8" outlineLevel="2" x14ac:dyDescent="0.3">
      <c r="A71" s="6">
        <v>1</v>
      </c>
      <c r="B71" t="s">
        <v>7</v>
      </c>
      <c r="C71" s="9" t="s">
        <v>932</v>
      </c>
      <c r="D71" s="9">
        <v>18</v>
      </c>
      <c r="E71" s="9" t="s">
        <v>1804</v>
      </c>
      <c r="F71" t="s">
        <v>828</v>
      </c>
      <c r="G71" t="s">
        <v>309</v>
      </c>
      <c r="H71" t="s">
        <v>1790</v>
      </c>
    </row>
    <row r="72" spans="1:8" outlineLevel="2" x14ac:dyDescent="0.3">
      <c r="A72" s="6">
        <v>1</v>
      </c>
      <c r="B72" t="s">
        <v>7</v>
      </c>
      <c r="C72" s="9" t="s">
        <v>1807</v>
      </c>
      <c r="D72" s="9">
        <v>420</v>
      </c>
      <c r="E72" s="9" t="s">
        <v>1808</v>
      </c>
      <c r="F72" t="s">
        <v>68</v>
      </c>
      <c r="G72" t="s">
        <v>69</v>
      </c>
      <c r="H72" t="s">
        <v>1551</v>
      </c>
    </row>
    <row r="73" spans="1:8" outlineLevel="2" x14ac:dyDescent="0.3">
      <c r="A73" s="6">
        <v>1</v>
      </c>
      <c r="B73" t="s">
        <v>7</v>
      </c>
      <c r="C73" s="9" t="s">
        <v>1807</v>
      </c>
      <c r="D73" s="9">
        <v>198</v>
      </c>
      <c r="E73" s="9" t="s">
        <v>1808</v>
      </c>
      <c r="F73" t="s">
        <v>484</v>
      </c>
      <c r="G73" t="s">
        <v>69</v>
      </c>
      <c r="H73" t="s">
        <v>1556</v>
      </c>
    </row>
    <row r="74" spans="1:8" outlineLevel="2" x14ac:dyDescent="0.3">
      <c r="A74" s="6">
        <v>1</v>
      </c>
      <c r="B74" t="s">
        <v>7</v>
      </c>
      <c r="C74" s="9" t="s">
        <v>932</v>
      </c>
      <c r="D74" s="9">
        <v>24</v>
      </c>
      <c r="E74" s="9" t="s">
        <v>1804</v>
      </c>
      <c r="F74" t="s">
        <v>316</v>
      </c>
      <c r="G74" t="s">
        <v>129</v>
      </c>
      <c r="H74" t="s">
        <v>1562</v>
      </c>
    </row>
    <row r="75" spans="1:8" outlineLevel="2" x14ac:dyDescent="0.3">
      <c r="A75" s="6">
        <v>1</v>
      </c>
      <c r="B75" t="s">
        <v>7</v>
      </c>
      <c r="C75" s="9" t="s">
        <v>932</v>
      </c>
      <c r="D75" s="9">
        <v>28</v>
      </c>
      <c r="E75" s="9" t="s">
        <v>1804</v>
      </c>
      <c r="F75" t="s">
        <v>395</v>
      </c>
      <c r="G75" t="s">
        <v>396</v>
      </c>
      <c r="H75" t="s">
        <v>1564</v>
      </c>
    </row>
    <row r="76" spans="1:8" outlineLevel="2" x14ac:dyDescent="0.3">
      <c r="A76" s="6">
        <v>1</v>
      </c>
      <c r="B76" t="s">
        <v>7</v>
      </c>
      <c r="C76" s="9" t="s">
        <v>1807</v>
      </c>
      <c r="D76" s="9">
        <v>770</v>
      </c>
      <c r="E76" s="9" t="s">
        <v>1808</v>
      </c>
      <c r="F76" t="s">
        <v>71</v>
      </c>
      <c r="G76" t="s">
        <v>72</v>
      </c>
      <c r="H76" t="s">
        <v>1565</v>
      </c>
    </row>
    <row r="77" spans="1:8" outlineLevel="2" x14ac:dyDescent="0.3">
      <c r="A77" s="6">
        <v>1</v>
      </c>
      <c r="B77" t="s">
        <v>7</v>
      </c>
      <c r="C77" s="9" t="s">
        <v>1807</v>
      </c>
      <c r="D77" s="9">
        <v>518</v>
      </c>
      <c r="E77" s="9" t="s">
        <v>1808</v>
      </c>
      <c r="F77" t="s">
        <v>74</v>
      </c>
      <c r="G77" t="s">
        <v>72</v>
      </c>
      <c r="H77" t="s">
        <v>1566</v>
      </c>
    </row>
    <row r="78" spans="1:8" outlineLevel="2" x14ac:dyDescent="0.3">
      <c r="A78" s="6">
        <v>1</v>
      </c>
      <c r="B78" t="s">
        <v>7</v>
      </c>
      <c r="C78" s="9" t="s">
        <v>1807</v>
      </c>
      <c r="D78" s="9">
        <v>364</v>
      </c>
      <c r="E78" s="9" t="s">
        <v>1808</v>
      </c>
      <c r="F78" t="s">
        <v>702</v>
      </c>
      <c r="G78" t="s">
        <v>72</v>
      </c>
      <c r="H78" t="s">
        <v>1570</v>
      </c>
    </row>
    <row r="79" spans="1:8" outlineLevel="2" x14ac:dyDescent="0.3">
      <c r="A79" s="6">
        <v>1</v>
      </c>
      <c r="B79" t="s">
        <v>7</v>
      </c>
      <c r="C79" s="9" t="s">
        <v>1807</v>
      </c>
      <c r="D79" s="9">
        <v>398</v>
      </c>
      <c r="E79" s="9" t="s">
        <v>1808</v>
      </c>
      <c r="F79" t="s">
        <v>318</v>
      </c>
      <c r="G79" t="s">
        <v>76</v>
      </c>
      <c r="H79" t="s">
        <v>1578</v>
      </c>
    </row>
    <row r="80" spans="1:8" outlineLevel="2" x14ac:dyDescent="0.3">
      <c r="A80" s="6">
        <v>1</v>
      </c>
      <c r="B80" t="s">
        <v>7</v>
      </c>
      <c r="C80" s="9" t="s">
        <v>963</v>
      </c>
      <c r="D80" s="9">
        <v>60</v>
      </c>
      <c r="E80" s="9" t="s">
        <v>1804</v>
      </c>
      <c r="F80" t="s">
        <v>579</v>
      </c>
      <c r="G80" t="s">
        <v>531</v>
      </c>
      <c r="H80" t="s">
        <v>967</v>
      </c>
    </row>
    <row r="81" spans="1:8" outlineLevel="2" x14ac:dyDescent="0.3">
      <c r="A81" s="6">
        <v>1</v>
      </c>
      <c r="B81" t="s">
        <v>7</v>
      </c>
      <c r="C81" s="9" t="s">
        <v>963</v>
      </c>
      <c r="D81" s="9">
        <v>64</v>
      </c>
      <c r="E81" s="9" t="s">
        <v>1804</v>
      </c>
      <c r="F81" t="s">
        <v>82</v>
      </c>
      <c r="G81" t="s">
        <v>83</v>
      </c>
      <c r="H81" t="s">
        <v>1340</v>
      </c>
    </row>
    <row r="82" spans="1:8" outlineLevel="2" x14ac:dyDescent="0.3">
      <c r="A82" s="6">
        <v>1</v>
      </c>
      <c r="B82" t="s">
        <v>7</v>
      </c>
      <c r="C82" s="9" t="s">
        <v>963</v>
      </c>
      <c r="D82" s="9">
        <v>70</v>
      </c>
      <c r="E82" s="9" t="s">
        <v>1804</v>
      </c>
      <c r="F82" t="s">
        <v>525</v>
      </c>
      <c r="G82" t="s">
        <v>526</v>
      </c>
      <c r="H82" t="s">
        <v>1341</v>
      </c>
    </row>
    <row r="83" spans="1:8" outlineLevel="2" x14ac:dyDescent="0.3">
      <c r="A83" s="6">
        <v>1</v>
      </c>
      <c r="B83" t="s">
        <v>7</v>
      </c>
      <c r="C83" s="9" t="s">
        <v>963</v>
      </c>
      <c r="D83" s="9">
        <v>88</v>
      </c>
      <c r="E83" s="9" t="s">
        <v>1804</v>
      </c>
      <c r="F83" t="s">
        <v>84</v>
      </c>
      <c r="G83" t="s">
        <v>85</v>
      </c>
      <c r="H83" t="s">
        <v>1342</v>
      </c>
    </row>
    <row r="84" spans="1:8" outlineLevel="2" x14ac:dyDescent="0.3">
      <c r="A84" s="6">
        <v>1</v>
      </c>
      <c r="B84" t="s">
        <v>7</v>
      </c>
      <c r="C84" s="9" t="s">
        <v>963</v>
      </c>
      <c r="D84" s="9">
        <v>65</v>
      </c>
      <c r="E84" s="9" t="s">
        <v>1804</v>
      </c>
      <c r="F84" t="s">
        <v>326</v>
      </c>
      <c r="G84" t="s">
        <v>200</v>
      </c>
      <c r="H84" t="s">
        <v>1346</v>
      </c>
    </row>
    <row r="85" spans="1:8" outlineLevel="2" x14ac:dyDescent="0.3">
      <c r="A85" s="6">
        <v>1</v>
      </c>
      <c r="B85" t="s">
        <v>7</v>
      </c>
      <c r="C85" s="9" t="s">
        <v>963</v>
      </c>
      <c r="D85" s="9">
        <v>74</v>
      </c>
      <c r="E85" s="9" t="s">
        <v>1804</v>
      </c>
      <c r="F85" t="s">
        <v>87</v>
      </c>
      <c r="G85" t="s">
        <v>88</v>
      </c>
      <c r="H85" t="s">
        <v>1349</v>
      </c>
    </row>
    <row r="86" spans="1:8" outlineLevel="2" x14ac:dyDescent="0.3">
      <c r="A86" s="6">
        <v>1</v>
      </c>
      <c r="B86" t="s">
        <v>7</v>
      </c>
      <c r="C86" s="9" t="s">
        <v>963</v>
      </c>
      <c r="D86" s="9">
        <v>73</v>
      </c>
      <c r="E86" s="9" t="s">
        <v>1804</v>
      </c>
      <c r="F86" t="s">
        <v>679</v>
      </c>
      <c r="G86" t="s">
        <v>680</v>
      </c>
      <c r="H86" t="s">
        <v>972</v>
      </c>
    </row>
    <row r="87" spans="1:8" outlineLevel="2" x14ac:dyDescent="0.3">
      <c r="A87" s="6">
        <v>1</v>
      </c>
      <c r="B87" t="s">
        <v>7</v>
      </c>
      <c r="C87" s="9" t="s">
        <v>963</v>
      </c>
      <c r="D87" s="9">
        <v>73</v>
      </c>
      <c r="E87" s="9" t="s">
        <v>1804</v>
      </c>
      <c r="F87" t="s">
        <v>90</v>
      </c>
      <c r="G87" t="s">
        <v>15</v>
      </c>
      <c r="H87" t="s">
        <v>1351</v>
      </c>
    </row>
    <row r="88" spans="1:8" outlineLevel="2" x14ac:dyDescent="0.3">
      <c r="A88" s="6">
        <v>1</v>
      </c>
      <c r="B88" t="s">
        <v>7</v>
      </c>
      <c r="C88" s="9" t="s">
        <v>963</v>
      </c>
      <c r="D88" s="9">
        <v>77</v>
      </c>
      <c r="E88" s="9" t="s">
        <v>1804</v>
      </c>
      <c r="F88" t="s">
        <v>91</v>
      </c>
      <c r="G88" t="s">
        <v>92</v>
      </c>
      <c r="H88" t="s">
        <v>1353</v>
      </c>
    </row>
    <row r="89" spans="1:8" outlineLevel="2" x14ac:dyDescent="0.3">
      <c r="A89" s="6">
        <v>1</v>
      </c>
      <c r="B89" t="s">
        <v>7</v>
      </c>
      <c r="C89" s="9" t="s">
        <v>963</v>
      </c>
      <c r="D89" s="9">
        <v>76</v>
      </c>
      <c r="E89" s="9" t="s">
        <v>1804</v>
      </c>
      <c r="F89" t="s">
        <v>94</v>
      </c>
      <c r="G89" t="s">
        <v>95</v>
      </c>
      <c r="H89" t="s">
        <v>1355</v>
      </c>
    </row>
    <row r="90" spans="1:8" outlineLevel="2" x14ac:dyDescent="0.3">
      <c r="A90" s="6">
        <v>1</v>
      </c>
      <c r="B90" t="s">
        <v>7</v>
      </c>
      <c r="C90" s="9" t="s">
        <v>963</v>
      </c>
      <c r="D90" s="9">
        <v>77</v>
      </c>
      <c r="E90" s="9" t="s">
        <v>1804</v>
      </c>
      <c r="F90" t="s">
        <v>98</v>
      </c>
      <c r="G90" t="s">
        <v>99</v>
      </c>
      <c r="H90" t="s">
        <v>1357</v>
      </c>
    </row>
    <row r="91" spans="1:8" outlineLevel="2" x14ac:dyDescent="0.3">
      <c r="A91" s="6">
        <v>1</v>
      </c>
      <c r="B91" t="s">
        <v>7</v>
      </c>
      <c r="C91" s="9" t="s">
        <v>963</v>
      </c>
      <c r="D91" s="9">
        <v>76</v>
      </c>
      <c r="E91" s="9" t="s">
        <v>1804</v>
      </c>
      <c r="F91" t="s">
        <v>332</v>
      </c>
      <c r="G91" t="s">
        <v>333</v>
      </c>
      <c r="H91" t="s">
        <v>1358</v>
      </c>
    </row>
    <row r="92" spans="1:8" outlineLevel="2" x14ac:dyDescent="0.3">
      <c r="A92" s="6">
        <v>1</v>
      </c>
      <c r="B92" t="s">
        <v>7</v>
      </c>
      <c r="C92" s="9" t="s">
        <v>963</v>
      </c>
      <c r="D92" s="9">
        <v>60</v>
      </c>
      <c r="E92" s="9" t="s">
        <v>1804</v>
      </c>
      <c r="F92" t="s">
        <v>341</v>
      </c>
      <c r="G92" t="s">
        <v>209</v>
      </c>
      <c r="H92" t="s">
        <v>1363</v>
      </c>
    </row>
    <row r="93" spans="1:8" outlineLevel="2" x14ac:dyDescent="0.3">
      <c r="A93" s="6">
        <v>1</v>
      </c>
      <c r="B93" t="s">
        <v>7</v>
      </c>
      <c r="C93" s="9" t="s">
        <v>963</v>
      </c>
      <c r="D93" s="9">
        <v>72</v>
      </c>
      <c r="E93" s="9" t="s">
        <v>1804</v>
      </c>
      <c r="F93" t="s">
        <v>101</v>
      </c>
      <c r="G93" t="s">
        <v>102</v>
      </c>
      <c r="H93" t="s">
        <v>1365</v>
      </c>
    </row>
    <row r="94" spans="1:8" outlineLevel="2" x14ac:dyDescent="0.3">
      <c r="A94" s="6">
        <v>1</v>
      </c>
      <c r="B94" t="s">
        <v>7</v>
      </c>
      <c r="C94" s="9" t="s">
        <v>963</v>
      </c>
      <c r="D94" s="9">
        <v>60</v>
      </c>
      <c r="E94" s="9" t="s">
        <v>1804</v>
      </c>
      <c r="F94" t="s">
        <v>400</v>
      </c>
      <c r="G94" t="s">
        <v>401</v>
      </c>
      <c r="H94" t="s">
        <v>1185</v>
      </c>
    </row>
    <row r="95" spans="1:8" outlineLevel="2" x14ac:dyDescent="0.3">
      <c r="A95" s="6">
        <v>1</v>
      </c>
      <c r="B95" t="s">
        <v>7</v>
      </c>
      <c r="C95" s="9" t="s">
        <v>963</v>
      </c>
      <c r="D95" s="9">
        <v>60</v>
      </c>
      <c r="E95" s="9" t="s">
        <v>1804</v>
      </c>
      <c r="F95" t="s">
        <v>403</v>
      </c>
      <c r="G95" t="s">
        <v>386</v>
      </c>
      <c r="H95" t="s">
        <v>1432</v>
      </c>
    </row>
    <row r="96" spans="1:8" outlineLevel="2" x14ac:dyDescent="0.3">
      <c r="A96" s="6">
        <v>1</v>
      </c>
      <c r="B96" t="s">
        <v>7</v>
      </c>
      <c r="C96" s="9" t="s">
        <v>963</v>
      </c>
      <c r="D96" s="9">
        <v>60</v>
      </c>
      <c r="E96" s="9" t="s">
        <v>1804</v>
      </c>
      <c r="F96" t="s">
        <v>167</v>
      </c>
      <c r="G96" t="s">
        <v>168</v>
      </c>
      <c r="H96" t="s">
        <v>1533</v>
      </c>
    </row>
    <row r="97" spans="1:8" outlineLevel="2" x14ac:dyDescent="0.3">
      <c r="A97" s="6">
        <v>1</v>
      </c>
      <c r="B97" t="s">
        <v>7</v>
      </c>
      <c r="C97" s="9" t="s">
        <v>963</v>
      </c>
      <c r="D97" s="9">
        <v>60</v>
      </c>
      <c r="E97" s="9" t="s">
        <v>1804</v>
      </c>
      <c r="F97" t="s">
        <v>170</v>
      </c>
      <c r="G97" t="s">
        <v>171</v>
      </c>
      <c r="H97" t="s">
        <v>1535</v>
      </c>
    </row>
    <row r="98" spans="1:8" outlineLevel="2" x14ac:dyDescent="0.3">
      <c r="A98" s="6">
        <v>1</v>
      </c>
      <c r="B98" t="s">
        <v>7</v>
      </c>
      <c r="C98" s="9" t="s">
        <v>963</v>
      </c>
      <c r="D98" s="9">
        <v>60</v>
      </c>
      <c r="E98" s="9" t="s">
        <v>1804</v>
      </c>
      <c r="F98" t="s">
        <v>106</v>
      </c>
      <c r="G98" t="s">
        <v>32</v>
      </c>
      <c r="H98" t="s">
        <v>1537</v>
      </c>
    </row>
    <row r="99" spans="1:8" outlineLevel="2" x14ac:dyDescent="0.3">
      <c r="A99" s="6">
        <v>1</v>
      </c>
      <c r="B99" t="s">
        <v>7</v>
      </c>
      <c r="C99" s="9" t="s">
        <v>963</v>
      </c>
      <c r="D99" s="9">
        <v>60</v>
      </c>
      <c r="E99" s="9" t="s">
        <v>1804</v>
      </c>
      <c r="F99" t="s">
        <v>107</v>
      </c>
      <c r="G99" t="s">
        <v>108</v>
      </c>
      <c r="H99" t="s">
        <v>1140</v>
      </c>
    </row>
    <row r="100" spans="1:8" outlineLevel="2" x14ac:dyDescent="0.3">
      <c r="A100" s="6">
        <v>1</v>
      </c>
      <c r="B100" t="s">
        <v>7</v>
      </c>
      <c r="C100" s="9" t="s">
        <v>963</v>
      </c>
      <c r="D100" s="9">
        <v>60</v>
      </c>
      <c r="E100" s="9" t="s">
        <v>1804</v>
      </c>
      <c r="F100" t="s">
        <v>351</v>
      </c>
      <c r="G100" t="s">
        <v>38</v>
      </c>
      <c r="H100" t="s">
        <v>1142</v>
      </c>
    </row>
    <row r="101" spans="1:8" outlineLevel="2" x14ac:dyDescent="0.3">
      <c r="A101" s="6">
        <v>1</v>
      </c>
      <c r="B101" t="s">
        <v>7</v>
      </c>
      <c r="C101" s="9" t="s">
        <v>963</v>
      </c>
      <c r="D101" s="9">
        <v>60</v>
      </c>
      <c r="E101" s="9" t="s">
        <v>1804</v>
      </c>
      <c r="F101" t="s">
        <v>465</v>
      </c>
      <c r="G101" t="s">
        <v>235</v>
      </c>
      <c r="H101" t="s">
        <v>1117</v>
      </c>
    </row>
    <row r="102" spans="1:8" outlineLevel="2" x14ac:dyDescent="0.3">
      <c r="A102" s="6">
        <v>1</v>
      </c>
      <c r="B102" t="s">
        <v>7</v>
      </c>
      <c r="C102" s="9" t="s">
        <v>963</v>
      </c>
      <c r="D102" s="9">
        <v>64</v>
      </c>
      <c r="E102" s="9" t="s">
        <v>1804</v>
      </c>
      <c r="F102" t="s">
        <v>583</v>
      </c>
      <c r="G102" t="s">
        <v>238</v>
      </c>
      <c r="H102" t="s">
        <v>1122</v>
      </c>
    </row>
    <row r="103" spans="1:8" outlineLevel="2" x14ac:dyDescent="0.3">
      <c r="A103" s="6">
        <v>1</v>
      </c>
      <c r="B103" t="s">
        <v>7</v>
      </c>
      <c r="C103" s="9" t="s">
        <v>963</v>
      </c>
      <c r="D103" s="9">
        <v>60</v>
      </c>
      <c r="E103" s="9" t="s">
        <v>1804</v>
      </c>
      <c r="F103" t="s">
        <v>117</v>
      </c>
      <c r="G103" t="s">
        <v>118</v>
      </c>
      <c r="H103" t="s">
        <v>1419</v>
      </c>
    </row>
    <row r="104" spans="1:8" outlineLevel="2" x14ac:dyDescent="0.3">
      <c r="A104" s="6">
        <v>1</v>
      </c>
      <c r="B104" t="s">
        <v>7</v>
      </c>
      <c r="C104" s="9" t="s">
        <v>963</v>
      </c>
      <c r="D104" s="9">
        <v>60</v>
      </c>
      <c r="E104" s="9" t="s">
        <v>1804</v>
      </c>
      <c r="F104" t="s">
        <v>120</v>
      </c>
      <c r="G104" t="s">
        <v>51</v>
      </c>
      <c r="H104" t="s">
        <v>1590</v>
      </c>
    </row>
    <row r="105" spans="1:8" outlineLevel="2" x14ac:dyDescent="0.3">
      <c r="A105" s="6">
        <v>1</v>
      </c>
      <c r="B105" t="s">
        <v>7</v>
      </c>
      <c r="C105" s="9" t="s">
        <v>963</v>
      </c>
      <c r="D105" s="9">
        <v>64</v>
      </c>
      <c r="E105" s="9" t="s">
        <v>1804</v>
      </c>
      <c r="F105" t="s">
        <v>921</v>
      </c>
      <c r="G105" t="s">
        <v>470</v>
      </c>
      <c r="H105" t="s">
        <v>1684</v>
      </c>
    </row>
    <row r="106" spans="1:8" outlineLevel="2" x14ac:dyDescent="0.3">
      <c r="A106" s="6">
        <v>1</v>
      </c>
      <c r="B106" t="s">
        <v>7</v>
      </c>
      <c r="C106" s="9" t="s">
        <v>963</v>
      </c>
      <c r="D106" s="9">
        <v>62</v>
      </c>
      <c r="E106" s="9" t="s">
        <v>1804</v>
      </c>
      <c r="F106" t="s">
        <v>405</v>
      </c>
      <c r="G106" t="s">
        <v>260</v>
      </c>
      <c r="H106" t="s">
        <v>1022</v>
      </c>
    </row>
    <row r="107" spans="1:8" outlineLevel="2" x14ac:dyDescent="0.3">
      <c r="A107" s="6">
        <v>1</v>
      </c>
      <c r="B107" t="s">
        <v>7</v>
      </c>
      <c r="C107" s="9" t="s">
        <v>963</v>
      </c>
      <c r="D107" s="9">
        <v>64</v>
      </c>
      <c r="E107" s="9" t="s">
        <v>1804</v>
      </c>
      <c r="F107" t="s">
        <v>406</v>
      </c>
      <c r="G107" t="s">
        <v>269</v>
      </c>
      <c r="H107" t="s">
        <v>1687</v>
      </c>
    </row>
    <row r="108" spans="1:8" outlineLevel="2" x14ac:dyDescent="0.3">
      <c r="A108" s="6">
        <v>1</v>
      </c>
      <c r="B108" t="s">
        <v>7</v>
      </c>
      <c r="C108" s="9" t="s">
        <v>963</v>
      </c>
      <c r="D108" s="9">
        <v>64</v>
      </c>
      <c r="E108" s="9" t="s">
        <v>1804</v>
      </c>
      <c r="F108" t="s">
        <v>849</v>
      </c>
      <c r="G108" t="s">
        <v>309</v>
      </c>
      <c r="H108" t="s">
        <v>1798</v>
      </c>
    </row>
    <row r="109" spans="1:8" outlineLevel="2" x14ac:dyDescent="0.3">
      <c r="A109" s="6">
        <v>1</v>
      </c>
      <c r="B109" t="s">
        <v>7</v>
      </c>
      <c r="C109" s="9" t="s">
        <v>963</v>
      </c>
      <c r="D109" s="9">
        <v>60</v>
      </c>
      <c r="E109" s="9" t="s">
        <v>1804</v>
      </c>
      <c r="F109" t="s">
        <v>367</v>
      </c>
      <c r="G109" t="s">
        <v>368</v>
      </c>
      <c r="H109" t="s">
        <v>1688</v>
      </c>
    </row>
    <row r="110" spans="1:8" outlineLevel="2" x14ac:dyDescent="0.3">
      <c r="A110" s="6">
        <v>1</v>
      </c>
      <c r="B110" t="s">
        <v>7</v>
      </c>
      <c r="C110" s="9" t="s">
        <v>963</v>
      </c>
      <c r="D110" s="9">
        <v>60</v>
      </c>
      <c r="E110" s="9" t="s">
        <v>1804</v>
      </c>
      <c r="F110" t="s">
        <v>922</v>
      </c>
      <c r="G110" t="s">
        <v>923</v>
      </c>
      <c r="H110" t="s">
        <v>1195</v>
      </c>
    </row>
    <row r="111" spans="1:8" outlineLevel="2" x14ac:dyDescent="0.3">
      <c r="A111" s="6">
        <v>1</v>
      </c>
      <c r="B111" t="s">
        <v>7</v>
      </c>
      <c r="C111" s="9" t="s">
        <v>963</v>
      </c>
      <c r="D111" s="9">
        <v>64</v>
      </c>
      <c r="E111" s="9" t="s">
        <v>1804</v>
      </c>
      <c r="F111" t="s">
        <v>125</v>
      </c>
      <c r="G111" t="s">
        <v>126</v>
      </c>
      <c r="H111" t="s">
        <v>1581</v>
      </c>
    </row>
    <row r="112" spans="1:8" outlineLevel="2" x14ac:dyDescent="0.3">
      <c r="A112" s="6">
        <v>1</v>
      </c>
      <c r="B112" t="s">
        <v>7</v>
      </c>
      <c r="C112" s="9" t="s">
        <v>963</v>
      </c>
      <c r="D112" s="9">
        <v>60</v>
      </c>
      <c r="E112" s="9" t="s">
        <v>1804</v>
      </c>
      <c r="F112" t="s">
        <v>128</v>
      </c>
      <c r="G112" t="s">
        <v>129</v>
      </c>
      <c r="H112" t="s">
        <v>1582</v>
      </c>
    </row>
    <row r="113" spans="1:8" outlineLevel="2" x14ac:dyDescent="0.3">
      <c r="A113" s="6">
        <v>1</v>
      </c>
      <c r="B113" t="s">
        <v>7</v>
      </c>
      <c r="C113" s="9" t="s">
        <v>963</v>
      </c>
      <c r="D113" s="9">
        <v>60</v>
      </c>
      <c r="E113" s="9" t="s">
        <v>1804</v>
      </c>
      <c r="F113" t="s">
        <v>407</v>
      </c>
      <c r="G113" t="s">
        <v>396</v>
      </c>
      <c r="H113" t="s">
        <v>1583</v>
      </c>
    </row>
    <row r="114" spans="1:8" outlineLevel="2" x14ac:dyDescent="0.3">
      <c r="A114" s="6">
        <v>1</v>
      </c>
      <c r="B114" t="s">
        <v>7</v>
      </c>
      <c r="C114" s="9" t="s">
        <v>963</v>
      </c>
      <c r="D114" s="9">
        <v>60</v>
      </c>
      <c r="E114" s="9" t="s">
        <v>1804</v>
      </c>
      <c r="F114" t="s">
        <v>375</v>
      </c>
      <c r="G114" t="s">
        <v>376</v>
      </c>
      <c r="H114" t="s">
        <v>1586</v>
      </c>
    </row>
    <row r="115" spans="1:8" outlineLevel="1" x14ac:dyDescent="0.3">
      <c r="A115" s="16" t="s">
        <v>2187</v>
      </c>
      <c r="H115">
        <f>SUBTOTAL(3,H2:H114)</f>
        <v>113</v>
      </c>
    </row>
    <row r="116" spans="1:8" outlineLevel="2" x14ac:dyDescent="0.3">
      <c r="A116" s="6">
        <v>2</v>
      </c>
      <c r="B116" t="s">
        <v>726</v>
      </c>
      <c r="C116" s="9" t="s">
        <v>932</v>
      </c>
      <c r="D116" s="9">
        <v>12</v>
      </c>
      <c r="E116" s="9" t="s">
        <v>1804</v>
      </c>
      <c r="F116" t="s">
        <v>143</v>
      </c>
      <c r="G116" t="s">
        <v>144</v>
      </c>
      <c r="H116" t="s">
        <v>1694</v>
      </c>
    </row>
    <row r="117" spans="1:8" outlineLevel="2" x14ac:dyDescent="0.3">
      <c r="A117" s="6">
        <v>2</v>
      </c>
      <c r="B117" t="s">
        <v>726</v>
      </c>
      <c r="C117" s="9" t="s">
        <v>932</v>
      </c>
      <c r="D117" s="9">
        <v>30</v>
      </c>
      <c r="E117" s="9" t="s">
        <v>1804</v>
      </c>
      <c r="F117" t="s">
        <v>146</v>
      </c>
      <c r="G117" t="s">
        <v>147</v>
      </c>
      <c r="H117" t="s">
        <v>1377</v>
      </c>
    </row>
    <row r="118" spans="1:8" outlineLevel="2" x14ac:dyDescent="0.3">
      <c r="A118" s="6">
        <v>2</v>
      </c>
      <c r="B118" t="s">
        <v>726</v>
      </c>
      <c r="C118" s="9" t="s">
        <v>932</v>
      </c>
      <c r="D118" s="9">
        <v>15</v>
      </c>
      <c r="E118" s="9" t="s">
        <v>1804</v>
      </c>
      <c r="F118" t="s">
        <v>149</v>
      </c>
      <c r="G118" t="s">
        <v>147</v>
      </c>
      <c r="H118" t="s">
        <v>1378</v>
      </c>
    </row>
    <row r="119" spans="1:8" outlineLevel="2" x14ac:dyDescent="0.3">
      <c r="A119" s="6">
        <v>2</v>
      </c>
      <c r="B119" t="s">
        <v>726</v>
      </c>
      <c r="C119" s="9" t="s">
        <v>932</v>
      </c>
      <c r="D119" s="9">
        <v>30</v>
      </c>
      <c r="E119" s="9" t="s">
        <v>1804</v>
      </c>
      <c r="F119" t="s">
        <v>176</v>
      </c>
      <c r="G119" t="s">
        <v>177</v>
      </c>
      <c r="H119" t="s">
        <v>1381</v>
      </c>
    </row>
    <row r="120" spans="1:8" outlineLevel="2" x14ac:dyDescent="0.3">
      <c r="A120" s="6">
        <v>2</v>
      </c>
      <c r="B120" t="s">
        <v>726</v>
      </c>
      <c r="C120" s="9" t="s">
        <v>932</v>
      </c>
      <c r="D120" s="9">
        <v>24</v>
      </c>
      <c r="E120" s="9" t="s">
        <v>1804</v>
      </c>
      <c r="F120" t="s">
        <v>536</v>
      </c>
      <c r="G120" t="s">
        <v>537</v>
      </c>
      <c r="H120" t="s">
        <v>1384</v>
      </c>
    </row>
    <row r="121" spans="1:8" outlineLevel="2" x14ac:dyDescent="0.3">
      <c r="A121" s="6">
        <v>2</v>
      </c>
      <c r="B121" t="s">
        <v>726</v>
      </c>
      <c r="C121" s="9" t="s">
        <v>932</v>
      </c>
      <c r="D121" s="9">
        <v>30</v>
      </c>
      <c r="E121" s="9" t="s">
        <v>1804</v>
      </c>
      <c r="F121" t="s">
        <v>498</v>
      </c>
      <c r="G121" t="s">
        <v>499</v>
      </c>
      <c r="H121" t="s">
        <v>1695</v>
      </c>
    </row>
    <row r="122" spans="1:8" outlineLevel="2" x14ac:dyDescent="0.3">
      <c r="A122" s="6">
        <v>2</v>
      </c>
      <c r="B122" t="s">
        <v>726</v>
      </c>
      <c r="C122" s="9" t="s">
        <v>1266</v>
      </c>
      <c r="D122" s="9">
        <v>50</v>
      </c>
      <c r="E122" s="9" t="s">
        <v>1804</v>
      </c>
      <c r="F122" t="s">
        <v>8</v>
      </c>
      <c r="G122" t="s">
        <v>526</v>
      </c>
      <c r="H122" t="s">
        <v>1805</v>
      </c>
    </row>
    <row r="123" spans="1:8" outlineLevel="2" x14ac:dyDescent="0.3">
      <c r="A123" s="6">
        <v>2</v>
      </c>
      <c r="B123" t="s">
        <v>726</v>
      </c>
      <c r="C123" s="9" t="s">
        <v>932</v>
      </c>
      <c r="D123" s="9">
        <v>32</v>
      </c>
      <c r="E123" s="9" t="s">
        <v>1804</v>
      </c>
      <c r="F123" t="s">
        <v>619</v>
      </c>
      <c r="G123" t="s">
        <v>620</v>
      </c>
      <c r="H123" t="s">
        <v>1326</v>
      </c>
    </row>
    <row r="124" spans="1:8" outlineLevel="2" x14ac:dyDescent="0.3">
      <c r="A124" s="6">
        <v>2</v>
      </c>
      <c r="B124" t="s">
        <v>726</v>
      </c>
      <c r="C124" s="9" t="s">
        <v>932</v>
      </c>
      <c r="D124" s="9">
        <v>44</v>
      </c>
      <c r="E124" s="9" t="s">
        <v>1804</v>
      </c>
      <c r="F124" t="s">
        <v>202</v>
      </c>
      <c r="G124" t="s">
        <v>200</v>
      </c>
      <c r="H124" t="s">
        <v>1272</v>
      </c>
    </row>
    <row r="125" spans="1:8" outlineLevel="2" x14ac:dyDescent="0.3">
      <c r="A125" s="6">
        <v>2</v>
      </c>
      <c r="B125" t="s">
        <v>726</v>
      </c>
      <c r="C125" s="9" t="s">
        <v>932</v>
      </c>
      <c r="D125" s="9">
        <v>42</v>
      </c>
      <c r="E125" s="9" t="s">
        <v>1804</v>
      </c>
      <c r="F125" t="s">
        <v>14</v>
      </c>
      <c r="G125" t="s">
        <v>15</v>
      </c>
      <c r="H125" t="s">
        <v>1290</v>
      </c>
    </row>
    <row r="126" spans="1:8" outlineLevel="2" x14ac:dyDescent="0.3">
      <c r="A126" s="6">
        <v>2</v>
      </c>
      <c r="B126" t="s">
        <v>726</v>
      </c>
      <c r="C126" s="9" t="s">
        <v>1266</v>
      </c>
      <c r="D126" s="9">
        <v>12</v>
      </c>
      <c r="E126" s="9" t="s">
        <v>1804</v>
      </c>
      <c r="F126" t="s">
        <v>17</v>
      </c>
      <c r="G126" t="s">
        <v>15</v>
      </c>
      <c r="H126" t="s">
        <v>1291</v>
      </c>
    </row>
    <row r="127" spans="1:8" outlineLevel="2" x14ac:dyDescent="0.3">
      <c r="A127" s="6">
        <v>2</v>
      </c>
      <c r="B127" t="s">
        <v>726</v>
      </c>
      <c r="C127" s="9" t="s">
        <v>932</v>
      </c>
      <c r="D127" s="9">
        <v>48</v>
      </c>
      <c r="E127" s="9" t="s">
        <v>1804</v>
      </c>
      <c r="F127" t="s">
        <v>727</v>
      </c>
      <c r="G127" t="s">
        <v>654</v>
      </c>
      <c r="H127" t="s">
        <v>1295</v>
      </c>
    </row>
    <row r="128" spans="1:8" outlineLevel="2" x14ac:dyDescent="0.3">
      <c r="A128" s="6">
        <v>2</v>
      </c>
      <c r="B128" t="s">
        <v>726</v>
      </c>
      <c r="C128" s="9" t="s">
        <v>932</v>
      </c>
      <c r="D128" s="9">
        <v>43</v>
      </c>
      <c r="E128" s="9" t="s">
        <v>1804</v>
      </c>
      <c r="F128" t="s">
        <v>206</v>
      </c>
      <c r="G128" t="s">
        <v>92</v>
      </c>
      <c r="H128" t="s">
        <v>1296</v>
      </c>
    </row>
    <row r="129" spans="1:8" outlineLevel="2" x14ac:dyDescent="0.3">
      <c r="A129" s="6">
        <v>2</v>
      </c>
      <c r="B129" t="s">
        <v>726</v>
      </c>
      <c r="C129" s="9" t="s">
        <v>1807</v>
      </c>
      <c r="D129" s="9">
        <v>750</v>
      </c>
      <c r="E129" s="9" t="s">
        <v>1808</v>
      </c>
      <c r="F129" t="s">
        <v>210</v>
      </c>
      <c r="G129" t="s">
        <v>212</v>
      </c>
      <c r="H129" t="s">
        <v>1331</v>
      </c>
    </row>
    <row r="130" spans="1:8" outlineLevel="2" x14ac:dyDescent="0.3">
      <c r="A130" s="6">
        <v>2</v>
      </c>
      <c r="B130" t="s">
        <v>726</v>
      </c>
      <c r="C130" s="9" t="s">
        <v>932</v>
      </c>
      <c r="D130" s="9">
        <v>36</v>
      </c>
      <c r="E130" s="9" t="s">
        <v>1804</v>
      </c>
      <c r="F130" t="s">
        <v>28</v>
      </c>
      <c r="G130" t="s">
        <v>29</v>
      </c>
      <c r="H130" t="s">
        <v>1180</v>
      </c>
    </row>
    <row r="131" spans="1:8" outlineLevel="2" x14ac:dyDescent="0.3">
      <c r="A131" s="6">
        <v>2</v>
      </c>
      <c r="B131" t="s">
        <v>726</v>
      </c>
      <c r="C131" s="9" t="s">
        <v>932</v>
      </c>
      <c r="D131" s="9">
        <v>12</v>
      </c>
      <c r="E131" s="9" t="s">
        <v>1804</v>
      </c>
      <c r="F131" t="s">
        <v>483</v>
      </c>
      <c r="G131" t="s">
        <v>29</v>
      </c>
      <c r="H131" t="s">
        <v>1182</v>
      </c>
    </row>
    <row r="132" spans="1:8" outlineLevel="2" x14ac:dyDescent="0.3">
      <c r="A132" s="6">
        <v>2</v>
      </c>
      <c r="B132" t="s">
        <v>726</v>
      </c>
      <c r="C132" s="9" t="s">
        <v>932</v>
      </c>
      <c r="D132" s="9">
        <v>12</v>
      </c>
      <c r="E132" s="9" t="s">
        <v>1804</v>
      </c>
      <c r="F132" t="s">
        <v>588</v>
      </c>
      <c r="G132" t="s">
        <v>29</v>
      </c>
      <c r="H132" t="s">
        <v>1183</v>
      </c>
    </row>
    <row r="133" spans="1:8" outlineLevel="2" x14ac:dyDescent="0.3">
      <c r="A133" s="6">
        <v>2</v>
      </c>
      <c r="B133" t="s">
        <v>726</v>
      </c>
      <c r="C133" s="9" t="s">
        <v>932</v>
      </c>
      <c r="D133" s="9">
        <v>12</v>
      </c>
      <c r="E133" s="9" t="s">
        <v>1804</v>
      </c>
      <c r="F133" t="s">
        <v>589</v>
      </c>
      <c r="G133" t="s">
        <v>29</v>
      </c>
      <c r="H133" t="s">
        <v>1184</v>
      </c>
    </row>
    <row r="134" spans="1:8" outlineLevel="2" x14ac:dyDescent="0.3">
      <c r="A134" s="6">
        <v>2</v>
      </c>
      <c r="B134" t="s">
        <v>726</v>
      </c>
      <c r="C134" s="9" t="s">
        <v>932</v>
      </c>
      <c r="D134" s="9">
        <v>18</v>
      </c>
      <c r="E134" s="9" t="s">
        <v>1804</v>
      </c>
      <c r="F134" t="s">
        <v>418</v>
      </c>
      <c r="G134" t="s">
        <v>168</v>
      </c>
      <c r="H134" t="s">
        <v>1440</v>
      </c>
    </row>
    <row r="135" spans="1:8" outlineLevel="2" x14ac:dyDescent="0.3">
      <c r="A135" s="6">
        <v>2</v>
      </c>
      <c r="B135" t="s">
        <v>726</v>
      </c>
      <c r="C135" s="9" t="s">
        <v>932</v>
      </c>
      <c r="D135" s="9">
        <v>18</v>
      </c>
      <c r="E135" s="9" t="s">
        <v>1804</v>
      </c>
      <c r="F135" t="s">
        <v>217</v>
      </c>
      <c r="G135" t="s">
        <v>168</v>
      </c>
      <c r="H135" t="s">
        <v>1442</v>
      </c>
    </row>
    <row r="136" spans="1:8" outlineLevel="2" x14ac:dyDescent="0.3">
      <c r="A136" s="6">
        <v>2</v>
      </c>
      <c r="B136" t="s">
        <v>726</v>
      </c>
      <c r="C136" s="9" t="s">
        <v>932</v>
      </c>
      <c r="D136" s="9">
        <v>27</v>
      </c>
      <c r="E136" s="9" t="s">
        <v>1804</v>
      </c>
      <c r="F136" t="s">
        <v>218</v>
      </c>
      <c r="G136" t="s">
        <v>168</v>
      </c>
      <c r="H136" t="s">
        <v>1443</v>
      </c>
    </row>
    <row r="137" spans="1:8" outlineLevel="2" x14ac:dyDescent="0.3">
      <c r="A137" s="6">
        <v>2</v>
      </c>
      <c r="B137" t="s">
        <v>726</v>
      </c>
      <c r="C137" s="9" t="s">
        <v>932</v>
      </c>
      <c r="D137" s="9">
        <v>18</v>
      </c>
      <c r="E137" s="9" t="s">
        <v>1804</v>
      </c>
      <c r="F137" t="s">
        <v>389</v>
      </c>
      <c r="G137" t="s">
        <v>171</v>
      </c>
      <c r="H137" t="s">
        <v>1447</v>
      </c>
    </row>
    <row r="138" spans="1:8" outlineLevel="2" x14ac:dyDescent="0.3">
      <c r="A138" s="6">
        <v>2</v>
      </c>
      <c r="B138" t="s">
        <v>726</v>
      </c>
      <c r="C138" s="9" t="s">
        <v>932</v>
      </c>
      <c r="D138" s="9">
        <v>33</v>
      </c>
      <c r="E138" s="9" t="s">
        <v>1804</v>
      </c>
      <c r="F138" t="s">
        <v>390</v>
      </c>
      <c r="G138" t="s">
        <v>391</v>
      </c>
      <c r="H138" t="s">
        <v>1449</v>
      </c>
    </row>
    <row r="139" spans="1:8" outlineLevel="2" x14ac:dyDescent="0.3">
      <c r="A139" s="6">
        <v>2</v>
      </c>
      <c r="B139" t="s">
        <v>726</v>
      </c>
      <c r="C139" s="9" t="s">
        <v>932</v>
      </c>
      <c r="D139" s="9">
        <v>35</v>
      </c>
      <c r="E139" s="9" t="s">
        <v>1804</v>
      </c>
      <c r="F139" t="s">
        <v>421</v>
      </c>
      <c r="G139" t="s">
        <v>115</v>
      </c>
      <c r="H139" t="s">
        <v>1464</v>
      </c>
    </row>
    <row r="140" spans="1:8" outlineLevel="2" x14ac:dyDescent="0.3">
      <c r="A140" s="6">
        <v>2</v>
      </c>
      <c r="B140" t="s">
        <v>726</v>
      </c>
      <c r="C140" s="9" t="s">
        <v>932</v>
      </c>
      <c r="D140" s="9">
        <v>24</v>
      </c>
      <c r="E140" s="9" t="s">
        <v>1804</v>
      </c>
      <c r="F140" t="s">
        <v>31</v>
      </c>
      <c r="G140" t="s">
        <v>32</v>
      </c>
      <c r="H140" t="s">
        <v>1483</v>
      </c>
    </row>
    <row r="141" spans="1:8" outlineLevel="2" x14ac:dyDescent="0.3">
      <c r="A141" s="6">
        <v>2</v>
      </c>
      <c r="B141" t="s">
        <v>726</v>
      </c>
      <c r="C141" s="9" t="s">
        <v>932</v>
      </c>
      <c r="D141" s="9">
        <v>21</v>
      </c>
      <c r="E141" s="9" t="s">
        <v>1804</v>
      </c>
      <c r="F141" t="s">
        <v>34</v>
      </c>
      <c r="G141" t="s">
        <v>32</v>
      </c>
      <c r="H141" t="s">
        <v>1485</v>
      </c>
    </row>
    <row r="142" spans="1:8" outlineLevel="2" x14ac:dyDescent="0.3">
      <c r="A142" s="6">
        <v>2</v>
      </c>
      <c r="B142" t="s">
        <v>726</v>
      </c>
      <c r="C142" s="9" t="s">
        <v>932</v>
      </c>
      <c r="D142" s="9">
        <v>24</v>
      </c>
      <c r="E142" s="9" t="s">
        <v>1804</v>
      </c>
      <c r="F142" t="s">
        <v>542</v>
      </c>
      <c r="G142" t="s">
        <v>32</v>
      </c>
      <c r="H142" t="s">
        <v>1487</v>
      </c>
    </row>
    <row r="143" spans="1:8" outlineLevel="2" x14ac:dyDescent="0.3">
      <c r="A143" s="6">
        <v>2</v>
      </c>
      <c r="B143" t="s">
        <v>726</v>
      </c>
      <c r="C143" s="9" t="s">
        <v>932</v>
      </c>
      <c r="D143" s="9">
        <v>30</v>
      </c>
      <c r="E143" s="9" t="s">
        <v>1804</v>
      </c>
      <c r="F143" t="s">
        <v>35</v>
      </c>
      <c r="G143" t="s">
        <v>32</v>
      </c>
      <c r="H143" t="s">
        <v>1489</v>
      </c>
    </row>
    <row r="144" spans="1:8" outlineLevel="2" x14ac:dyDescent="0.3">
      <c r="A144" s="6">
        <v>2</v>
      </c>
      <c r="B144" t="s">
        <v>726</v>
      </c>
      <c r="C144" s="9" t="s">
        <v>932</v>
      </c>
      <c r="D144" s="9">
        <v>21</v>
      </c>
      <c r="E144" s="9" t="s">
        <v>1804</v>
      </c>
      <c r="F144" t="s">
        <v>223</v>
      </c>
      <c r="G144" t="s">
        <v>224</v>
      </c>
      <c r="H144" t="s">
        <v>1510</v>
      </c>
    </row>
    <row r="145" spans="1:8" outlineLevel="2" x14ac:dyDescent="0.3">
      <c r="A145" s="6">
        <v>2</v>
      </c>
      <c r="B145" t="s">
        <v>726</v>
      </c>
      <c r="C145" s="9" t="s">
        <v>932</v>
      </c>
      <c r="D145" s="9">
        <v>34</v>
      </c>
      <c r="E145" s="9" t="s">
        <v>1804</v>
      </c>
      <c r="F145" t="s">
        <v>422</v>
      </c>
      <c r="G145" t="s">
        <v>423</v>
      </c>
      <c r="H145" t="s">
        <v>1149</v>
      </c>
    </row>
    <row r="146" spans="1:8" outlineLevel="2" x14ac:dyDescent="0.3">
      <c r="A146" s="6">
        <v>2</v>
      </c>
      <c r="B146" t="s">
        <v>726</v>
      </c>
      <c r="C146" s="9" t="s">
        <v>932</v>
      </c>
      <c r="D146" s="9">
        <v>12</v>
      </c>
      <c r="E146" s="9" t="s">
        <v>1804</v>
      </c>
      <c r="F146" t="s">
        <v>153</v>
      </c>
      <c r="G146" t="s">
        <v>108</v>
      </c>
      <c r="H146" t="s">
        <v>1150</v>
      </c>
    </row>
    <row r="147" spans="1:8" outlineLevel="2" x14ac:dyDescent="0.3">
      <c r="A147" s="6">
        <v>2</v>
      </c>
      <c r="B147" t="s">
        <v>726</v>
      </c>
      <c r="C147" s="9" t="s">
        <v>932</v>
      </c>
      <c r="D147" s="9">
        <v>18</v>
      </c>
      <c r="E147" s="9" t="s">
        <v>1804</v>
      </c>
      <c r="F147" t="s">
        <v>154</v>
      </c>
      <c r="G147" t="s">
        <v>108</v>
      </c>
      <c r="H147" t="s">
        <v>1151</v>
      </c>
    </row>
    <row r="148" spans="1:8" outlineLevel="2" x14ac:dyDescent="0.3">
      <c r="A148" s="6">
        <v>2</v>
      </c>
      <c r="B148" t="s">
        <v>726</v>
      </c>
      <c r="C148" s="9" t="s">
        <v>932</v>
      </c>
      <c r="D148" s="9">
        <v>18</v>
      </c>
      <c r="E148" s="9" t="s">
        <v>1804</v>
      </c>
      <c r="F148" t="s">
        <v>697</v>
      </c>
      <c r="G148" t="s">
        <v>108</v>
      </c>
      <c r="H148" t="s">
        <v>1155</v>
      </c>
    </row>
    <row r="149" spans="1:8" outlineLevel="2" x14ac:dyDescent="0.3">
      <c r="A149" s="6">
        <v>2</v>
      </c>
      <c r="B149" t="s">
        <v>726</v>
      </c>
      <c r="C149" s="9" t="s">
        <v>932</v>
      </c>
      <c r="D149" s="9">
        <v>24</v>
      </c>
      <c r="E149" s="9" t="s">
        <v>1804</v>
      </c>
      <c r="F149" t="s">
        <v>393</v>
      </c>
      <c r="G149" t="s">
        <v>108</v>
      </c>
      <c r="H149" t="s">
        <v>1156</v>
      </c>
    </row>
    <row r="150" spans="1:8" outlineLevel="2" x14ac:dyDescent="0.3">
      <c r="A150" s="6">
        <v>2</v>
      </c>
      <c r="B150" t="s">
        <v>726</v>
      </c>
      <c r="C150" s="9" t="s">
        <v>932</v>
      </c>
      <c r="D150" s="9">
        <v>27</v>
      </c>
      <c r="E150" s="9" t="s">
        <v>1804</v>
      </c>
      <c r="F150" t="s">
        <v>37</v>
      </c>
      <c r="G150" t="s">
        <v>38</v>
      </c>
      <c r="H150" t="s">
        <v>1164</v>
      </c>
    </row>
    <row r="151" spans="1:8" outlineLevel="2" x14ac:dyDescent="0.3">
      <c r="A151" s="6">
        <v>2</v>
      </c>
      <c r="B151" t="s">
        <v>726</v>
      </c>
      <c r="C151" s="9" t="s">
        <v>932</v>
      </c>
      <c r="D151" s="9">
        <v>12</v>
      </c>
      <c r="E151" s="9" t="s">
        <v>1804</v>
      </c>
      <c r="F151" t="s">
        <v>226</v>
      </c>
      <c r="G151" t="s">
        <v>38</v>
      </c>
      <c r="H151" t="s">
        <v>1165</v>
      </c>
    </row>
    <row r="152" spans="1:8" outlineLevel="2" x14ac:dyDescent="0.3">
      <c r="A152" s="6">
        <v>2</v>
      </c>
      <c r="B152" t="s">
        <v>726</v>
      </c>
      <c r="C152" s="9" t="s">
        <v>932</v>
      </c>
      <c r="D152" s="9">
        <v>18</v>
      </c>
      <c r="E152" s="9" t="s">
        <v>1804</v>
      </c>
      <c r="F152" t="s">
        <v>227</v>
      </c>
      <c r="G152" t="s">
        <v>41</v>
      </c>
      <c r="H152" t="s">
        <v>1167</v>
      </c>
    </row>
    <row r="153" spans="1:8" outlineLevel="2" x14ac:dyDescent="0.3">
      <c r="A153" s="6">
        <v>2</v>
      </c>
      <c r="B153" t="s">
        <v>726</v>
      </c>
      <c r="C153" s="9" t="s">
        <v>932</v>
      </c>
      <c r="D153" s="9">
        <v>12</v>
      </c>
      <c r="E153" s="9" t="s">
        <v>1804</v>
      </c>
      <c r="F153" t="s">
        <v>228</v>
      </c>
      <c r="G153" t="s">
        <v>41</v>
      </c>
      <c r="H153" t="s">
        <v>1168</v>
      </c>
    </row>
    <row r="154" spans="1:8" outlineLevel="2" x14ac:dyDescent="0.3">
      <c r="A154" s="6">
        <v>2</v>
      </c>
      <c r="B154" t="s">
        <v>726</v>
      </c>
      <c r="C154" s="9" t="s">
        <v>932</v>
      </c>
      <c r="D154" s="9">
        <v>27</v>
      </c>
      <c r="E154" s="9" t="s">
        <v>1804</v>
      </c>
      <c r="F154" t="s">
        <v>40</v>
      </c>
      <c r="G154" t="s">
        <v>41</v>
      </c>
      <c r="H154" t="s">
        <v>1169</v>
      </c>
    </row>
    <row r="155" spans="1:8" outlineLevel="2" x14ac:dyDescent="0.3">
      <c r="A155" s="6">
        <v>2</v>
      </c>
      <c r="B155" t="s">
        <v>726</v>
      </c>
      <c r="C155" s="9" t="s">
        <v>932</v>
      </c>
      <c r="D155" s="9">
        <v>18</v>
      </c>
      <c r="E155" s="9" t="s">
        <v>1804</v>
      </c>
      <c r="F155" t="s">
        <v>229</v>
      </c>
      <c r="G155" t="s">
        <v>230</v>
      </c>
      <c r="H155" t="s">
        <v>1170</v>
      </c>
    </row>
    <row r="156" spans="1:8" outlineLevel="2" x14ac:dyDescent="0.3">
      <c r="A156" s="6">
        <v>2</v>
      </c>
      <c r="B156" t="s">
        <v>726</v>
      </c>
      <c r="C156" s="9" t="s">
        <v>932</v>
      </c>
      <c r="D156" s="9">
        <v>24</v>
      </c>
      <c r="E156" s="9" t="s">
        <v>1804</v>
      </c>
      <c r="F156" t="s">
        <v>232</v>
      </c>
      <c r="G156" t="s">
        <v>144</v>
      </c>
      <c r="H156" t="s">
        <v>1171</v>
      </c>
    </row>
    <row r="157" spans="1:8" outlineLevel="2" x14ac:dyDescent="0.3">
      <c r="A157" s="6">
        <v>2</v>
      </c>
      <c r="B157" t="s">
        <v>726</v>
      </c>
      <c r="C157" s="9" t="s">
        <v>932</v>
      </c>
      <c r="D157" s="9">
        <v>25</v>
      </c>
      <c r="E157" s="9" t="s">
        <v>1804</v>
      </c>
      <c r="F157" t="s">
        <v>394</v>
      </c>
      <c r="G157" t="s">
        <v>112</v>
      </c>
      <c r="H157" t="s">
        <v>1172</v>
      </c>
    </row>
    <row r="158" spans="1:8" outlineLevel="2" x14ac:dyDescent="0.3">
      <c r="A158" s="6">
        <v>2</v>
      </c>
      <c r="B158" t="s">
        <v>726</v>
      </c>
      <c r="C158" s="9" t="s">
        <v>932</v>
      </c>
      <c r="D158" s="9">
        <v>15</v>
      </c>
      <c r="E158" s="9" t="s">
        <v>1804</v>
      </c>
      <c r="F158" t="s">
        <v>515</v>
      </c>
      <c r="G158" t="s">
        <v>238</v>
      </c>
      <c r="H158" t="s">
        <v>1064</v>
      </c>
    </row>
    <row r="159" spans="1:8" outlineLevel="2" x14ac:dyDescent="0.3">
      <c r="A159" s="6">
        <v>2</v>
      </c>
      <c r="B159" t="s">
        <v>726</v>
      </c>
      <c r="C159" s="9" t="s">
        <v>932</v>
      </c>
      <c r="D159" s="9">
        <v>24</v>
      </c>
      <c r="E159" s="9" t="s">
        <v>1804</v>
      </c>
      <c r="F159" t="s">
        <v>237</v>
      </c>
      <c r="G159" t="s">
        <v>238</v>
      </c>
      <c r="H159" t="s">
        <v>1065</v>
      </c>
    </row>
    <row r="160" spans="1:8" outlineLevel="2" x14ac:dyDescent="0.3">
      <c r="A160" s="6">
        <v>2</v>
      </c>
      <c r="B160" t="s">
        <v>726</v>
      </c>
      <c r="C160" s="9" t="s">
        <v>932</v>
      </c>
      <c r="D160" s="9">
        <v>18</v>
      </c>
      <c r="E160" s="9" t="s">
        <v>1804</v>
      </c>
      <c r="F160" t="s">
        <v>246</v>
      </c>
      <c r="G160" t="s">
        <v>51</v>
      </c>
      <c r="H160" t="s">
        <v>1596</v>
      </c>
    </row>
    <row r="161" spans="1:8" outlineLevel="2" x14ac:dyDescent="0.3">
      <c r="A161" s="6">
        <v>2</v>
      </c>
      <c r="B161" t="s">
        <v>726</v>
      </c>
      <c r="C161" s="9" t="s">
        <v>932</v>
      </c>
      <c r="D161" s="9">
        <v>12</v>
      </c>
      <c r="E161" s="9" t="s">
        <v>1804</v>
      </c>
      <c r="F161" t="s">
        <v>719</v>
      </c>
      <c r="G161" t="s">
        <v>51</v>
      </c>
      <c r="H161" t="s">
        <v>1600</v>
      </c>
    </row>
    <row r="162" spans="1:8" outlineLevel="2" x14ac:dyDescent="0.3">
      <c r="A162" s="6">
        <v>2</v>
      </c>
      <c r="B162" t="s">
        <v>726</v>
      </c>
      <c r="C162" s="9" t="s">
        <v>932</v>
      </c>
      <c r="D162" s="9">
        <v>12</v>
      </c>
      <c r="E162" s="9" t="s">
        <v>1804</v>
      </c>
      <c r="F162" t="s">
        <v>53</v>
      </c>
      <c r="G162" t="s">
        <v>54</v>
      </c>
      <c r="H162" t="s">
        <v>1603</v>
      </c>
    </row>
    <row r="163" spans="1:8" outlineLevel="2" x14ac:dyDescent="0.3">
      <c r="A163" s="6">
        <v>2</v>
      </c>
      <c r="B163" t="s">
        <v>726</v>
      </c>
      <c r="C163" s="9" t="s">
        <v>932</v>
      </c>
      <c r="D163" s="9">
        <v>18</v>
      </c>
      <c r="E163" s="9" t="s">
        <v>1804</v>
      </c>
      <c r="F163" t="s">
        <v>733</v>
      </c>
      <c r="G163" t="s">
        <v>630</v>
      </c>
      <c r="H163" t="s">
        <v>1629</v>
      </c>
    </row>
    <row r="164" spans="1:8" outlineLevel="2" x14ac:dyDescent="0.3">
      <c r="A164" s="6">
        <v>2</v>
      </c>
      <c r="B164" t="s">
        <v>726</v>
      </c>
      <c r="C164" s="9" t="s">
        <v>976</v>
      </c>
      <c r="D164" s="9">
        <v>68</v>
      </c>
      <c r="E164" s="9" t="s">
        <v>1804</v>
      </c>
      <c r="F164" t="s">
        <v>255</v>
      </c>
      <c r="G164" t="s">
        <v>256</v>
      </c>
      <c r="H164" t="s">
        <v>1715</v>
      </c>
    </row>
    <row r="165" spans="1:8" outlineLevel="2" x14ac:dyDescent="0.3">
      <c r="A165" s="6">
        <v>2</v>
      </c>
      <c r="B165" t="s">
        <v>726</v>
      </c>
      <c r="C165" s="9" t="s">
        <v>932</v>
      </c>
      <c r="D165" s="9">
        <v>24</v>
      </c>
      <c r="E165" s="9" t="s">
        <v>1804</v>
      </c>
      <c r="F165" t="s">
        <v>258</v>
      </c>
      <c r="G165" t="s">
        <v>256</v>
      </c>
      <c r="H165" t="s">
        <v>1716</v>
      </c>
    </row>
    <row r="166" spans="1:8" outlineLevel="2" x14ac:dyDescent="0.3">
      <c r="A166" s="6">
        <v>2</v>
      </c>
      <c r="B166" t="s">
        <v>726</v>
      </c>
      <c r="C166" s="9" t="s">
        <v>932</v>
      </c>
      <c r="D166" s="9">
        <v>44</v>
      </c>
      <c r="E166" s="9" t="s">
        <v>1804</v>
      </c>
      <c r="F166" t="s">
        <v>633</v>
      </c>
      <c r="G166" t="s">
        <v>256</v>
      </c>
      <c r="H166" t="s">
        <v>1717</v>
      </c>
    </row>
    <row r="167" spans="1:8" outlineLevel="2" x14ac:dyDescent="0.3">
      <c r="A167" s="6">
        <v>2</v>
      </c>
      <c r="B167" t="s">
        <v>726</v>
      </c>
      <c r="C167" s="9" t="s">
        <v>932</v>
      </c>
      <c r="D167" s="9">
        <v>18</v>
      </c>
      <c r="E167" s="9" t="s">
        <v>1804</v>
      </c>
      <c r="F167" t="s">
        <v>564</v>
      </c>
      <c r="G167" t="s">
        <v>359</v>
      </c>
      <c r="H167" t="s">
        <v>983</v>
      </c>
    </row>
    <row r="168" spans="1:8" outlineLevel="2" x14ac:dyDescent="0.3">
      <c r="A168" s="6">
        <v>2</v>
      </c>
      <c r="B168" t="s">
        <v>726</v>
      </c>
      <c r="C168" s="9" t="s">
        <v>932</v>
      </c>
      <c r="D168" s="9">
        <v>26</v>
      </c>
      <c r="E168" s="9" t="s">
        <v>1804</v>
      </c>
      <c r="F168" t="s">
        <v>271</v>
      </c>
      <c r="G168" t="s">
        <v>269</v>
      </c>
      <c r="H168" t="s">
        <v>1646</v>
      </c>
    </row>
    <row r="169" spans="1:8" outlineLevel="2" x14ac:dyDescent="0.3">
      <c r="A169" s="6">
        <v>2</v>
      </c>
      <c r="B169" t="s">
        <v>726</v>
      </c>
      <c r="C169" s="9" t="s">
        <v>932</v>
      </c>
      <c r="D169" s="9">
        <v>53</v>
      </c>
      <c r="E169" s="9" t="s">
        <v>1804</v>
      </c>
      <c r="F169" t="s">
        <v>734</v>
      </c>
      <c r="G169" t="s">
        <v>450</v>
      </c>
      <c r="H169" t="s">
        <v>1729</v>
      </c>
    </row>
    <row r="170" spans="1:8" outlineLevel="2" x14ac:dyDescent="0.3">
      <c r="A170" s="6">
        <v>2</v>
      </c>
      <c r="B170" t="s">
        <v>726</v>
      </c>
      <c r="C170" s="9" t="s">
        <v>932</v>
      </c>
      <c r="D170" s="9">
        <v>27</v>
      </c>
      <c r="E170" s="9" t="s">
        <v>1804</v>
      </c>
      <c r="F170" t="s">
        <v>735</v>
      </c>
      <c r="G170" t="s">
        <v>450</v>
      </c>
      <c r="H170" t="s">
        <v>1730</v>
      </c>
    </row>
    <row r="171" spans="1:8" outlineLevel="2" x14ac:dyDescent="0.3">
      <c r="A171" s="6">
        <v>2</v>
      </c>
      <c r="B171" t="s">
        <v>726</v>
      </c>
      <c r="C171" s="9" t="s">
        <v>976</v>
      </c>
      <c r="D171" s="9">
        <v>66</v>
      </c>
      <c r="E171" s="9" t="s">
        <v>1804</v>
      </c>
      <c r="F171" t="s">
        <v>156</v>
      </c>
      <c r="G171" t="s">
        <v>157</v>
      </c>
      <c r="H171" t="s">
        <v>1746</v>
      </c>
    </row>
    <row r="172" spans="1:8" outlineLevel="2" x14ac:dyDescent="0.3">
      <c r="A172" s="6">
        <v>2</v>
      </c>
      <c r="B172" t="s">
        <v>726</v>
      </c>
      <c r="C172" s="9" t="s">
        <v>932</v>
      </c>
      <c r="D172" s="9">
        <v>24</v>
      </c>
      <c r="E172" s="9" t="s">
        <v>1804</v>
      </c>
      <c r="F172" t="s">
        <v>736</v>
      </c>
      <c r="G172" t="s">
        <v>157</v>
      </c>
      <c r="H172" t="s">
        <v>1747</v>
      </c>
    </row>
    <row r="173" spans="1:8" outlineLevel="2" x14ac:dyDescent="0.3">
      <c r="A173" s="6">
        <v>2</v>
      </c>
      <c r="B173" t="s">
        <v>726</v>
      </c>
      <c r="C173" s="9" t="s">
        <v>932</v>
      </c>
      <c r="D173" s="9">
        <v>12</v>
      </c>
      <c r="E173" s="9" t="s">
        <v>1804</v>
      </c>
      <c r="F173" t="s">
        <v>737</v>
      </c>
      <c r="G173" t="s">
        <v>157</v>
      </c>
      <c r="H173" t="s">
        <v>1748</v>
      </c>
    </row>
    <row r="174" spans="1:8" outlineLevel="2" x14ac:dyDescent="0.3">
      <c r="A174" s="6">
        <v>2</v>
      </c>
      <c r="B174" t="s">
        <v>726</v>
      </c>
      <c r="C174" s="9" t="s">
        <v>932</v>
      </c>
      <c r="D174" s="9">
        <v>34</v>
      </c>
      <c r="E174" s="9" t="s">
        <v>1804</v>
      </c>
      <c r="F174" t="s">
        <v>159</v>
      </c>
      <c r="G174" t="s">
        <v>157</v>
      </c>
      <c r="H174" t="s">
        <v>1749</v>
      </c>
    </row>
    <row r="175" spans="1:8" outlineLevel="2" x14ac:dyDescent="0.3">
      <c r="A175" s="6">
        <v>2</v>
      </c>
      <c r="B175" t="s">
        <v>726</v>
      </c>
      <c r="C175" s="9" t="s">
        <v>932</v>
      </c>
      <c r="D175" s="9">
        <v>24</v>
      </c>
      <c r="E175" s="9" t="s">
        <v>1804</v>
      </c>
      <c r="F175" t="s">
        <v>738</v>
      </c>
      <c r="G175" t="s">
        <v>157</v>
      </c>
      <c r="H175" t="s">
        <v>1750</v>
      </c>
    </row>
    <row r="176" spans="1:8" outlineLevel="2" x14ac:dyDescent="0.3">
      <c r="A176" s="6">
        <v>2</v>
      </c>
      <c r="B176" t="s">
        <v>726</v>
      </c>
      <c r="C176" s="9" t="s">
        <v>1807</v>
      </c>
      <c r="D176" s="9">
        <v>1350</v>
      </c>
      <c r="E176" s="9" t="s">
        <v>1808</v>
      </c>
      <c r="F176" t="s">
        <v>282</v>
      </c>
      <c r="G176" t="s">
        <v>283</v>
      </c>
      <c r="H176" t="s">
        <v>1758</v>
      </c>
    </row>
    <row r="177" spans="1:8" outlineLevel="2" x14ac:dyDescent="0.3">
      <c r="A177" s="6">
        <v>2</v>
      </c>
      <c r="B177" t="s">
        <v>726</v>
      </c>
      <c r="C177" s="9" t="s">
        <v>1807</v>
      </c>
      <c r="D177" s="9">
        <v>1350</v>
      </c>
      <c r="E177" s="9" t="s">
        <v>1808</v>
      </c>
      <c r="F177" t="s">
        <v>285</v>
      </c>
      <c r="G177" t="s">
        <v>286</v>
      </c>
      <c r="H177" t="s">
        <v>1759</v>
      </c>
    </row>
    <row r="178" spans="1:8" outlineLevel="2" x14ac:dyDescent="0.3">
      <c r="A178" s="6">
        <v>2</v>
      </c>
      <c r="B178" t="s">
        <v>726</v>
      </c>
      <c r="C178" s="9" t="s">
        <v>932</v>
      </c>
      <c r="D178" s="9">
        <v>33</v>
      </c>
      <c r="E178" s="9" t="s">
        <v>1804</v>
      </c>
      <c r="F178" t="s">
        <v>739</v>
      </c>
      <c r="G178" t="s">
        <v>740</v>
      </c>
      <c r="H178" t="s">
        <v>1710</v>
      </c>
    </row>
    <row r="179" spans="1:8" outlineLevel="2" x14ac:dyDescent="0.3">
      <c r="A179" s="6">
        <v>2</v>
      </c>
      <c r="B179" t="s">
        <v>726</v>
      </c>
      <c r="C179" s="9" t="s">
        <v>932</v>
      </c>
      <c r="D179" s="9">
        <v>24</v>
      </c>
      <c r="E179" s="9" t="s">
        <v>1804</v>
      </c>
      <c r="F179" t="s">
        <v>297</v>
      </c>
      <c r="G179" t="s">
        <v>298</v>
      </c>
      <c r="H179" t="s">
        <v>1771</v>
      </c>
    </row>
    <row r="180" spans="1:8" outlineLevel="2" x14ac:dyDescent="0.3">
      <c r="A180" s="6">
        <v>2</v>
      </c>
      <c r="B180" t="s">
        <v>726</v>
      </c>
      <c r="C180" s="9" t="s">
        <v>932</v>
      </c>
      <c r="D180" s="9">
        <v>16</v>
      </c>
      <c r="E180" s="9" t="s">
        <v>1804</v>
      </c>
      <c r="F180" t="s">
        <v>742</v>
      </c>
      <c r="G180" t="s">
        <v>301</v>
      </c>
      <c r="H180" t="s">
        <v>1774</v>
      </c>
    </row>
    <row r="181" spans="1:8" outlineLevel="2" x14ac:dyDescent="0.3">
      <c r="A181" s="6">
        <v>2</v>
      </c>
      <c r="B181" t="s">
        <v>726</v>
      </c>
      <c r="C181" s="9" t="s">
        <v>932</v>
      </c>
      <c r="D181" s="9">
        <v>24</v>
      </c>
      <c r="E181" s="9" t="s">
        <v>1804</v>
      </c>
      <c r="F181" t="s">
        <v>303</v>
      </c>
      <c r="G181" t="s">
        <v>301</v>
      </c>
      <c r="H181" t="s">
        <v>1758</v>
      </c>
    </row>
    <row r="182" spans="1:8" outlineLevel="2" x14ac:dyDescent="0.3">
      <c r="A182" s="6">
        <v>2</v>
      </c>
      <c r="B182" t="s">
        <v>726</v>
      </c>
      <c r="C182" s="9" t="s">
        <v>932</v>
      </c>
      <c r="D182" s="9">
        <v>24</v>
      </c>
      <c r="E182" s="9" t="s">
        <v>1804</v>
      </c>
      <c r="F182" t="s">
        <v>743</v>
      </c>
      <c r="G182" t="s">
        <v>301</v>
      </c>
      <c r="H182" t="s">
        <v>1759</v>
      </c>
    </row>
    <row r="183" spans="1:8" outlineLevel="2" x14ac:dyDescent="0.3">
      <c r="A183" s="6">
        <v>2</v>
      </c>
      <c r="B183" t="s">
        <v>726</v>
      </c>
      <c r="C183" s="9" t="s">
        <v>932</v>
      </c>
      <c r="D183" s="9">
        <v>24</v>
      </c>
      <c r="E183" s="9" t="s">
        <v>1804</v>
      </c>
      <c r="F183" t="s">
        <v>567</v>
      </c>
      <c r="G183" t="s">
        <v>63</v>
      </c>
      <c r="H183" t="s">
        <v>1099</v>
      </c>
    </row>
    <row r="184" spans="1:8" outlineLevel="2" x14ac:dyDescent="0.3">
      <c r="A184" s="6">
        <v>2</v>
      </c>
      <c r="B184" t="s">
        <v>726</v>
      </c>
      <c r="C184" s="9" t="s">
        <v>932</v>
      </c>
      <c r="D184" s="9">
        <v>16</v>
      </c>
      <c r="E184" s="9" t="s">
        <v>1804</v>
      </c>
      <c r="F184" t="s">
        <v>744</v>
      </c>
      <c r="G184" t="s">
        <v>63</v>
      </c>
      <c r="H184" t="s">
        <v>1100</v>
      </c>
    </row>
    <row r="185" spans="1:8" outlineLevel="2" x14ac:dyDescent="0.3">
      <c r="A185" s="6">
        <v>2</v>
      </c>
      <c r="B185" t="s">
        <v>726</v>
      </c>
      <c r="C185" s="9" t="s">
        <v>932</v>
      </c>
      <c r="D185" s="9">
        <v>16</v>
      </c>
      <c r="E185" s="9" t="s">
        <v>1804</v>
      </c>
      <c r="F185" t="s">
        <v>745</v>
      </c>
      <c r="G185" t="s">
        <v>63</v>
      </c>
      <c r="H185" t="s">
        <v>1101</v>
      </c>
    </row>
    <row r="186" spans="1:8" outlineLevel="2" x14ac:dyDescent="0.3">
      <c r="A186" s="6">
        <v>2</v>
      </c>
      <c r="B186" t="s">
        <v>726</v>
      </c>
      <c r="C186" s="9" t="s">
        <v>932</v>
      </c>
      <c r="D186" s="9">
        <v>16</v>
      </c>
      <c r="E186" s="9" t="s">
        <v>1804</v>
      </c>
      <c r="F186" t="s">
        <v>746</v>
      </c>
      <c r="G186" t="s">
        <v>63</v>
      </c>
      <c r="H186" t="s">
        <v>1102</v>
      </c>
    </row>
    <row r="187" spans="1:8" outlineLevel="2" x14ac:dyDescent="0.3">
      <c r="A187" s="6">
        <v>2</v>
      </c>
      <c r="B187" t="s">
        <v>726</v>
      </c>
      <c r="C187" s="9" t="s">
        <v>932</v>
      </c>
      <c r="D187" s="9">
        <v>15</v>
      </c>
      <c r="E187" s="9" t="s">
        <v>1804</v>
      </c>
      <c r="F187" t="s">
        <v>62</v>
      </c>
      <c r="G187" t="s">
        <v>63</v>
      </c>
      <c r="H187" t="s">
        <v>1103</v>
      </c>
    </row>
    <row r="188" spans="1:8" outlineLevel="2" x14ac:dyDescent="0.3">
      <c r="A188" s="6">
        <v>2</v>
      </c>
      <c r="B188" t="s">
        <v>726</v>
      </c>
      <c r="C188" s="9" t="s">
        <v>932</v>
      </c>
      <c r="D188" s="9">
        <v>18</v>
      </c>
      <c r="E188" s="9" t="s">
        <v>1804</v>
      </c>
      <c r="F188" t="s">
        <v>65</v>
      </c>
      <c r="G188" t="s">
        <v>66</v>
      </c>
      <c r="H188" t="s">
        <v>1791</v>
      </c>
    </row>
    <row r="189" spans="1:8" outlineLevel="2" x14ac:dyDescent="0.3">
      <c r="A189" s="6">
        <v>2</v>
      </c>
      <c r="B189" t="s">
        <v>726</v>
      </c>
      <c r="C189" s="9" t="s">
        <v>1807</v>
      </c>
      <c r="D189" s="9">
        <v>420</v>
      </c>
      <c r="E189" s="9" t="s">
        <v>1808</v>
      </c>
      <c r="F189" t="s">
        <v>68</v>
      </c>
      <c r="G189" t="s">
        <v>69</v>
      </c>
      <c r="H189" t="s">
        <v>1551</v>
      </c>
    </row>
    <row r="190" spans="1:8" outlineLevel="2" x14ac:dyDescent="0.3">
      <c r="A190" s="6">
        <v>2</v>
      </c>
      <c r="B190" t="s">
        <v>726</v>
      </c>
      <c r="C190" s="9" t="s">
        <v>932</v>
      </c>
      <c r="D190" s="9">
        <v>24</v>
      </c>
      <c r="E190" s="9" t="s">
        <v>1804</v>
      </c>
      <c r="F190" t="s">
        <v>316</v>
      </c>
      <c r="G190" t="s">
        <v>129</v>
      </c>
      <c r="H190" t="s">
        <v>1562</v>
      </c>
    </row>
    <row r="191" spans="1:8" outlineLevel="2" x14ac:dyDescent="0.3">
      <c r="A191" s="6">
        <v>2</v>
      </c>
      <c r="B191" t="s">
        <v>726</v>
      </c>
      <c r="C191" s="9" t="s">
        <v>932</v>
      </c>
      <c r="D191" s="9">
        <v>9</v>
      </c>
      <c r="E191" s="9" t="s">
        <v>1804</v>
      </c>
      <c r="F191" t="s">
        <v>574</v>
      </c>
      <c r="G191" t="s">
        <v>129</v>
      </c>
      <c r="H191" t="s">
        <v>1563</v>
      </c>
    </row>
    <row r="192" spans="1:8" outlineLevel="2" x14ac:dyDescent="0.3">
      <c r="A192" s="6">
        <v>2</v>
      </c>
      <c r="B192" t="s">
        <v>726</v>
      </c>
      <c r="C192" s="9" t="s">
        <v>932</v>
      </c>
      <c r="D192" s="9">
        <v>28</v>
      </c>
      <c r="E192" s="9" t="s">
        <v>1804</v>
      </c>
      <c r="F192" t="s">
        <v>395</v>
      </c>
      <c r="G192" t="s">
        <v>396</v>
      </c>
      <c r="H192" t="s">
        <v>1564</v>
      </c>
    </row>
    <row r="193" spans="1:8" outlineLevel="2" x14ac:dyDescent="0.3">
      <c r="A193" s="6">
        <v>2</v>
      </c>
      <c r="B193" t="s">
        <v>726</v>
      </c>
      <c r="C193" s="9" t="s">
        <v>1807</v>
      </c>
      <c r="D193" s="9">
        <v>770</v>
      </c>
      <c r="E193" s="9" t="s">
        <v>1808</v>
      </c>
      <c r="F193" t="s">
        <v>71</v>
      </c>
      <c r="G193" t="s">
        <v>72</v>
      </c>
      <c r="H193" t="s">
        <v>1565</v>
      </c>
    </row>
    <row r="194" spans="1:8" outlineLevel="2" x14ac:dyDescent="0.3">
      <c r="A194" s="6">
        <v>2</v>
      </c>
      <c r="B194" t="s">
        <v>726</v>
      </c>
      <c r="C194" s="9" t="s">
        <v>1807</v>
      </c>
      <c r="D194" s="9">
        <v>518</v>
      </c>
      <c r="E194" s="9" t="s">
        <v>1808</v>
      </c>
      <c r="F194" t="s">
        <v>74</v>
      </c>
      <c r="G194" t="s">
        <v>72</v>
      </c>
      <c r="H194" t="s">
        <v>1566</v>
      </c>
    </row>
    <row r="195" spans="1:8" outlineLevel="2" x14ac:dyDescent="0.3">
      <c r="A195" s="6">
        <v>2</v>
      </c>
      <c r="B195" t="s">
        <v>726</v>
      </c>
      <c r="C195" s="9" t="s">
        <v>1807</v>
      </c>
      <c r="D195" s="9">
        <v>206</v>
      </c>
      <c r="E195" s="9" t="s">
        <v>1808</v>
      </c>
      <c r="F195" t="s">
        <v>748</v>
      </c>
      <c r="G195" t="s">
        <v>749</v>
      </c>
      <c r="H195" t="s">
        <v>1576</v>
      </c>
    </row>
    <row r="196" spans="1:8" outlineLevel="2" x14ac:dyDescent="0.3">
      <c r="A196" s="6">
        <v>2</v>
      </c>
      <c r="B196" t="s">
        <v>726</v>
      </c>
      <c r="C196" s="9" t="s">
        <v>963</v>
      </c>
      <c r="D196" s="9">
        <v>64</v>
      </c>
      <c r="E196" s="9" t="s">
        <v>1804</v>
      </c>
      <c r="F196" t="s">
        <v>166</v>
      </c>
      <c r="G196" t="s">
        <v>80</v>
      </c>
      <c r="H196" t="s">
        <v>1416</v>
      </c>
    </row>
    <row r="197" spans="1:8" outlineLevel="2" x14ac:dyDescent="0.3">
      <c r="A197" s="6">
        <v>2</v>
      </c>
      <c r="B197" t="s">
        <v>726</v>
      </c>
      <c r="C197" s="9" t="s">
        <v>963</v>
      </c>
      <c r="D197" s="9">
        <v>60</v>
      </c>
      <c r="E197" s="9" t="s">
        <v>1804</v>
      </c>
      <c r="F197" t="s">
        <v>79</v>
      </c>
      <c r="G197" t="s">
        <v>80</v>
      </c>
      <c r="H197" t="s">
        <v>1416</v>
      </c>
    </row>
    <row r="198" spans="1:8" outlineLevel="2" x14ac:dyDescent="0.3">
      <c r="A198" s="6">
        <v>2</v>
      </c>
      <c r="B198" t="s">
        <v>726</v>
      </c>
      <c r="C198" s="9" t="s">
        <v>963</v>
      </c>
      <c r="D198" s="9">
        <v>60</v>
      </c>
      <c r="E198" s="9" t="s">
        <v>1804</v>
      </c>
      <c r="F198" t="s">
        <v>643</v>
      </c>
      <c r="G198" t="s">
        <v>499</v>
      </c>
      <c r="H198" t="s">
        <v>1703</v>
      </c>
    </row>
    <row r="199" spans="1:8" outlineLevel="2" x14ac:dyDescent="0.3">
      <c r="A199" s="6">
        <v>2</v>
      </c>
      <c r="B199" t="s">
        <v>726</v>
      </c>
      <c r="C199" s="9" t="s">
        <v>963</v>
      </c>
      <c r="D199" s="9">
        <v>70</v>
      </c>
      <c r="E199" s="9" t="s">
        <v>1804</v>
      </c>
      <c r="F199" t="s">
        <v>525</v>
      </c>
      <c r="G199" t="s">
        <v>526</v>
      </c>
      <c r="H199" t="s">
        <v>1341</v>
      </c>
    </row>
    <row r="200" spans="1:8" outlineLevel="2" x14ac:dyDescent="0.3">
      <c r="A200" s="6">
        <v>2</v>
      </c>
      <c r="B200" t="s">
        <v>726</v>
      </c>
      <c r="C200" s="9" t="s">
        <v>963</v>
      </c>
      <c r="D200" s="9">
        <v>88</v>
      </c>
      <c r="E200" s="9" t="s">
        <v>1804</v>
      </c>
      <c r="F200" t="s">
        <v>84</v>
      </c>
      <c r="G200" t="s">
        <v>85</v>
      </c>
      <c r="H200" t="s">
        <v>1342</v>
      </c>
    </row>
    <row r="201" spans="1:8" outlineLevel="2" x14ac:dyDescent="0.3">
      <c r="A201" s="6">
        <v>2</v>
      </c>
      <c r="B201" t="s">
        <v>726</v>
      </c>
      <c r="C201" s="9" t="s">
        <v>963</v>
      </c>
      <c r="D201" s="9">
        <v>60</v>
      </c>
      <c r="E201" s="9" t="s">
        <v>1804</v>
      </c>
      <c r="F201" t="s">
        <v>612</v>
      </c>
      <c r="G201" t="s">
        <v>613</v>
      </c>
      <c r="H201" t="s">
        <v>1343</v>
      </c>
    </row>
    <row r="202" spans="1:8" outlineLevel="2" x14ac:dyDescent="0.3">
      <c r="A202" s="6">
        <v>2</v>
      </c>
      <c r="B202" t="s">
        <v>726</v>
      </c>
      <c r="C202" s="9" t="s">
        <v>963</v>
      </c>
      <c r="D202" s="9">
        <v>70</v>
      </c>
      <c r="E202" s="9" t="s">
        <v>1804</v>
      </c>
      <c r="F202" t="s">
        <v>325</v>
      </c>
      <c r="G202" t="s">
        <v>196</v>
      </c>
      <c r="H202" t="s">
        <v>1344</v>
      </c>
    </row>
    <row r="203" spans="1:8" outlineLevel="2" x14ac:dyDescent="0.3">
      <c r="A203" s="6">
        <v>2</v>
      </c>
      <c r="B203" t="s">
        <v>726</v>
      </c>
      <c r="C203" s="9" t="s">
        <v>963</v>
      </c>
      <c r="D203" s="9">
        <v>65</v>
      </c>
      <c r="E203" s="9" t="s">
        <v>1804</v>
      </c>
      <c r="F203" t="s">
        <v>326</v>
      </c>
      <c r="G203" t="s">
        <v>200</v>
      </c>
      <c r="H203" t="s">
        <v>1346</v>
      </c>
    </row>
    <row r="204" spans="1:8" outlineLevel="2" x14ac:dyDescent="0.3">
      <c r="A204" s="6">
        <v>2</v>
      </c>
      <c r="B204" t="s">
        <v>726</v>
      </c>
      <c r="C204" s="9" t="s">
        <v>963</v>
      </c>
      <c r="D204" s="9">
        <v>74</v>
      </c>
      <c r="E204" s="9" t="s">
        <v>1804</v>
      </c>
      <c r="F204" t="s">
        <v>87</v>
      </c>
      <c r="G204" t="s">
        <v>88</v>
      </c>
      <c r="H204" t="s">
        <v>1349</v>
      </c>
    </row>
    <row r="205" spans="1:8" outlineLevel="2" x14ac:dyDescent="0.3">
      <c r="A205" s="6">
        <v>2</v>
      </c>
      <c r="B205" t="s">
        <v>726</v>
      </c>
      <c r="C205" s="9" t="s">
        <v>963</v>
      </c>
      <c r="D205" s="9">
        <v>73</v>
      </c>
      <c r="E205" s="9" t="s">
        <v>1804</v>
      </c>
      <c r="F205" t="s">
        <v>90</v>
      </c>
      <c r="G205" t="s">
        <v>15</v>
      </c>
      <c r="H205" t="s">
        <v>1351</v>
      </c>
    </row>
    <row r="206" spans="1:8" outlineLevel="2" x14ac:dyDescent="0.3">
      <c r="A206" s="6">
        <v>2</v>
      </c>
      <c r="B206" t="s">
        <v>726</v>
      </c>
      <c r="C206" s="9" t="s">
        <v>963</v>
      </c>
      <c r="D206" s="9">
        <v>75</v>
      </c>
      <c r="E206" s="9" t="s">
        <v>1804</v>
      </c>
      <c r="F206" t="s">
        <v>653</v>
      </c>
      <c r="G206" t="s">
        <v>654</v>
      </c>
      <c r="H206" t="s">
        <v>1352</v>
      </c>
    </row>
    <row r="207" spans="1:8" outlineLevel="2" x14ac:dyDescent="0.3">
      <c r="A207" s="6">
        <v>2</v>
      </c>
      <c r="B207" t="s">
        <v>726</v>
      </c>
      <c r="C207" s="9" t="s">
        <v>963</v>
      </c>
      <c r="D207" s="9">
        <v>77</v>
      </c>
      <c r="E207" s="9" t="s">
        <v>1804</v>
      </c>
      <c r="F207" t="s">
        <v>91</v>
      </c>
      <c r="G207" t="s">
        <v>92</v>
      </c>
      <c r="H207" t="s">
        <v>1353</v>
      </c>
    </row>
    <row r="208" spans="1:8" outlineLevel="2" x14ac:dyDescent="0.3">
      <c r="A208" s="6">
        <v>2</v>
      </c>
      <c r="B208" t="s">
        <v>726</v>
      </c>
      <c r="C208" s="9" t="s">
        <v>963</v>
      </c>
      <c r="D208" s="9">
        <v>77</v>
      </c>
      <c r="E208" s="9" t="s">
        <v>1804</v>
      </c>
      <c r="F208" t="s">
        <v>331</v>
      </c>
      <c r="G208" t="s">
        <v>92</v>
      </c>
      <c r="H208" t="s">
        <v>1354</v>
      </c>
    </row>
    <row r="209" spans="1:8" outlineLevel="2" x14ac:dyDescent="0.3">
      <c r="A209" s="6">
        <v>2</v>
      </c>
      <c r="B209" t="s">
        <v>726</v>
      </c>
      <c r="C209" s="9" t="s">
        <v>963</v>
      </c>
      <c r="D209" s="9">
        <v>76</v>
      </c>
      <c r="E209" s="9" t="s">
        <v>1804</v>
      </c>
      <c r="F209" t="s">
        <v>94</v>
      </c>
      <c r="G209" t="s">
        <v>95</v>
      </c>
      <c r="H209" t="s">
        <v>1355</v>
      </c>
    </row>
    <row r="210" spans="1:8" outlineLevel="2" x14ac:dyDescent="0.3">
      <c r="A210" s="6">
        <v>2</v>
      </c>
      <c r="B210" t="s">
        <v>726</v>
      </c>
      <c r="C210" s="9" t="s">
        <v>963</v>
      </c>
      <c r="D210" s="9">
        <v>77</v>
      </c>
      <c r="E210" s="9" t="s">
        <v>1804</v>
      </c>
      <c r="F210" t="s">
        <v>98</v>
      </c>
      <c r="G210" t="s">
        <v>99</v>
      </c>
      <c r="H210" t="s">
        <v>1357</v>
      </c>
    </row>
    <row r="211" spans="1:8" outlineLevel="2" x14ac:dyDescent="0.3">
      <c r="A211" s="6">
        <v>2</v>
      </c>
      <c r="B211" t="s">
        <v>726</v>
      </c>
      <c r="C211" s="9" t="s">
        <v>963</v>
      </c>
      <c r="D211" s="9">
        <v>76</v>
      </c>
      <c r="E211" s="9" t="s">
        <v>1804</v>
      </c>
      <c r="F211" t="s">
        <v>332</v>
      </c>
      <c r="G211" t="s">
        <v>333</v>
      </c>
      <c r="H211" t="s">
        <v>1358</v>
      </c>
    </row>
    <row r="212" spans="1:8" outlineLevel="2" x14ac:dyDescent="0.3">
      <c r="A212" s="6">
        <v>2</v>
      </c>
      <c r="B212" t="s">
        <v>726</v>
      </c>
      <c r="C212" s="9" t="s">
        <v>963</v>
      </c>
      <c r="D212" s="9">
        <v>72</v>
      </c>
      <c r="E212" s="9" t="s">
        <v>1804</v>
      </c>
      <c r="F212" t="s">
        <v>461</v>
      </c>
      <c r="G212" t="s">
        <v>462</v>
      </c>
      <c r="H212" t="s">
        <v>1360</v>
      </c>
    </row>
    <row r="213" spans="1:8" outlineLevel="2" x14ac:dyDescent="0.3">
      <c r="A213" s="6">
        <v>2</v>
      </c>
      <c r="B213" t="s">
        <v>726</v>
      </c>
      <c r="C213" s="9" t="s">
        <v>963</v>
      </c>
      <c r="D213" s="9">
        <v>60</v>
      </c>
      <c r="E213" s="9" t="s">
        <v>1804</v>
      </c>
      <c r="F213" t="s">
        <v>341</v>
      </c>
      <c r="G213" t="s">
        <v>209</v>
      </c>
      <c r="H213" t="s">
        <v>1363</v>
      </c>
    </row>
    <row r="214" spans="1:8" outlineLevel="2" x14ac:dyDescent="0.3">
      <c r="A214" s="6">
        <v>2</v>
      </c>
      <c r="B214" t="s">
        <v>726</v>
      </c>
      <c r="C214" s="9" t="s">
        <v>963</v>
      </c>
      <c r="D214" s="9">
        <v>72</v>
      </c>
      <c r="E214" s="9" t="s">
        <v>1804</v>
      </c>
      <c r="F214" t="s">
        <v>101</v>
      </c>
      <c r="G214" t="s">
        <v>102</v>
      </c>
      <c r="H214" t="s">
        <v>1365</v>
      </c>
    </row>
    <row r="215" spans="1:8" outlineLevel="2" x14ac:dyDescent="0.3">
      <c r="A215" s="6">
        <v>2</v>
      </c>
      <c r="B215" t="s">
        <v>726</v>
      </c>
      <c r="C215" s="9" t="s">
        <v>963</v>
      </c>
      <c r="D215" s="9">
        <v>60</v>
      </c>
      <c r="E215" s="9" t="s">
        <v>1804</v>
      </c>
      <c r="F215" t="s">
        <v>400</v>
      </c>
      <c r="G215" t="s">
        <v>401</v>
      </c>
      <c r="H215" t="s">
        <v>1185</v>
      </c>
    </row>
    <row r="216" spans="1:8" outlineLevel="2" x14ac:dyDescent="0.3">
      <c r="A216" s="6">
        <v>2</v>
      </c>
      <c r="B216" t="s">
        <v>726</v>
      </c>
      <c r="C216" s="9" t="s">
        <v>963</v>
      </c>
      <c r="D216" s="9">
        <v>60</v>
      </c>
      <c r="E216" s="9" t="s">
        <v>1804</v>
      </c>
      <c r="F216" t="s">
        <v>403</v>
      </c>
      <c r="G216" t="s">
        <v>386</v>
      </c>
      <c r="H216" t="s">
        <v>1432</v>
      </c>
    </row>
    <row r="217" spans="1:8" outlineLevel="2" x14ac:dyDescent="0.3">
      <c r="A217" s="6">
        <v>2</v>
      </c>
      <c r="B217" t="s">
        <v>726</v>
      </c>
      <c r="C217" s="9" t="s">
        <v>963</v>
      </c>
      <c r="D217" s="9">
        <v>63</v>
      </c>
      <c r="E217" s="9" t="s">
        <v>1804</v>
      </c>
      <c r="F217" t="s">
        <v>348</v>
      </c>
      <c r="G217" t="s">
        <v>168</v>
      </c>
      <c r="H217" t="s">
        <v>1533</v>
      </c>
    </row>
    <row r="218" spans="1:8" outlineLevel="2" x14ac:dyDescent="0.3">
      <c r="A218" s="6">
        <v>2</v>
      </c>
      <c r="B218" t="s">
        <v>726</v>
      </c>
      <c r="C218" s="9" t="s">
        <v>963</v>
      </c>
      <c r="D218" s="9">
        <v>60</v>
      </c>
      <c r="E218" s="9" t="s">
        <v>1804</v>
      </c>
      <c r="F218" t="s">
        <v>167</v>
      </c>
      <c r="G218" t="s">
        <v>168</v>
      </c>
      <c r="H218" t="s">
        <v>1533</v>
      </c>
    </row>
    <row r="219" spans="1:8" outlineLevel="2" x14ac:dyDescent="0.3">
      <c r="A219" s="6">
        <v>2</v>
      </c>
      <c r="B219" t="s">
        <v>726</v>
      </c>
      <c r="C219" s="9" t="s">
        <v>963</v>
      </c>
      <c r="D219" s="9">
        <v>60</v>
      </c>
      <c r="E219" s="9" t="s">
        <v>1804</v>
      </c>
      <c r="F219" t="s">
        <v>170</v>
      </c>
      <c r="G219" t="s">
        <v>171</v>
      </c>
      <c r="H219" t="s">
        <v>1535</v>
      </c>
    </row>
    <row r="220" spans="1:8" outlineLevel="2" x14ac:dyDescent="0.3">
      <c r="A220" s="6">
        <v>2</v>
      </c>
      <c r="B220" t="s">
        <v>726</v>
      </c>
      <c r="C220" s="9" t="s">
        <v>963</v>
      </c>
      <c r="D220" s="9">
        <v>63</v>
      </c>
      <c r="E220" s="9" t="s">
        <v>1804</v>
      </c>
      <c r="F220" t="s">
        <v>404</v>
      </c>
      <c r="G220" t="s">
        <v>115</v>
      </c>
      <c r="H220" t="s">
        <v>1536</v>
      </c>
    </row>
    <row r="221" spans="1:8" outlineLevel="2" x14ac:dyDescent="0.3">
      <c r="A221" s="6">
        <v>2</v>
      </c>
      <c r="B221" t="s">
        <v>726</v>
      </c>
      <c r="C221" s="9" t="s">
        <v>963</v>
      </c>
      <c r="D221" s="9">
        <v>60</v>
      </c>
      <c r="E221" s="9" t="s">
        <v>1804</v>
      </c>
      <c r="F221" t="s">
        <v>106</v>
      </c>
      <c r="G221" t="s">
        <v>32</v>
      </c>
      <c r="H221" t="s">
        <v>1537</v>
      </c>
    </row>
    <row r="222" spans="1:8" outlineLevel="2" x14ac:dyDescent="0.3">
      <c r="A222" s="6">
        <v>2</v>
      </c>
      <c r="B222" t="s">
        <v>726</v>
      </c>
      <c r="C222" s="9" t="s">
        <v>963</v>
      </c>
      <c r="D222" s="9">
        <v>60</v>
      </c>
      <c r="E222" s="9" t="s">
        <v>1804</v>
      </c>
      <c r="F222" t="s">
        <v>656</v>
      </c>
      <c r="G222" t="s">
        <v>504</v>
      </c>
      <c r="H222" t="s">
        <v>1538</v>
      </c>
    </row>
    <row r="223" spans="1:8" outlineLevel="2" x14ac:dyDescent="0.3">
      <c r="A223" s="6">
        <v>2</v>
      </c>
      <c r="B223" t="s">
        <v>726</v>
      </c>
      <c r="C223" s="9" t="s">
        <v>963</v>
      </c>
      <c r="D223" s="9">
        <v>60</v>
      </c>
      <c r="E223" s="9" t="s">
        <v>1804</v>
      </c>
      <c r="F223" t="s">
        <v>751</v>
      </c>
      <c r="G223" t="s">
        <v>752</v>
      </c>
      <c r="H223" t="s">
        <v>1540</v>
      </c>
    </row>
    <row r="224" spans="1:8" outlineLevel="2" x14ac:dyDescent="0.3">
      <c r="A224" s="6">
        <v>2</v>
      </c>
      <c r="B224" t="s">
        <v>726</v>
      </c>
      <c r="C224" s="9" t="s">
        <v>963</v>
      </c>
      <c r="D224" s="9">
        <v>60</v>
      </c>
      <c r="E224" s="9" t="s">
        <v>1804</v>
      </c>
      <c r="F224" t="s">
        <v>107</v>
      </c>
      <c r="G224" t="s">
        <v>108</v>
      </c>
      <c r="H224" t="s">
        <v>1140</v>
      </c>
    </row>
    <row r="225" spans="1:8" outlineLevel="2" x14ac:dyDescent="0.3">
      <c r="A225" s="6">
        <v>2</v>
      </c>
      <c r="B225" t="s">
        <v>726</v>
      </c>
      <c r="C225" s="9" t="s">
        <v>963</v>
      </c>
      <c r="D225" s="9">
        <v>63</v>
      </c>
      <c r="E225" s="9" t="s">
        <v>1804</v>
      </c>
      <c r="F225" t="s">
        <v>598</v>
      </c>
      <c r="G225" t="s">
        <v>38</v>
      </c>
      <c r="H225" t="s">
        <v>1142</v>
      </c>
    </row>
    <row r="226" spans="1:8" outlineLevel="2" x14ac:dyDescent="0.3">
      <c r="A226" s="6">
        <v>2</v>
      </c>
      <c r="B226" t="s">
        <v>726</v>
      </c>
      <c r="C226" s="9" t="s">
        <v>963</v>
      </c>
      <c r="D226" s="9">
        <v>60</v>
      </c>
      <c r="E226" s="9" t="s">
        <v>1804</v>
      </c>
      <c r="F226" t="s">
        <v>351</v>
      </c>
      <c r="G226" t="s">
        <v>38</v>
      </c>
      <c r="H226" t="s">
        <v>1142</v>
      </c>
    </row>
    <row r="227" spans="1:8" outlineLevel="2" x14ac:dyDescent="0.3">
      <c r="A227" s="6">
        <v>2</v>
      </c>
      <c r="B227" t="s">
        <v>726</v>
      </c>
      <c r="C227" s="9" t="s">
        <v>963</v>
      </c>
      <c r="D227" s="9">
        <v>60</v>
      </c>
      <c r="E227" s="9" t="s">
        <v>1804</v>
      </c>
      <c r="F227" t="s">
        <v>528</v>
      </c>
      <c r="G227" t="s">
        <v>38</v>
      </c>
      <c r="H227" t="s">
        <v>1143</v>
      </c>
    </row>
    <row r="228" spans="1:8" outlineLevel="2" x14ac:dyDescent="0.3">
      <c r="A228" s="6">
        <v>2</v>
      </c>
      <c r="B228" t="s">
        <v>726</v>
      </c>
      <c r="C228" s="9" t="s">
        <v>963</v>
      </c>
      <c r="D228" s="9">
        <v>64</v>
      </c>
      <c r="E228" s="9" t="s">
        <v>1804</v>
      </c>
      <c r="F228" t="s">
        <v>352</v>
      </c>
      <c r="G228" t="s">
        <v>41</v>
      </c>
      <c r="H228" t="s">
        <v>1144</v>
      </c>
    </row>
    <row r="229" spans="1:8" outlineLevel="2" x14ac:dyDescent="0.3">
      <c r="A229" s="6">
        <v>2</v>
      </c>
      <c r="B229" t="s">
        <v>726</v>
      </c>
      <c r="C229" s="9" t="s">
        <v>963</v>
      </c>
      <c r="D229" s="9">
        <v>60</v>
      </c>
      <c r="E229" s="9" t="s">
        <v>1804</v>
      </c>
      <c r="F229" t="s">
        <v>110</v>
      </c>
      <c r="G229" t="s">
        <v>41</v>
      </c>
      <c r="H229" t="s">
        <v>1144</v>
      </c>
    </row>
    <row r="230" spans="1:8" outlineLevel="2" x14ac:dyDescent="0.3">
      <c r="A230" s="6">
        <v>2</v>
      </c>
      <c r="B230" t="s">
        <v>726</v>
      </c>
      <c r="C230" s="9" t="s">
        <v>963</v>
      </c>
      <c r="D230" s="9">
        <v>60</v>
      </c>
      <c r="E230" s="9" t="s">
        <v>1804</v>
      </c>
      <c r="F230" t="s">
        <v>754</v>
      </c>
      <c r="G230" t="s">
        <v>509</v>
      </c>
      <c r="H230" t="s">
        <v>1147</v>
      </c>
    </row>
    <row r="231" spans="1:8" outlineLevel="2" x14ac:dyDescent="0.3">
      <c r="A231" s="6">
        <v>2</v>
      </c>
      <c r="B231" t="s">
        <v>726</v>
      </c>
      <c r="C231" s="9" t="s">
        <v>963</v>
      </c>
      <c r="D231" s="9">
        <v>60</v>
      </c>
      <c r="E231" s="9" t="s">
        <v>1804</v>
      </c>
      <c r="F231" t="s">
        <v>582</v>
      </c>
      <c r="G231" t="s">
        <v>548</v>
      </c>
      <c r="H231" t="s">
        <v>1116</v>
      </c>
    </row>
    <row r="232" spans="1:8" outlineLevel="2" x14ac:dyDescent="0.3">
      <c r="A232" s="6">
        <v>2</v>
      </c>
      <c r="B232" t="s">
        <v>726</v>
      </c>
      <c r="C232" s="9" t="s">
        <v>963</v>
      </c>
      <c r="D232" s="9">
        <v>64</v>
      </c>
      <c r="E232" s="9" t="s">
        <v>1804</v>
      </c>
      <c r="F232" t="s">
        <v>356</v>
      </c>
      <c r="G232" t="s">
        <v>115</v>
      </c>
      <c r="H232" t="s">
        <v>1121</v>
      </c>
    </row>
    <row r="233" spans="1:8" outlineLevel="2" x14ac:dyDescent="0.3">
      <c r="A233" s="6">
        <v>2</v>
      </c>
      <c r="B233" t="s">
        <v>726</v>
      </c>
      <c r="C233" s="9" t="s">
        <v>963</v>
      </c>
      <c r="D233" s="9">
        <v>64</v>
      </c>
      <c r="E233" s="9" t="s">
        <v>1804</v>
      </c>
      <c r="F233" t="s">
        <v>583</v>
      </c>
      <c r="G233" t="s">
        <v>238</v>
      </c>
      <c r="H233" t="s">
        <v>1122</v>
      </c>
    </row>
    <row r="234" spans="1:8" outlineLevel="2" x14ac:dyDescent="0.3">
      <c r="A234" s="6">
        <v>2</v>
      </c>
      <c r="B234" t="s">
        <v>726</v>
      </c>
      <c r="C234" s="9" t="s">
        <v>963</v>
      </c>
      <c r="D234" s="9">
        <v>64</v>
      </c>
      <c r="E234" s="9" t="s">
        <v>1804</v>
      </c>
      <c r="F234" t="s">
        <v>173</v>
      </c>
      <c r="G234" t="s">
        <v>118</v>
      </c>
      <c r="H234" t="s">
        <v>1419</v>
      </c>
    </row>
    <row r="235" spans="1:8" outlineLevel="2" x14ac:dyDescent="0.3">
      <c r="A235" s="6">
        <v>2</v>
      </c>
      <c r="B235" t="s">
        <v>726</v>
      </c>
      <c r="C235" s="9" t="s">
        <v>963</v>
      </c>
      <c r="D235" s="9">
        <v>60</v>
      </c>
      <c r="E235" s="9" t="s">
        <v>1804</v>
      </c>
      <c r="F235" t="s">
        <v>117</v>
      </c>
      <c r="G235" t="s">
        <v>118</v>
      </c>
      <c r="H235" t="s">
        <v>1419</v>
      </c>
    </row>
    <row r="236" spans="1:8" outlineLevel="2" x14ac:dyDescent="0.3">
      <c r="A236" s="6">
        <v>2</v>
      </c>
      <c r="B236" t="s">
        <v>726</v>
      </c>
      <c r="C236" s="9" t="s">
        <v>963</v>
      </c>
      <c r="D236" s="9">
        <v>60</v>
      </c>
      <c r="E236" s="9" t="s">
        <v>1804</v>
      </c>
      <c r="F236" t="s">
        <v>120</v>
      </c>
      <c r="G236" t="s">
        <v>51</v>
      </c>
      <c r="H236" t="s">
        <v>1590</v>
      </c>
    </row>
    <row r="237" spans="1:8" outlineLevel="2" x14ac:dyDescent="0.3">
      <c r="A237" s="6">
        <v>2</v>
      </c>
      <c r="B237" t="s">
        <v>726</v>
      </c>
      <c r="C237" s="9" t="s">
        <v>963</v>
      </c>
      <c r="D237" s="9">
        <v>60</v>
      </c>
      <c r="E237" s="9" t="s">
        <v>1804</v>
      </c>
      <c r="F237" t="s">
        <v>358</v>
      </c>
      <c r="G237" t="s">
        <v>359</v>
      </c>
      <c r="H237" t="s">
        <v>1021</v>
      </c>
    </row>
    <row r="238" spans="1:8" outlineLevel="2" x14ac:dyDescent="0.3">
      <c r="A238" s="6">
        <v>2</v>
      </c>
      <c r="B238" t="s">
        <v>726</v>
      </c>
      <c r="C238" s="9" t="s">
        <v>963</v>
      </c>
      <c r="D238" s="9">
        <v>60</v>
      </c>
      <c r="E238" s="9" t="s">
        <v>1804</v>
      </c>
      <c r="F238" t="s">
        <v>755</v>
      </c>
      <c r="G238" t="s">
        <v>740</v>
      </c>
      <c r="H238" t="s">
        <v>1709</v>
      </c>
    </row>
    <row r="239" spans="1:8" outlineLevel="2" x14ac:dyDescent="0.3">
      <c r="A239" s="6">
        <v>2</v>
      </c>
      <c r="B239" t="s">
        <v>726</v>
      </c>
      <c r="C239" s="9" t="s">
        <v>963</v>
      </c>
      <c r="D239" s="9">
        <v>64</v>
      </c>
      <c r="E239" s="9" t="s">
        <v>1804</v>
      </c>
      <c r="F239" t="s">
        <v>362</v>
      </c>
      <c r="G239" t="s">
        <v>298</v>
      </c>
      <c r="H239" t="s">
        <v>1794</v>
      </c>
    </row>
    <row r="240" spans="1:8" outlineLevel="2" x14ac:dyDescent="0.3">
      <c r="A240" s="6">
        <v>2</v>
      </c>
      <c r="B240" t="s">
        <v>726</v>
      </c>
      <c r="C240" s="9" t="s">
        <v>963</v>
      </c>
      <c r="D240" s="9">
        <v>64</v>
      </c>
      <c r="E240" s="9" t="s">
        <v>1804</v>
      </c>
      <c r="F240" t="s">
        <v>363</v>
      </c>
      <c r="G240" t="s">
        <v>301</v>
      </c>
      <c r="H240" t="s">
        <v>1797</v>
      </c>
    </row>
    <row r="241" spans="1:8" outlineLevel="2" x14ac:dyDescent="0.3">
      <c r="A241" s="6">
        <v>2</v>
      </c>
      <c r="B241" t="s">
        <v>726</v>
      </c>
      <c r="C241" s="9" t="s">
        <v>963</v>
      </c>
      <c r="D241" s="9">
        <v>83</v>
      </c>
      <c r="E241" s="9" t="s">
        <v>1804</v>
      </c>
      <c r="F241" t="s">
        <v>364</v>
      </c>
      <c r="G241" t="s">
        <v>301</v>
      </c>
      <c r="H241" t="s">
        <v>1795</v>
      </c>
    </row>
    <row r="242" spans="1:8" outlineLevel="2" x14ac:dyDescent="0.3">
      <c r="A242" s="6">
        <v>2</v>
      </c>
      <c r="B242" t="s">
        <v>726</v>
      </c>
      <c r="C242" s="9" t="s">
        <v>963</v>
      </c>
      <c r="D242" s="9">
        <v>60</v>
      </c>
      <c r="E242" s="9" t="s">
        <v>1804</v>
      </c>
      <c r="F242" t="s">
        <v>365</v>
      </c>
      <c r="G242" t="s">
        <v>301</v>
      </c>
      <c r="H242" t="s">
        <v>1796</v>
      </c>
    </row>
    <row r="243" spans="1:8" outlineLevel="2" x14ac:dyDescent="0.3">
      <c r="A243" s="6">
        <v>2</v>
      </c>
      <c r="B243" t="s">
        <v>726</v>
      </c>
      <c r="C243" s="9" t="s">
        <v>963</v>
      </c>
      <c r="D243" s="9">
        <v>64</v>
      </c>
      <c r="E243" s="9" t="s">
        <v>1804</v>
      </c>
      <c r="F243" t="s">
        <v>586</v>
      </c>
      <c r="G243" t="s">
        <v>63</v>
      </c>
      <c r="H243" t="s">
        <v>1126</v>
      </c>
    </row>
    <row r="244" spans="1:8" outlineLevel="2" x14ac:dyDescent="0.3">
      <c r="A244" s="6">
        <v>2</v>
      </c>
      <c r="B244" t="s">
        <v>726</v>
      </c>
      <c r="C244" s="9" t="s">
        <v>963</v>
      </c>
      <c r="D244" s="9">
        <v>64</v>
      </c>
      <c r="E244" s="9" t="s">
        <v>1804</v>
      </c>
      <c r="F244" t="s">
        <v>478</v>
      </c>
      <c r="G244" t="s">
        <v>479</v>
      </c>
      <c r="H244" t="s">
        <v>1128</v>
      </c>
    </row>
    <row r="245" spans="1:8" outlineLevel="2" x14ac:dyDescent="0.3">
      <c r="A245" s="6">
        <v>2</v>
      </c>
      <c r="B245" t="s">
        <v>726</v>
      </c>
      <c r="C245" s="9" t="s">
        <v>963</v>
      </c>
      <c r="D245" s="9">
        <v>60</v>
      </c>
      <c r="E245" s="9" t="s">
        <v>1804</v>
      </c>
      <c r="F245" t="s">
        <v>367</v>
      </c>
      <c r="G245" t="s">
        <v>368</v>
      </c>
      <c r="H245" t="s">
        <v>1688</v>
      </c>
    </row>
    <row r="246" spans="1:8" outlineLevel="2" x14ac:dyDescent="0.3">
      <c r="A246" s="6">
        <v>2</v>
      </c>
      <c r="B246" t="s">
        <v>726</v>
      </c>
      <c r="C246" s="9" t="s">
        <v>963</v>
      </c>
      <c r="D246" s="9">
        <v>60</v>
      </c>
      <c r="E246" s="9" t="s">
        <v>1804</v>
      </c>
      <c r="F246" t="s">
        <v>371</v>
      </c>
      <c r="G246" t="s">
        <v>66</v>
      </c>
      <c r="H246" t="s">
        <v>1799</v>
      </c>
    </row>
    <row r="247" spans="1:8" outlineLevel="2" x14ac:dyDescent="0.3">
      <c r="A247" s="6">
        <v>2</v>
      </c>
      <c r="B247" t="s">
        <v>726</v>
      </c>
      <c r="C247" s="9" t="s">
        <v>963</v>
      </c>
      <c r="D247" s="9">
        <v>64</v>
      </c>
      <c r="E247" s="9" t="s">
        <v>1804</v>
      </c>
      <c r="F247" t="s">
        <v>372</v>
      </c>
      <c r="G247" t="s">
        <v>312</v>
      </c>
      <c r="H247" t="s">
        <v>973</v>
      </c>
    </row>
    <row r="248" spans="1:8" outlineLevel="2" x14ac:dyDescent="0.3">
      <c r="A248" s="6">
        <v>2</v>
      </c>
      <c r="B248" t="s">
        <v>726</v>
      </c>
      <c r="C248" s="9" t="s">
        <v>963</v>
      </c>
      <c r="D248" s="9">
        <v>64</v>
      </c>
      <c r="E248" s="9" t="s">
        <v>1804</v>
      </c>
      <c r="F248" t="s">
        <v>125</v>
      </c>
      <c r="G248" t="s">
        <v>126</v>
      </c>
      <c r="H248" t="s">
        <v>1581</v>
      </c>
    </row>
    <row r="249" spans="1:8" outlineLevel="2" x14ac:dyDescent="0.3">
      <c r="A249" s="6">
        <v>2</v>
      </c>
      <c r="B249" t="s">
        <v>726</v>
      </c>
      <c r="C249" s="9" t="s">
        <v>963</v>
      </c>
      <c r="D249" s="9">
        <v>60</v>
      </c>
      <c r="E249" s="9" t="s">
        <v>1804</v>
      </c>
      <c r="F249" t="s">
        <v>486</v>
      </c>
      <c r="G249" t="s">
        <v>487</v>
      </c>
      <c r="H249" t="s">
        <v>1196</v>
      </c>
    </row>
    <row r="250" spans="1:8" outlineLevel="2" x14ac:dyDescent="0.3">
      <c r="A250" s="6">
        <v>2</v>
      </c>
      <c r="B250" t="s">
        <v>726</v>
      </c>
      <c r="C250" s="9" t="s">
        <v>963</v>
      </c>
      <c r="D250" s="9">
        <v>60</v>
      </c>
      <c r="E250" s="9" t="s">
        <v>1804</v>
      </c>
      <c r="F250" t="s">
        <v>128</v>
      </c>
      <c r="G250" t="s">
        <v>129</v>
      </c>
      <c r="H250" t="s">
        <v>1582</v>
      </c>
    </row>
    <row r="251" spans="1:8" outlineLevel="2" x14ac:dyDescent="0.3">
      <c r="A251" s="6">
        <v>2</v>
      </c>
      <c r="B251" t="s">
        <v>726</v>
      </c>
      <c r="C251" s="9" t="s">
        <v>963</v>
      </c>
      <c r="D251" s="9">
        <v>60</v>
      </c>
      <c r="E251" s="9" t="s">
        <v>1804</v>
      </c>
      <c r="F251" t="s">
        <v>375</v>
      </c>
      <c r="G251" t="s">
        <v>376</v>
      </c>
      <c r="H251" t="s">
        <v>1586</v>
      </c>
    </row>
    <row r="252" spans="1:8" outlineLevel="2" x14ac:dyDescent="0.3">
      <c r="A252" s="6">
        <v>2</v>
      </c>
      <c r="B252" t="s">
        <v>726</v>
      </c>
      <c r="C252" s="9" t="s">
        <v>963</v>
      </c>
      <c r="D252" s="9">
        <v>60</v>
      </c>
      <c r="E252" s="9" t="s">
        <v>1804</v>
      </c>
      <c r="F252" t="s">
        <v>378</v>
      </c>
      <c r="G252" t="s">
        <v>320</v>
      </c>
      <c r="H252" t="s">
        <v>1247</v>
      </c>
    </row>
    <row r="253" spans="1:8" outlineLevel="1" x14ac:dyDescent="0.3">
      <c r="A253" s="16" t="s">
        <v>2188</v>
      </c>
      <c r="H253">
        <f>SUBTOTAL(3,H116:H252)</f>
        <v>137</v>
      </c>
    </row>
    <row r="254" spans="1:8" outlineLevel="2" x14ac:dyDescent="0.3">
      <c r="A254" s="6">
        <v>3</v>
      </c>
      <c r="B254" t="s">
        <v>490</v>
      </c>
      <c r="C254" s="9" t="s">
        <v>932</v>
      </c>
      <c r="D254" s="9">
        <v>15</v>
      </c>
      <c r="E254" s="9" t="s">
        <v>1804</v>
      </c>
      <c r="F254" t="s">
        <v>491</v>
      </c>
      <c r="G254" t="s">
        <v>492</v>
      </c>
      <c r="H254" t="s">
        <v>934</v>
      </c>
    </row>
    <row r="255" spans="1:8" outlineLevel="2" x14ac:dyDescent="0.3">
      <c r="A255" s="6">
        <v>3</v>
      </c>
      <c r="B255" t="s">
        <v>490</v>
      </c>
      <c r="C255" s="9" t="s">
        <v>932</v>
      </c>
      <c r="D255" s="9">
        <v>24</v>
      </c>
      <c r="E255" s="9" t="s">
        <v>1804</v>
      </c>
      <c r="F255" t="s">
        <v>494</v>
      </c>
      <c r="G255" t="s">
        <v>495</v>
      </c>
      <c r="H255" t="s">
        <v>936</v>
      </c>
    </row>
    <row r="256" spans="1:8" outlineLevel="2" x14ac:dyDescent="0.3">
      <c r="A256" s="6">
        <v>3</v>
      </c>
      <c r="B256" t="s">
        <v>490</v>
      </c>
      <c r="C256" s="9" t="s">
        <v>932</v>
      </c>
      <c r="D256" s="9">
        <v>15</v>
      </c>
      <c r="E256" s="9" t="s">
        <v>1804</v>
      </c>
      <c r="F256" t="s">
        <v>497</v>
      </c>
      <c r="G256" t="s">
        <v>495</v>
      </c>
      <c r="H256" t="s">
        <v>937</v>
      </c>
    </row>
    <row r="257" spans="1:8" outlineLevel="2" x14ac:dyDescent="0.3">
      <c r="A257" s="6">
        <v>3</v>
      </c>
      <c r="B257" t="s">
        <v>490</v>
      </c>
      <c r="C257" s="9" t="s">
        <v>932</v>
      </c>
      <c r="D257" s="9">
        <v>30</v>
      </c>
      <c r="E257" s="9" t="s">
        <v>1804</v>
      </c>
      <c r="F257" t="s">
        <v>498</v>
      </c>
      <c r="G257" t="s">
        <v>499</v>
      </c>
      <c r="H257" t="s">
        <v>1695</v>
      </c>
    </row>
    <row r="258" spans="1:8" outlineLevel="2" x14ac:dyDescent="0.3">
      <c r="A258" s="6">
        <v>3</v>
      </c>
      <c r="B258" t="s">
        <v>490</v>
      </c>
      <c r="C258" s="9" t="s">
        <v>1266</v>
      </c>
      <c r="D258" s="9">
        <v>50</v>
      </c>
      <c r="E258" s="9" t="s">
        <v>1804</v>
      </c>
      <c r="F258" t="s">
        <v>8</v>
      </c>
      <c r="G258" t="s">
        <v>526</v>
      </c>
      <c r="H258" t="s">
        <v>1805</v>
      </c>
    </row>
    <row r="259" spans="1:8" outlineLevel="2" x14ac:dyDescent="0.3">
      <c r="A259" s="6">
        <v>3</v>
      </c>
      <c r="B259" t="s">
        <v>490</v>
      </c>
      <c r="C259" s="9" t="s">
        <v>932</v>
      </c>
      <c r="D259" s="9">
        <v>37</v>
      </c>
      <c r="E259" s="9" t="s">
        <v>1804</v>
      </c>
      <c r="F259" t="s">
        <v>198</v>
      </c>
      <c r="G259" t="s">
        <v>196</v>
      </c>
      <c r="H259" t="s">
        <v>1267</v>
      </c>
    </row>
    <row r="260" spans="1:8" outlineLevel="2" x14ac:dyDescent="0.3">
      <c r="A260" s="6">
        <v>3</v>
      </c>
      <c r="B260" t="s">
        <v>490</v>
      </c>
      <c r="C260" s="9" t="s">
        <v>932</v>
      </c>
      <c r="D260" s="9">
        <v>42</v>
      </c>
      <c r="E260" s="9" t="s">
        <v>1804</v>
      </c>
      <c r="F260" t="s">
        <v>14</v>
      </c>
      <c r="G260" t="s">
        <v>15</v>
      </c>
      <c r="H260" t="s">
        <v>1290</v>
      </c>
    </row>
    <row r="261" spans="1:8" outlineLevel="2" x14ac:dyDescent="0.3">
      <c r="A261" s="6">
        <v>3</v>
      </c>
      <c r="B261" t="s">
        <v>490</v>
      </c>
      <c r="C261" s="9" t="s">
        <v>932</v>
      </c>
      <c r="D261" s="9">
        <v>12</v>
      </c>
      <c r="E261" s="9" t="s">
        <v>1804</v>
      </c>
      <c r="F261" t="s">
        <v>204</v>
      </c>
      <c r="G261" t="s">
        <v>15</v>
      </c>
      <c r="H261" t="s">
        <v>1292</v>
      </c>
    </row>
    <row r="262" spans="1:8" outlineLevel="2" x14ac:dyDescent="0.3">
      <c r="A262" s="6">
        <v>3</v>
      </c>
      <c r="B262" t="s">
        <v>490</v>
      </c>
      <c r="C262" s="9" t="s">
        <v>1807</v>
      </c>
      <c r="D262" s="9">
        <v>1330</v>
      </c>
      <c r="E262" s="9" t="s">
        <v>1808</v>
      </c>
      <c r="F262" t="s">
        <v>207</v>
      </c>
      <c r="G262" t="s">
        <v>19</v>
      </c>
      <c r="H262" t="s">
        <v>1301</v>
      </c>
    </row>
    <row r="263" spans="1:8" outlineLevel="2" x14ac:dyDescent="0.3">
      <c r="A263" s="6">
        <v>3</v>
      </c>
      <c r="B263" t="s">
        <v>490</v>
      </c>
      <c r="C263" s="9" t="s">
        <v>932</v>
      </c>
      <c r="D263" s="9">
        <v>36</v>
      </c>
      <c r="E263" s="9" t="s">
        <v>1804</v>
      </c>
      <c r="F263" t="s">
        <v>28</v>
      </c>
      <c r="G263" t="s">
        <v>29</v>
      </c>
      <c r="H263" t="s">
        <v>1180</v>
      </c>
    </row>
    <row r="264" spans="1:8" outlineLevel="2" x14ac:dyDescent="0.3">
      <c r="A264" s="6">
        <v>3</v>
      </c>
      <c r="B264" t="s">
        <v>490</v>
      </c>
      <c r="C264" s="9" t="s">
        <v>932</v>
      </c>
      <c r="D264" s="9">
        <v>12</v>
      </c>
      <c r="E264" s="9" t="s">
        <v>1804</v>
      </c>
      <c r="F264" t="s">
        <v>483</v>
      </c>
      <c r="G264" t="s">
        <v>29</v>
      </c>
      <c r="H264" t="s">
        <v>1182</v>
      </c>
    </row>
    <row r="265" spans="1:8" outlineLevel="2" x14ac:dyDescent="0.3">
      <c r="A265" s="6">
        <v>3</v>
      </c>
      <c r="B265" t="s">
        <v>490</v>
      </c>
      <c r="C265" s="9" t="s">
        <v>932</v>
      </c>
      <c r="D265" s="9">
        <v>18</v>
      </c>
      <c r="E265" s="9" t="s">
        <v>1804</v>
      </c>
      <c r="F265" t="s">
        <v>217</v>
      </c>
      <c r="G265" t="s">
        <v>168</v>
      </c>
      <c r="H265" t="s">
        <v>1442</v>
      </c>
    </row>
    <row r="266" spans="1:8" outlineLevel="2" x14ac:dyDescent="0.3">
      <c r="A266" s="6">
        <v>3</v>
      </c>
      <c r="B266" t="s">
        <v>490</v>
      </c>
      <c r="C266" s="9" t="s">
        <v>932</v>
      </c>
      <c r="D266" s="9">
        <v>27</v>
      </c>
      <c r="E266" s="9" t="s">
        <v>1804</v>
      </c>
      <c r="F266" t="s">
        <v>218</v>
      </c>
      <c r="G266" t="s">
        <v>168</v>
      </c>
      <c r="H266" t="s">
        <v>1443</v>
      </c>
    </row>
    <row r="267" spans="1:8" outlineLevel="2" x14ac:dyDescent="0.3">
      <c r="A267" s="6">
        <v>3</v>
      </c>
      <c r="B267" t="s">
        <v>490</v>
      </c>
      <c r="C267" s="9" t="s">
        <v>932</v>
      </c>
      <c r="D267" s="9">
        <v>16</v>
      </c>
      <c r="E267" s="9" t="s">
        <v>1804</v>
      </c>
      <c r="F267" t="s">
        <v>502</v>
      </c>
      <c r="G267" t="s">
        <v>168</v>
      </c>
      <c r="H267" t="s">
        <v>1444</v>
      </c>
    </row>
    <row r="268" spans="1:8" outlineLevel="2" x14ac:dyDescent="0.3">
      <c r="A268" s="6">
        <v>3</v>
      </c>
      <c r="B268" t="s">
        <v>490</v>
      </c>
      <c r="C268" s="9" t="s">
        <v>932</v>
      </c>
      <c r="D268" s="9">
        <v>18</v>
      </c>
      <c r="E268" s="9" t="s">
        <v>1804</v>
      </c>
      <c r="F268" t="s">
        <v>389</v>
      </c>
      <c r="G268" t="s">
        <v>171</v>
      </c>
      <c r="H268" t="s">
        <v>1447</v>
      </c>
    </row>
    <row r="269" spans="1:8" outlineLevel="2" x14ac:dyDescent="0.3">
      <c r="A269" s="6">
        <v>3</v>
      </c>
      <c r="B269" t="s">
        <v>490</v>
      </c>
      <c r="C269" s="9" t="s">
        <v>932</v>
      </c>
      <c r="D269" s="9">
        <v>18</v>
      </c>
      <c r="E269" s="9" t="s">
        <v>1804</v>
      </c>
      <c r="F269" t="s">
        <v>503</v>
      </c>
      <c r="G269" t="s">
        <v>504</v>
      </c>
      <c r="H269" t="s">
        <v>1501</v>
      </c>
    </row>
    <row r="270" spans="1:8" outlineLevel="2" x14ac:dyDescent="0.3">
      <c r="A270" s="6">
        <v>3</v>
      </c>
      <c r="B270" t="s">
        <v>490</v>
      </c>
      <c r="C270" s="9" t="s">
        <v>932</v>
      </c>
      <c r="D270" s="9">
        <v>12</v>
      </c>
      <c r="E270" s="9" t="s">
        <v>1804</v>
      </c>
      <c r="F270" t="s">
        <v>153</v>
      </c>
      <c r="G270" t="s">
        <v>108</v>
      </c>
      <c r="H270" t="s">
        <v>1150</v>
      </c>
    </row>
    <row r="271" spans="1:8" outlineLevel="2" x14ac:dyDescent="0.3">
      <c r="A271" s="6">
        <v>3</v>
      </c>
      <c r="B271" t="s">
        <v>490</v>
      </c>
      <c r="C271" s="9" t="s">
        <v>932</v>
      </c>
      <c r="D271" s="9">
        <v>18</v>
      </c>
      <c r="E271" s="9" t="s">
        <v>1804</v>
      </c>
      <c r="F271" t="s">
        <v>154</v>
      </c>
      <c r="G271" t="s">
        <v>108</v>
      </c>
      <c r="H271" t="s">
        <v>1151</v>
      </c>
    </row>
    <row r="272" spans="1:8" outlineLevel="2" x14ac:dyDescent="0.3">
      <c r="A272" s="6">
        <v>3</v>
      </c>
      <c r="B272" t="s">
        <v>490</v>
      </c>
      <c r="C272" s="9" t="s">
        <v>932</v>
      </c>
      <c r="D272" s="9">
        <v>21</v>
      </c>
      <c r="E272" s="9" t="s">
        <v>1804</v>
      </c>
      <c r="F272" t="s">
        <v>507</v>
      </c>
      <c r="G272" t="s">
        <v>108</v>
      </c>
      <c r="H272" t="s">
        <v>1154</v>
      </c>
    </row>
    <row r="273" spans="1:8" outlineLevel="2" x14ac:dyDescent="0.3">
      <c r="A273" s="6">
        <v>3</v>
      </c>
      <c r="B273" t="s">
        <v>490</v>
      </c>
      <c r="C273" s="9" t="s">
        <v>932</v>
      </c>
      <c r="D273" s="9">
        <v>27</v>
      </c>
      <c r="E273" s="9" t="s">
        <v>1804</v>
      </c>
      <c r="F273" t="s">
        <v>37</v>
      </c>
      <c r="G273" t="s">
        <v>38</v>
      </c>
      <c r="H273" t="s">
        <v>1164</v>
      </c>
    </row>
    <row r="274" spans="1:8" outlineLevel="2" x14ac:dyDescent="0.3">
      <c r="A274" s="6">
        <v>3</v>
      </c>
      <c r="B274" t="s">
        <v>490</v>
      </c>
      <c r="C274" s="9" t="s">
        <v>932</v>
      </c>
      <c r="D274" s="9">
        <v>12</v>
      </c>
      <c r="E274" s="9" t="s">
        <v>1804</v>
      </c>
      <c r="F274" t="s">
        <v>226</v>
      </c>
      <c r="G274" t="s">
        <v>38</v>
      </c>
      <c r="H274" t="s">
        <v>1165</v>
      </c>
    </row>
    <row r="275" spans="1:8" outlineLevel="2" x14ac:dyDescent="0.3">
      <c r="A275" s="6">
        <v>3</v>
      </c>
      <c r="B275" t="s">
        <v>490</v>
      </c>
      <c r="C275" s="9" t="s">
        <v>932</v>
      </c>
      <c r="D275" s="9">
        <v>18</v>
      </c>
      <c r="E275" s="9" t="s">
        <v>1804</v>
      </c>
      <c r="F275" t="s">
        <v>227</v>
      </c>
      <c r="G275" t="s">
        <v>41</v>
      </c>
      <c r="H275" t="s">
        <v>1167</v>
      </c>
    </row>
    <row r="276" spans="1:8" outlineLevel="2" x14ac:dyDescent="0.3">
      <c r="A276" s="6">
        <v>3</v>
      </c>
      <c r="B276" t="s">
        <v>490</v>
      </c>
      <c r="C276" s="9" t="s">
        <v>932</v>
      </c>
      <c r="D276" s="9">
        <v>12</v>
      </c>
      <c r="E276" s="9" t="s">
        <v>1804</v>
      </c>
      <c r="F276" t="s">
        <v>228</v>
      </c>
      <c r="G276" t="s">
        <v>41</v>
      </c>
      <c r="H276" t="s">
        <v>1168</v>
      </c>
    </row>
    <row r="277" spans="1:8" outlineLevel="2" x14ac:dyDescent="0.3">
      <c r="A277" s="6">
        <v>3</v>
      </c>
      <c r="B277" t="s">
        <v>490</v>
      </c>
      <c r="C277" s="9" t="s">
        <v>932</v>
      </c>
      <c r="D277" s="9">
        <v>27</v>
      </c>
      <c r="E277" s="9" t="s">
        <v>1804</v>
      </c>
      <c r="F277" t="s">
        <v>40</v>
      </c>
      <c r="G277" t="s">
        <v>41</v>
      </c>
      <c r="H277" t="s">
        <v>1169</v>
      </c>
    </row>
    <row r="278" spans="1:8" outlineLevel="2" x14ac:dyDescent="0.3">
      <c r="A278" s="6">
        <v>3</v>
      </c>
      <c r="B278" t="s">
        <v>490</v>
      </c>
      <c r="C278" s="9" t="s">
        <v>932</v>
      </c>
      <c r="D278" s="9">
        <v>18</v>
      </c>
      <c r="E278" s="9" t="s">
        <v>1804</v>
      </c>
      <c r="F278" t="s">
        <v>229</v>
      </c>
      <c r="G278" t="s">
        <v>230</v>
      </c>
      <c r="H278" t="s">
        <v>1170</v>
      </c>
    </row>
    <row r="279" spans="1:8" outlineLevel="2" x14ac:dyDescent="0.3">
      <c r="A279" s="6">
        <v>3</v>
      </c>
      <c r="B279" t="s">
        <v>490</v>
      </c>
      <c r="C279" s="9" t="s">
        <v>932</v>
      </c>
      <c r="D279" s="9">
        <v>24</v>
      </c>
      <c r="E279" s="9" t="s">
        <v>1804</v>
      </c>
      <c r="F279" t="s">
        <v>232</v>
      </c>
      <c r="G279" t="s">
        <v>144</v>
      </c>
      <c r="H279" t="s">
        <v>1171</v>
      </c>
    </row>
    <row r="280" spans="1:8" outlineLevel="2" x14ac:dyDescent="0.3">
      <c r="A280" s="6">
        <v>3</v>
      </c>
      <c r="B280" t="s">
        <v>490</v>
      </c>
      <c r="C280" s="9" t="s">
        <v>932</v>
      </c>
      <c r="D280" s="9">
        <v>12</v>
      </c>
      <c r="E280" s="9" t="s">
        <v>1804</v>
      </c>
      <c r="F280" t="s">
        <v>233</v>
      </c>
      <c r="G280" t="s">
        <v>112</v>
      </c>
      <c r="H280" t="s">
        <v>1146</v>
      </c>
    </row>
    <row r="281" spans="1:8" outlineLevel="2" x14ac:dyDescent="0.3">
      <c r="A281" s="6">
        <v>3</v>
      </c>
      <c r="B281" t="s">
        <v>490</v>
      </c>
      <c r="C281" s="9" t="s">
        <v>932</v>
      </c>
      <c r="D281" s="9">
        <v>24</v>
      </c>
      <c r="E281" s="9" t="s">
        <v>1804</v>
      </c>
      <c r="F281" t="s">
        <v>508</v>
      </c>
      <c r="G281" t="s">
        <v>509</v>
      </c>
      <c r="H281" t="s">
        <v>1529</v>
      </c>
    </row>
    <row r="282" spans="1:8" outlineLevel="2" x14ac:dyDescent="0.3">
      <c r="A282" s="6">
        <v>3</v>
      </c>
      <c r="B282" t="s">
        <v>490</v>
      </c>
      <c r="C282" s="9" t="s">
        <v>932</v>
      </c>
      <c r="D282" s="9">
        <v>12</v>
      </c>
      <c r="E282" s="9" t="s">
        <v>1804</v>
      </c>
      <c r="F282" t="s">
        <v>511</v>
      </c>
      <c r="G282" t="s">
        <v>235</v>
      </c>
      <c r="H282" t="s">
        <v>1046</v>
      </c>
    </row>
    <row r="283" spans="1:8" outlineLevel="2" x14ac:dyDescent="0.3">
      <c r="A283" s="6">
        <v>3</v>
      </c>
      <c r="B283" t="s">
        <v>490</v>
      </c>
      <c r="C283" s="9" t="s">
        <v>932</v>
      </c>
      <c r="D283" s="9">
        <v>9</v>
      </c>
      <c r="E283" s="9" t="s">
        <v>1804</v>
      </c>
      <c r="F283" t="s">
        <v>512</v>
      </c>
      <c r="G283" t="s">
        <v>513</v>
      </c>
      <c r="H283" t="s">
        <v>1531</v>
      </c>
    </row>
    <row r="284" spans="1:8" outlineLevel="2" x14ac:dyDescent="0.3">
      <c r="A284" s="6">
        <v>3</v>
      </c>
      <c r="B284" t="s">
        <v>490</v>
      </c>
      <c r="C284" s="9" t="s">
        <v>932</v>
      </c>
      <c r="D284" s="9">
        <v>15</v>
      </c>
      <c r="E284" s="9" t="s">
        <v>1804</v>
      </c>
      <c r="F284" t="s">
        <v>515</v>
      </c>
      <c r="G284" t="s">
        <v>238</v>
      </c>
      <c r="H284" t="s">
        <v>1064</v>
      </c>
    </row>
    <row r="285" spans="1:8" outlineLevel="2" x14ac:dyDescent="0.3">
      <c r="A285" s="6">
        <v>3</v>
      </c>
      <c r="B285" t="s">
        <v>490</v>
      </c>
      <c r="C285" s="9" t="s">
        <v>932</v>
      </c>
      <c r="D285" s="9">
        <v>18</v>
      </c>
      <c r="E285" s="9" t="s">
        <v>1804</v>
      </c>
      <c r="F285" t="s">
        <v>246</v>
      </c>
      <c r="G285" t="s">
        <v>51</v>
      </c>
      <c r="H285" t="s">
        <v>1596</v>
      </c>
    </row>
    <row r="286" spans="1:8" outlineLevel="2" x14ac:dyDescent="0.3">
      <c r="A286" s="6">
        <v>3</v>
      </c>
      <c r="B286" t="s">
        <v>490</v>
      </c>
      <c r="C286" s="9" t="s">
        <v>932</v>
      </c>
      <c r="D286" s="9">
        <v>30</v>
      </c>
      <c r="E286" s="9" t="s">
        <v>1804</v>
      </c>
      <c r="F286" t="s">
        <v>247</v>
      </c>
      <c r="G286" t="s">
        <v>51</v>
      </c>
      <c r="H286" t="s">
        <v>1599</v>
      </c>
    </row>
    <row r="287" spans="1:8" outlineLevel="2" x14ac:dyDescent="0.3">
      <c r="A287" s="6">
        <v>3</v>
      </c>
      <c r="B287" t="s">
        <v>490</v>
      </c>
      <c r="C287" s="9" t="s">
        <v>932</v>
      </c>
      <c r="D287" s="9">
        <v>12</v>
      </c>
      <c r="E287" s="9" t="s">
        <v>1804</v>
      </c>
      <c r="F287" t="s">
        <v>56</v>
      </c>
      <c r="G287" t="s">
        <v>57</v>
      </c>
      <c r="H287" t="s">
        <v>1623</v>
      </c>
    </row>
    <row r="288" spans="1:8" outlineLevel="2" x14ac:dyDescent="0.3">
      <c r="A288" s="6">
        <v>3</v>
      </c>
      <c r="B288" t="s">
        <v>490</v>
      </c>
      <c r="C288" s="9" t="s">
        <v>932</v>
      </c>
      <c r="D288" s="9">
        <v>12</v>
      </c>
      <c r="E288" s="9" t="s">
        <v>1804</v>
      </c>
      <c r="F288" t="s">
        <v>252</v>
      </c>
      <c r="G288" t="s">
        <v>253</v>
      </c>
      <c r="H288" t="s">
        <v>1635</v>
      </c>
    </row>
    <row r="289" spans="1:8" outlineLevel="2" x14ac:dyDescent="0.3">
      <c r="A289" s="6">
        <v>3</v>
      </c>
      <c r="B289" t="s">
        <v>490</v>
      </c>
      <c r="C289" s="9" t="s">
        <v>932</v>
      </c>
      <c r="D289" s="9">
        <v>12</v>
      </c>
      <c r="E289" s="9" t="s">
        <v>1804</v>
      </c>
      <c r="F289" t="s">
        <v>516</v>
      </c>
      <c r="G289" t="s">
        <v>517</v>
      </c>
      <c r="H289" t="s">
        <v>1637</v>
      </c>
    </row>
    <row r="290" spans="1:8" outlineLevel="2" x14ac:dyDescent="0.3">
      <c r="A290" s="6">
        <v>3</v>
      </c>
      <c r="B290" t="s">
        <v>490</v>
      </c>
      <c r="C290" s="9" t="s">
        <v>932</v>
      </c>
      <c r="D290" s="9">
        <v>12</v>
      </c>
      <c r="E290" s="9" t="s">
        <v>1804</v>
      </c>
      <c r="F290" t="s">
        <v>519</v>
      </c>
      <c r="G290" t="s">
        <v>520</v>
      </c>
      <c r="H290" t="s">
        <v>1641</v>
      </c>
    </row>
    <row r="291" spans="1:8" outlineLevel="2" x14ac:dyDescent="0.3">
      <c r="A291" s="6">
        <v>3</v>
      </c>
      <c r="B291" t="s">
        <v>490</v>
      </c>
      <c r="C291" s="9" t="s">
        <v>932</v>
      </c>
      <c r="D291" s="9">
        <v>26</v>
      </c>
      <c r="E291" s="9" t="s">
        <v>1804</v>
      </c>
      <c r="F291" t="s">
        <v>271</v>
      </c>
      <c r="G291" t="s">
        <v>269</v>
      </c>
      <c r="H291" t="s">
        <v>1646</v>
      </c>
    </row>
    <row r="292" spans="1:8" outlineLevel="2" x14ac:dyDescent="0.3">
      <c r="A292" s="6">
        <v>3</v>
      </c>
      <c r="B292" t="s">
        <v>490</v>
      </c>
      <c r="C292" s="9" t="s">
        <v>1807</v>
      </c>
      <c r="D292" s="9">
        <v>1050</v>
      </c>
      <c r="E292" s="9" t="s">
        <v>1808</v>
      </c>
      <c r="F292" t="s">
        <v>291</v>
      </c>
      <c r="G292" t="s">
        <v>292</v>
      </c>
      <c r="H292" t="s">
        <v>1678</v>
      </c>
    </row>
    <row r="293" spans="1:8" outlineLevel="2" x14ac:dyDescent="0.3">
      <c r="A293" s="6">
        <v>3</v>
      </c>
      <c r="B293" t="s">
        <v>490</v>
      </c>
      <c r="C293" s="9" t="s">
        <v>1807</v>
      </c>
      <c r="D293" s="9">
        <v>750</v>
      </c>
      <c r="E293" s="9" t="s">
        <v>1808</v>
      </c>
      <c r="F293" t="s">
        <v>456</v>
      </c>
      <c r="G293" t="s">
        <v>292</v>
      </c>
      <c r="H293" t="s">
        <v>1679</v>
      </c>
    </row>
    <row r="294" spans="1:8" outlineLevel="2" x14ac:dyDescent="0.3">
      <c r="A294" s="6">
        <v>3</v>
      </c>
      <c r="B294" t="s">
        <v>490</v>
      </c>
      <c r="C294" s="9" t="s">
        <v>932</v>
      </c>
      <c r="D294" s="9">
        <v>15</v>
      </c>
      <c r="E294" s="9" t="s">
        <v>1804</v>
      </c>
      <c r="F294" t="s">
        <v>59</v>
      </c>
      <c r="G294" t="s">
        <v>60</v>
      </c>
      <c r="H294" t="s">
        <v>1078</v>
      </c>
    </row>
    <row r="295" spans="1:8" outlineLevel="2" x14ac:dyDescent="0.3">
      <c r="A295" s="6">
        <v>3</v>
      </c>
      <c r="B295" t="s">
        <v>490</v>
      </c>
      <c r="C295" s="9" t="s">
        <v>932</v>
      </c>
      <c r="D295" s="9">
        <v>18</v>
      </c>
      <c r="E295" s="9" t="s">
        <v>1804</v>
      </c>
      <c r="F295" t="s">
        <v>65</v>
      </c>
      <c r="G295" t="s">
        <v>66</v>
      </c>
      <c r="H295" t="s">
        <v>1791</v>
      </c>
    </row>
    <row r="296" spans="1:8" outlineLevel="2" x14ac:dyDescent="0.3">
      <c r="A296" s="6">
        <v>3</v>
      </c>
      <c r="B296" t="s">
        <v>490</v>
      </c>
      <c r="C296" s="9" t="s">
        <v>1807</v>
      </c>
      <c r="D296" s="9">
        <v>420</v>
      </c>
      <c r="E296" s="9" t="s">
        <v>1808</v>
      </c>
      <c r="F296" t="s">
        <v>68</v>
      </c>
      <c r="G296" t="s">
        <v>69</v>
      </c>
      <c r="H296" t="s">
        <v>1551</v>
      </c>
    </row>
    <row r="297" spans="1:8" outlineLevel="2" x14ac:dyDescent="0.3">
      <c r="A297" s="6">
        <v>3</v>
      </c>
      <c r="B297" t="s">
        <v>490</v>
      </c>
      <c r="C297" s="9" t="s">
        <v>932</v>
      </c>
      <c r="D297" s="9">
        <v>24</v>
      </c>
      <c r="E297" s="9" t="s">
        <v>1804</v>
      </c>
      <c r="F297" t="s">
        <v>316</v>
      </c>
      <c r="G297" t="s">
        <v>129</v>
      </c>
      <c r="H297" t="s">
        <v>1562</v>
      </c>
    </row>
    <row r="298" spans="1:8" outlineLevel="2" x14ac:dyDescent="0.3">
      <c r="A298" s="6">
        <v>3</v>
      </c>
      <c r="B298" t="s">
        <v>490</v>
      </c>
      <c r="C298" s="9" t="s">
        <v>1807</v>
      </c>
      <c r="D298" s="9">
        <v>770</v>
      </c>
      <c r="E298" s="9" t="s">
        <v>1808</v>
      </c>
      <c r="F298" t="s">
        <v>71</v>
      </c>
      <c r="G298" t="s">
        <v>72</v>
      </c>
      <c r="H298" t="s">
        <v>1565</v>
      </c>
    </row>
    <row r="299" spans="1:8" outlineLevel="2" x14ac:dyDescent="0.3">
      <c r="A299" s="6">
        <v>3</v>
      </c>
      <c r="B299" t="s">
        <v>490</v>
      </c>
      <c r="C299" s="9" t="s">
        <v>1807</v>
      </c>
      <c r="D299" s="9">
        <v>518</v>
      </c>
      <c r="E299" s="9" t="s">
        <v>1808</v>
      </c>
      <c r="F299" t="s">
        <v>74</v>
      </c>
      <c r="G299" t="s">
        <v>72</v>
      </c>
      <c r="H299" t="s">
        <v>1566</v>
      </c>
    </row>
    <row r="300" spans="1:8" outlineLevel="2" x14ac:dyDescent="0.3">
      <c r="A300" s="6">
        <v>3</v>
      </c>
      <c r="B300" t="s">
        <v>490</v>
      </c>
      <c r="C300" s="9" t="s">
        <v>963</v>
      </c>
      <c r="D300" s="9">
        <v>60</v>
      </c>
      <c r="E300" s="9" t="s">
        <v>1804</v>
      </c>
      <c r="F300" t="s">
        <v>523</v>
      </c>
      <c r="G300" t="s">
        <v>492</v>
      </c>
      <c r="H300" t="s">
        <v>964</v>
      </c>
    </row>
    <row r="301" spans="1:8" outlineLevel="2" x14ac:dyDescent="0.3">
      <c r="A301" s="6">
        <v>3</v>
      </c>
      <c r="B301" t="s">
        <v>490</v>
      </c>
      <c r="C301" s="9" t="s">
        <v>963</v>
      </c>
      <c r="D301" s="9">
        <v>60</v>
      </c>
      <c r="E301" s="9" t="s">
        <v>1804</v>
      </c>
      <c r="F301" t="s">
        <v>524</v>
      </c>
      <c r="G301" t="s">
        <v>495</v>
      </c>
      <c r="H301" t="s">
        <v>966</v>
      </c>
    </row>
    <row r="302" spans="1:8" outlineLevel="2" x14ac:dyDescent="0.3">
      <c r="A302" s="6">
        <v>3</v>
      </c>
      <c r="B302" t="s">
        <v>490</v>
      </c>
      <c r="C302" s="9" t="s">
        <v>963</v>
      </c>
      <c r="D302" s="9">
        <v>70</v>
      </c>
      <c r="E302" s="9" t="s">
        <v>1804</v>
      </c>
      <c r="F302" t="s">
        <v>525</v>
      </c>
      <c r="G302" t="s">
        <v>526</v>
      </c>
      <c r="H302" t="s">
        <v>1341</v>
      </c>
    </row>
    <row r="303" spans="1:8" outlineLevel="2" x14ac:dyDescent="0.3">
      <c r="A303" s="6">
        <v>3</v>
      </c>
      <c r="B303" t="s">
        <v>490</v>
      </c>
      <c r="C303" s="9" t="s">
        <v>963</v>
      </c>
      <c r="D303" s="9">
        <v>70</v>
      </c>
      <c r="E303" s="9" t="s">
        <v>1804</v>
      </c>
      <c r="F303" t="s">
        <v>325</v>
      </c>
      <c r="G303" t="s">
        <v>196</v>
      </c>
      <c r="H303" t="s">
        <v>1344</v>
      </c>
    </row>
    <row r="304" spans="1:8" outlineLevel="2" x14ac:dyDescent="0.3">
      <c r="A304" s="6">
        <v>3</v>
      </c>
      <c r="B304" t="s">
        <v>490</v>
      </c>
      <c r="C304" s="9" t="s">
        <v>963</v>
      </c>
      <c r="D304" s="9">
        <v>74</v>
      </c>
      <c r="E304" s="9" t="s">
        <v>1804</v>
      </c>
      <c r="F304" t="s">
        <v>87</v>
      </c>
      <c r="G304" t="s">
        <v>88</v>
      </c>
      <c r="H304" t="s">
        <v>1349</v>
      </c>
    </row>
    <row r="305" spans="1:8" outlineLevel="2" x14ac:dyDescent="0.3">
      <c r="A305" s="6">
        <v>3</v>
      </c>
      <c r="B305" t="s">
        <v>490</v>
      </c>
      <c r="C305" s="9" t="s">
        <v>963</v>
      </c>
      <c r="D305" s="9">
        <v>73</v>
      </c>
      <c r="E305" s="9" t="s">
        <v>1804</v>
      </c>
      <c r="F305" t="s">
        <v>90</v>
      </c>
      <c r="G305" t="s">
        <v>15</v>
      </c>
      <c r="H305" t="s">
        <v>1351</v>
      </c>
    </row>
    <row r="306" spans="1:8" outlineLevel="2" x14ac:dyDescent="0.3">
      <c r="A306" s="6">
        <v>3</v>
      </c>
      <c r="B306" t="s">
        <v>490</v>
      </c>
      <c r="C306" s="9" t="s">
        <v>963</v>
      </c>
      <c r="D306" s="9">
        <v>77</v>
      </c>
      <c r="E306" s="9" t="s">
        <v>1804</v>
      </c>
      <c r="F306" t="s">
        <v>91</v>
      </c>
      <c r="G306" t="s">
        <v>92</v>
      </c>
      <c r="H306" t="s">
        <v>1353</v>
      </c>
    </row>
    <row r="307" spans="1:8" outlineLevel="2" x14ac:dyDescent="0.3">
      <c r="A307" s="6">
        <v>3</v>
      </c>
      <c r="B307" t="s">
        <v>490</v>
      </c>
      <c r="C307" s="9" t="s">
        <v>963</v>
      </c>
      <c r="D307" s="9">
        <v>72</v>
      </c>
      <c r="E307" s="9" t="s">
        <v>1804</v>
      </c>
      <c r="F307" t="s">
        <v>101</v>
      </c>
      <c r="G307" t="s">
        <v>102</v>
      </c>
      <c r="H307" t="s">
        <v>1365</v>
      </c>
    </row>
    <row r="308" spans="1:8" outlineLevel="2" x14ac:dyDescent="0.3">
      <c r="A308" s="6">
        <v>3</v>
      </c>
      <c r="B308" t="s">
        <v>490</v>
      </c>
      <c r="C308" s="9" t="s">
        <v>963</v>
      </c>
      <c r="D308" s="9">
        <v>60</v>
      </c>
      <c r="E308" s="9" t="s">
        <v>1804</v>
      </c>
      <c r="F308" t="s">
        <v>400</v>
      </c>
      <c r="G308" t="s">
        <v>401</v>
      </c>
      <c r="H308" t="s">
        <v>1185</v>
      </c>
    </row>
    <row r="309" spans="1:8" outlineLevel="2" x14ac:dyDescent="0.3">
      <c r="A309" s="6">
        <v>3</v>
      </c>
      <c r="B309" t="s">
        <v>490</v>
      </c>
      <c r="C309" s="9" t="s">
        <v>963</v>
      </c>
      <c r="D309" s="9">
        <v>60</v>
      </c>
      <c r="E309" s="9" t="s">
        <v>1804</v>
      </c>
      <c r="F309" t="s">
        <v>167</v>
      </c>
      <c r="G309" t="s">
        <v>168</v>
      </c>
      <c r="H309" t="s">
        <v>1533</v>
      </c>
    </row>
    <row r="310" spans="1:8" outlineLevel="2" x14ac:dyDescent="0.3">
      <c r="A310" s="6">
        <v>3</v>
      </c>
      <c r="B310" t="s">
        <v>490</v>
      </c>
      <c r="C310" s="9" t="s">
        <v>963</v>
      </c>
      <c r="D310" s="9">
        <v>60</v>
      </c>
      <c r="E310" s="9" t="s">
        <v>1804</v>
      </c>
      <c r="F310" t="s">
        <v>107</v>
      </c>
      <c r="G310" t="s">
        <v>108</v>
      </c>
      <c r="H310" t="s">
        <v>1140</v>
      </c>
    </row>
    <row r="311" spans="1:8" outlineLevel="2" x14ac:dyDescent="0.3">
      <c r="A311" s="6">
        <v>3</v>
      </c>
      <c r="B311" t="s">
        <v>490</v>
      </c>
      <c r="C311" s="9" t="s">
        <v>963</v>
      </c>
      <c r="D311" s="9">
        <v>60</v>
      </c>
      <c r="E311" s="9" t="s">
        <v>1804</v>
      </c>
      <c r="F311" t="s">
        <v>351</v>
      </c>
      <c r="G311" t="s">
        <v>38</v>
      </c>
      <c r="H311" t="s">
        <v>1142</v>
      </c>
    </row>
    <row r="312" spans="1:8" outlineLevel="2" x14ac:dyDescent="0.3">
      <c r="A312" s="6">
        <v>3</v>
      </c>
      <c r="B312" t="s">
        <v>490</v>
      </c>
      <c r="C312" s="9" t="s">
        <v>963</v>
      </c>
      <c r="D312" s="9">
        <v>60</v>
      </c>
      <c r="E312" s="9" t="s">
        <v>1804</v>
      </c>
      <c r="F312" t="s">
        <v>528</v>
      </c>
      <c r="G312" t="s">
        <v>38</v>
      </c>
      <c r="H312" t="s">
        <v>1143</v>
      </c>
    </row>
    <row r="313" spans="1:8" outlineLevel="2" x14ac:dyDescent="0.3">
      <c r="A313" s="6">
        <v>3</v>
      </c>
      <c r="B313" t="s">
        <v>490</v>
      </c>
      <c r="C313" s="9" t="s">
        <v>963</v>
      </c>
      <c r="D313" s="9">
        <v>60</v>
      </c>
      <c r="E313" s="9" t="s">
        <v>1804</v>
      </c>
      <c r="F313" t="s">
        <v>110</v>
      </c>
      <c r="G313" t="s">
        <v>41</v>
      </c>
      <c r="H313" t="s">
        <v>1144</v>
      </c>
    </row>
    <row r="314" spans="1:8" outlineLevel="2" x14ac:dyDescent="0.3">
      <c r="A314" s="6">
        <v>3</v>
      </c>
      <c r="B314" t="s">
        <v>490</v>
      </c>
      <c r="C314" s="9" t="s">
        <v>963</v>
      </c>
      <c r="D314" s="9">
        <v>60</v>
      </c>
      <c r="E314" s="9" t="s">
        <v>1804</v>
      </c>
      <c r="F314" t="s">
        <v>114</v>
      </c>
      <c r="G314" t="s">
        <v>115</v>
      </c>
      <c r="H314" t="s">
        <v>1121</v>
      </c>
    </row>
    <row r="315" spans="1:8" outlineLevel="2" x14ac:dyDescent="0.3">
      <c r="A315" s="6">
        <v>3</v>
      </c>
      <c r="B315" t="s">
        <v>490</v>
      </c>
      <c r="C315" s="9" t="s">
        <v>963</v>
      </c>
      <c r="D315" s="9">
        <v>60</v>
      </c>
      <c r="E315" s="9" t="s">
        <v>1804</v>
      </c>
      <c r="F315" t="s">
        <v>120</v>
      </c>
      <c r="G315" t="s">
        <v>51</v>
      </c>
      <c r="H315" t="s">
        <v>1590</v>
      </c>
    </row>
    <row r="316" spans="1:8" outlineLevel="2" x14ac:dyDescent="0.3">
      <c r="A316" s="6">
        <v>3</v>
      </c>
      <c r="B316" t="s">
        <v>490</v>
      </c>
      <c r="C316" s="9" t="s">
        <v>963</v>
      </c>
      <c r="D316" s="9">
        <v>60</v>
      </c>
      <c r="E316" s="9" t="s">
        <v>1804</v>
      </c>
      <c r="F316" t="s">
        <v>371</v>
      </c>
      <c r="G316" t="s">
        <v>66</v>
      </c>
      <c r="H316" t="s">
        <v>1799</v>
      </c>
    </row>
    <row r="317" spans="1:8" outlineLevel="2" x14ac:dyDescent="0.3">
      <c r="A317" s="6">
        <v>3</v>
      </c>
      <c r="B317" t="s">
        <v>490</v>
      </c>
      <c r="C317" s="9" t="s">
        <v>963</v>
      </c>
      <c r="D317" s="9">
        <v>64</v>
      </c>
      <c r="E317" s="9" t="s">
        <v>1804</v>
      </c>
      <c r="F317" t="s">
        <v>125</v>
      </c>
      <c r="G317" t="s">
        <v>126</v>
      </c>
      <c r="H317" t="s">
        <v>1581</v>
      </c>
    </row>
    <row r="318" spans="1:8" outlineLevel="2" x14ac:dyDescent="0.3">
      <c r="A318" s="6">
        <v>3</v>
      </c>
      <c r="B318" t="s">
        <v>490</v>
      </c>
      <c r="C318" s="9" t="s">
        <v>963</v>
      </c>
      <c r="D318" s="9">
        <v>60</v>
      </c>
      <c r="E318" s="9" t="s">
        <v>1804</v>
      </c>
      <c r="F318" t="s">
        <v>128</v>
      </c>
      <c r="G318" t="s">
        <v>129</v>
      </c>
      <c r="H318" t="s">
        <v>1582</v>
      </c>
    </row>
    <row r="319" spans="1:8" outlineLevel="1" x14ac:dyDescent="0.3">
      <c r="A319" s="16" t="s">
        <v>2189</v>
      </c>
      <c r="H319">
        <f>SUBTOTAL(3,H254:H318)</f>
        <v>65</v>
      </c>
    </row>
    <row r="320" spans="1:8" outlineLevel="2" x14ac:dyDescent="0.3">
      <c r="A320" s="6">
        <v>4</v>
      </c>
      <c r="B320" t="s">
        <v>481</v>
      </c>
      <c r="C320" s="9" t="s">
        <v>932</v>
      </c>
      <c r="D320" s="9">
        <v>42</v>
      </c>
      <c r="E320" s="9" t="s">
        <v>1804</v>
      </c>
      <c r="F320" t="s">
        <v>14</v>
      </c>
      <c r="G320" t="s">
        <v>15</v>
      </c>
      <c r="H320" t="s">
        <v>1290</v>
      </c>
    </row>
    <row r="321" spans="1:8" outlineLevel="2" x14ac:dyDescent="0.3">
      <c r="A321" s="6">
        <v>4</v>
      </c>
      <c r="B321" t="s">
        <v>481</v>
      </c>
      <c r="C321" s="9" t="s">
        <v>1266</v>
      </c>
      <c r="D321" s="9">
        <v>300</v>
      </c>
      <c r="E321" s="9" t="s">
        <v>1808</v>
      </c>
      <c r="F321" t="s">
        <v>482</v>
      </c>
      <c r="G321" t="s">
        <v>15</v>
      </c>
      <c r="H321" t="s">
        <v>1291</v>
      </c>
    </row>
    <row r="322" spans="1:8" outlineLevel="2" x14ac:dyDescent="0.3">
      <c r="A322" s="6">
        <v>4</v>
      </c>
      <c r="B322" t="s">
        <v>481</v>
      </c>
      <c r="C322" s="9" t="s">
        <v>932</v>
      </c>
      <c r="D322" s="9">
        <v>12</v>
      </c>
      <c r="E322" s="9" t="s">
        <v>1804</v>
      </c>
      <c r="F322" t="s">
        <v>204</v>
      </c>
      <c r="G322" t="s">
        <v>15</v>
      </c>
      <c r="H322" t="s">
        <v>1292</v>
      </c>
    </row>
    <row r="323" spans="1:8" outlineLevel="2" x14ac:dyDescent="0.3">
      <c r="A323" s="6">
        <v>4</v>
      </c>
      <c r="B323" t="s">
        <v>481</v>
      </c>
      <c r="C323" s="9" t="s">
        <v>1807</v>
      </c>
      <c r="D323" s="9">
        <v>120</v>
      </c>
      <c r="E323" s="9" t="s">
        <v>1808</v>
      </c>
      <c r="F323" t="s">
        <v>25</v>
      </c>
      <c r="G323" t="s">
        <v>26</v>
      </c>
      <c r="H323" t="s">
        <v>1333</v>
      </c>
    </row>
    <row r="324" spans="1:8" outlineLevel="2" x14ac:dyDescent="0.3">
      <c r="A324" s="6">
        <v>4</v>
      </c>
      <c r="B324" t="s">
        <v>481</v>
      </c>
      <c r="C324" s="9" t="s">
        <v>932</v>
      </c>
      <c r="D324" s="9">
        <v>12</v>
      </c>
      <c r="E324" s="9" t="s">
        <v>1804</v>
      </c>
      <c r="F324" t="s">
        <v>483</v>
      </c>
      <c r="G324" t="s">
        <v>29</v>
      </c>
      <c r="H324" t="s">
        <v>1182</v>
      </c>
    </row>
    <row r="325" spans="1:8" outlineLevel="2" x14ac:dyDescent="0.3">
      <c r="A325" s="6">
        <v>4</v>
      </c>
      <c r="B325" t="s">
        <v>481</v>
      </c>
      <c r="C325" s="9" t="s">
        <v>932</v>
      </c>
      <c r="D325" s="9">
        <v>18</v>
      </c>
      <c r="E325" s="9" t="s">
        <v>1804</v>
      </c>
      <c r="F325" t="s">
        <v>217</v>
      </c>
      <c r="G325" t="s">
        <v>168</v>
      </c>
      <c r="H325" t="s">
        <v>1442</v>
      </c>
    </row>
    <row r="326" spans="1:8" outlineLevel="2" x14ac:dyDescent="0.3">
      <c r="A326" s="6">
        <v>4</v>
      </c>
      <c r="B326" t="s">
        <v>481</v>
      </c>
      <c r="C326" s="9" t="s">
        <v>932</v>
      </c>
      <c r="D326" s="9">
        <v>30</v>
      </c>
      <c r="E326" s="9" t="s">
        <v>1804</v>
      </c>
      <c r="F326" t="s">
        <v>35</v>
      </c>
      <c r="G326" t="s">
        <v>32</v>
      </c>
      <c r="H326" t="s">
        <v>1489</v>
      </c>
    </row>
    <row r="327" spans="1:8" outlineLevel="2" x14ac:dyDescent="0.3">
      <c r="A327" s="6">
        <v>4</v>
      </c>
      <c r="B327" t="s">
        <v>481</v>
      </c>
      <c r="C327" s="9" t="s">
        <v>932</v>
      </c>
      <c r="D327" s="9">
        <v>21</v>
      </c>
      <c r="E327" s="9" t="s">
        <v>1804</v>
      </c>
      <c r="F327" t="s">
        <v>36</v>
      </c>
      <c r="G327" t="s">
        <v>32</v>
      </c>
      <c r="H327" t="s">
        <v>1492</v>
      </c>
    </row>
    <row r="328" spans="1:8" outlineLevel="2" x14ac:dyDescent="0.3">
      <c r="A328" s="6">
        <v>4</v>
      </c>
      <c r="B328" t="s">
        <v>481</v>
      </c>
      <c r="C328" s="9" t="s">
        <v>1807</v>
      </c>
      <c r="D328" s="9">
        <v>1200</v>
      </c>
      <c r="E328" s="9" t="s">
        <v>1808</v>
      </c>
      <c r="F328" t="s">
        <v>240</v>
      </c>
      <c r="G328" t="s">
        <v>241</v>
      </c>
      <c r="H328" t="s">
        <v>1427</v>
      </c>
    </row>
    <row r="329" spans="1:8" outlineLevel="2" x14ac:dyDescent="0.3">
      <c r="A329" s="6">
        <v>4</v>
      </c>
      <c r="B329" t="s">
        <v>481</v>
      </c>
      <c r="C329" s="9" t="s">
        <v>932</v>
      </c>
      <c r="D329" s="9">
        <v>18</v>
      </c>
      <c r="E329" s="9" t="s">
        <v>1804</v>
      </c>
      <c r="F329" t="s">
        <v>246</v>
      </c>
      <c r="G329" t="s">
        <v>51</v>
      </c>
      <c r="H329" t="s">
        <v>1596</v>
      </c>
    </row>
    <row r="330" spans="1:8" outlineLevel="2" x14ac:dyDescent="0.3">
      <c r="A330" s="6">
        <v>4</v>
      </c>
      <c r="B330" t="s">
        <v>481</v>
      </c>
      <c r="C330" s="9" t="s">
        <v>932</v>
      </c>
      <c r="D330" s="9">
        <v>12</v>
      </c>
      <c r="E330" s="9" t="s">
        <v>1804</v>
      </c>
      <c r="F330" t="s">
        <v>252</v>
      </c>
      <c r="G330" t="s">
        <v>253</v>
      </c>
      <c r="H330" t="s">
        <v>1635</v>
      </c>
    </row>
    <row r="331" spans="1:8" outlineLevel="2" x14ac:dyDescent="0.3">
      <c r="A331" s="6">
        <v>4</v>
      </c>
      <c r="B331" t="s">
        <v>481</v>
      </c>
      <c r="C331" s="9" t="s">
        <v>1807</v>
      </c>
      <c r="D331" s="9">
        <v>1800</v>
      </c>
      <c r="E331" s="9" t="s">
        <v>1808</v>
      </c>
      <c r="F331" t="s">
        <v>449</v>
      </c>
      <c r="G331" t="s">
        <v>450</v>
      </c>
      <c r="H331" t="s">
        <v>1711</v>
      </c>
    </row>
    <row r="332" spans="1:8" outlineLevel="2" x14ac:dyDescent="0.3">
      <c r="A332" s="6">
        <v>4</v>
      </c>
      <c r="B332" t="s">
        <v>481</v>
      </c>
      <c r="C332" s="9" t="s">
        <v>1807</v>
      </c>
      <c r="D332" s="9">
        <v>1050</v>
      </c>
      <c r="E332" s="9" t="s">
        <v>1808</v>
      </c>
      <c r="F332" t="s">
        <v>291</v>
      </c>
      <c r="G332" t="s">
        <v>292</v>
      </c>
      <c r="H332" t="s">
        <v>1678</v>
      </c>
    </row>
    <row r="333" spans="1:8" outlineLevel="2" x14ac:dyDescent="0.3">
      <c r="A333" s="6">
        <v>4</v>
      </c>
      <c r="B333" t="s">
        <v>481</v>
      </c>
      <c r="C333" s="9" t="s">
        <v>1807</v>
      </c>
      <c r="D333" s="9">
        <v>750</v>
      </c>
      <c r="E333" s="9" t="s">
        <v>1808</v>
      </c>
      <c r="F333" t="s">
        <v>456</v>
      </c>
      <c r="G333" t="s">
        <v>292</v>
      </c>
      <c r="H333" t="s">
        <v>1679</v>
      </c>
    </row>
    <row r="334" spans="1:8" outlineLevel="2" x14ac:dyDescent="0.3">
      <c r="A334" s="6">
        <v>4</v>
      </c>
      <c r="B334" t="s">
        <v>481</v>
      </c>
      <c r="C334" s="9" t="s">
        <v>1807</v>
      </c>
      <c r="D334" s="9">
        <v>420</v>
      </c>
      <c r="E334" s="9" t="s">
        <v>1808</v>
      </c>
      <c r="F334" t="s">
        <v>68</v>
      </c>
      <c r="G334" t="s">
        <v>69</v>
      </c>
      <c r="H334" t="s">
        <v>1551</v>
      </c>
    </row>
    <row r="335" spans="1:8" outlineLevel="2" x14ac:dyDescent="0.3">
      <c r="A335" s="6">
        <v>4</v>
      </c>
      <c r="B335" t="s">
        <v>481</v>
      </c>
      <c r="C335" s="9" t="s">
        <v>1807</v>
      </c>
      <c r="D335" s="9">
        <v>198</v>
      </c>
      <c r="E335" s="9" t="s">
        <v>1808</v>
      </c>
      <c r="F335" t="s">
        <v>484</v>
      </c>
      <c r="G335" t="s">
        <v>69</v>
      </c>
      <c r="H335" t="s">
        <v>1556</v>
      </c>
    </row>
    <row r="336" spans="1:8" outlineLevel="2" x14ac:dyDescent="0.3">
      <c r="A336" s="6">
        <v>4</v>
      </c>
      <c r="B336" t="s">
        <v>481</v>
      </c>
      <c r="C336" s="9" t="s">
        <v>1807</v>
      </c>
      <c r="D336" s="9">
        <v>770</v>
      </c>
      <c r="E336" s="9" t="s">
        <v>1808</v>
      </c>
      <c r="F336" t="s">
        <v>71</v>
      </c>
      <c r="G336" t="s">
        <v>72</v>
      </c>
      <c r="H336" t="s">
        <v>1565</v>
      </c>
    </row>
    <row r="337" spans="1:8" outlineLevel="2" x14ac:dyDescent="0.3">
      <c r="A337" s="6">
        <v>4</v>
      </c>
      <c r="B337" t="s">
        <v>481</v>
      </c>
      <c r="C337" s="9" t="s">
        <v>1807</v>
      </c>
      <c r="D337" s="9">
        <v>518</v>
      </c>
      <c r="E337" s="9" t="s">
        <v>1808</v>
      </c>
      <c r="F337" t="s">
        <v>74</v>
      </c>
      <c r="G337" t="s">
        <v>72</v>
      </c>
      <c r="H337" t="s">
        <v>1566</v>
      </c>
    </row>
    <row r="338" spans="1:8" outlineLevel="2" x14ac:dyDescent="0.3">
      <c r="A338" s="6">
        <v>4</v>
      </c>
      <c r="B338" t="s">
        <v>481</v>
      </c>
      <c r="C338" s="9" t="s">
        <v>1807</v>
      </c>
      <c r="D338" s="9">
        <v>398</v>
      </c>
      <c r="E338" s="9" t="s">
        <v>1808</v>
      </c>
      <c r="F338" t="s">
        <v>318</v>
      </c>
      <c r="G338" t="s">
        <v>76</v>
      </c>
      <c r="H338" t="s">
        <v>1578</v>
      </c>
    </row>
    <row r="339" spans="1:8" outlineLevel="2" x14ac:dyDescent="0.3">
      <c r="A339" s="6">
        <v>4</v>
      </c>
      <c r="B339" t="s">
        <v>481</v>
      </c>
      <c r="C339" s="9" t="s">
        <v>1807</v>
      </c>
      <c r="D339" s="9">
        <v>698</v>
      </c>
      <c r="E339" s="9" t="s">
        <v>1808</v>
      </c>
      <c r="F339" t="s">
        <v>485</v>
      </c>
      <c r="G339" t="s">
        <v>76</v>
      </c>
      <c r="H339" t="s">
        <v>1579</v>
      </c>
    </row>
    <row r="340" spans="1:8" outlineLevel="2" x14ac:dyDescent="0.3">
      <c r="A340" s="6">
        <v>4</v>
      </c>
      <c r="B340" t="s">
        <v>481</v>
      </c>
      <c r="C340" s="9" t="s">
        <v>963</v>
      </c>
      <c r="D340" s="9">
        <v>72</v>
      </c>
      <c r="E340" s="9" t="s">
        <v>1804</v>
      </c>
      <c r="F340" t="s">
        <v>101</v>
      </c>
      <c r="G340" t="s">
        <v>102</v>
      </c>
      <c r="H340" t="s">
        <v>1365</v>
      </c>
    </row>
    <row r="341" spans="1:8" outlineLevel="2" x14ac:dyDescent="0.3">
      <c r="A341" s="6">
        <v>4</v>
      </c>
      <c r="B341" t="s">
        <v>481</v>
      </c>
      <c r="C341" s="9" t="s">
        <v>963</v>
      </c>
      <c r="D341" s="9">
        <v>60</v>
      </c>
      <c r="E341" s="9" t="s">
        <v>1804</v>
      </c>
      <c r="F341" t="s">
        <v>400</v>
      </c>
      <c r="G341" t="s">
        <v>401</v>
      </c>
      <c r="H341" t="s">
        <v>1185</v>
      </c>
    </row>
    <row r="342" spans="1:8" outlineLevel="2" x14ac:dyDescent="0.3">
      <c r="A342" s="6">
        <v>4</v>
      </c>
      <c r="B342" t="s">
        <v>481</v>
      </c>
      <c r="C342" s="9" t="s">
        <v>963</v>
      </c>
      <c r="D342" s="9">
        <v>60</v>
      </c>
      <c r="E342" s="9" t="s">
        <v>1804</v>
      </c>
      <c r="F342" t="s">
        <v>167</v>
      </c>
      <c r="G342" t="s">
        <v>168</v>
      </c>
      <c r="H342" t="s">
        <v>1533</v>
      </c>
    </row>
    <row r="343" spans="1:8" outlineLevel="2" x14ac:dyDescent="0.3">
      <c r="A343" s="6">
        <v>4</v>
      </c>
      <c r="B343" t="s">
        <v>481</v>
      </c>
      <c r="C343" s="9" t="s">
        <v>963</v>
      </c>
      <c r="D343" s="9">
        <v>60</v>
      </c>
      <c r="E343" s="9" t="s">
        <v>1804</v>
      </c>
      <c r="F343" t="s">
        <v>106</v>
      </c>
      <c r="G343" t="s">
        <v>32</v>
      </c>
      <c r="H343" t="s">
        <v>1537</v>
      </c>
    </row>
    <row r="344" spans="1:8" outlineLevel="2" x14ac:dyDescent="0.3">
      <c r="A344" s="6">
        <v>4</v>
      </c>
      <c r="B344" t="s">
        <v>481</v>
      </c>
      <c r="C344" s="9" t="s">
        <v>963</v>
      </c>
      <c r="D344" s="9">
        <v>60</v>
      </c>
      <c r="E344" s="9" t="s">
        <v>1804</v>
      </c>
      <c r="F344" t="s">
        <v>107</v>
      </c>
      <c r="G344" t="s">
        <v>108</v>
      </c>
      <c r="H344" t="s">
        <v>1140</v>
      </c>
    </row>
    <row r="345" spans="1:8" outlineLevel="2" x14ac:dyDescent="0.3">
      <c r="A345" s="6">
        <v>4</v>
      </c>
      <c r="B345" t="s">
        <v>481</v>
      </c>
      <c r="C345" s="9" t="s">
        <v>963</v>
      </c>
      <c r="D345" s="9">
        <v>60</v>
      </c>
      <c r="E345" s="9" t="s">
        <v>1804</v>
      </c>
      <c r="F345" t="s">
        <v>120</v>
      </c>
      <c r="G345" t="s">
        <v>51</v>
      </c>
      <c r="H345" t="s">
        <v>1590</v>
      </c>
    </row>
    <row r="346" spans="1:8" outlineLevel="2" x14ac:dyDescent="0.3">
      <c r="A346" s="6">
        <v>4</v>
      </c>
      <c r="B346" t="s">
        <v>481</v>
      </c>
      <c r="C346" s="9" t="s">
        <v>963</v>
      </c>
      <c r="D346" s="9">
        <v>64</v>
      </c>
      <c r="E346" s="9" t="s">
        <v>1804</v>
      </c>
      <c r="F346" t="s">
        <v>121</v>
      </c>
      <c r="G346" t="s">
        <v>122</v>
      </c>
      <c r="H346" t="s">
        <v>1125</v>
      </c>
    </row>
    <row r="347" spans="1:8" outlineLevel="2" x14ac:dyDescent="0.3">
      <c r="A347" s="6">
        <v>4</v>
      </c>
      <c r="B347" t="s">
        <v>481</v>
      </c>
      <c r="C347" s="9" t="s">
        <v>963</v>
      </c>
      <c r="D347" s="9">
        <v>60</v>
      </c>
      <c r="E347" s="9" t="s">
        <v>1804</v>
      </c>
      <c r="F347" t="s">
        <v>367</v>
      </c>
      <c r="G347" t="s">
        <v>368</v>
      </c>
      <c r="H347" t="s">
        <v>1688</v>
      </c>
    </row>
    <row r="348" spans="1:8" outlineLevel="2" x14ac:dyDescent="0.3">
      <c r="A348" s="6">
        <v>4</v>
      </c>
      <c r="B348" t="s">
        <v>481</v>
      </c>
      <c r="C348" s="9" t="s">
        <v>963</v>
      </c>
      <c r="D348" s="9">
        <v>63</v>
      </c>
      <c r="E348" s="9" t="s">
        <v>1804</v>
      </c>
      <c r="F348" t="s">
        <v>124</v>
      </c>
      <c r="G348" t="s">
        <v>572</v>
      </c>
      <c r="H348" t="s">
        <v>1024</v>
      </c>
    </row>
    <row r="349" spans="1:8" outlineLevel="2" x14ac:dyDescent="0.3">
      <c r="A349" s="6">
        <v>4</v>
      </c>
      <c r="B349" t="s">
        <v>481</v>
      </c>
      <c r="C349" s="9" t="s">
        <v>963</v>
      </c>
      <c r="D349" s="9">
        <v>60</v>
      </c>
      <c r="E349" s="9" t="s">
        <v>1804</v>
      </c>
      <c r="F349" t="s">
        <v>486</v>
      </c>
      <c r="G349" t="s">
        <v>487</v>
      </c>
      <c r="H349" t="s">
        <v>1196</v>
      </c>
    </row>
    <row r="350" spans="1:8" outlineLevel="2" x14ac:dyDescent="0.3">
      <c r="A350" s="6">
        <v>4</v>
      </c>
      <c r="B350" t="s">
        <v>481</v>
      </c>
      <c r="C350" s="9" t="s">
        <v>963</v>
      </c>
      <c r="D350" s="9">
        <v>60</v>
      </c>
      <c r="E350" s="9" t="s">
        <v>1804</v>
      </c>
      <c r="F350" t="s">
        <v>128</v>
      </c>
      <c r="G350" t="s">
        <v>129</v>
      </c>
      <c r="H350" t="s">
        <v>1582</v>
      </c>
    </row>
    <row r="351" spans="1:8" outlineLevel="1" x14ac:dyDescent="0.3">
      <c r="A351" s="16" t="s">
        <v>2190</v>
      </c>
      <c r="H351">
        <f>SUBTOTAL(3,H320:H350)</f>
        <v>31</v>
      </c>
    </row>
    <row r="352" spans="1:8" outlineLevel="2" x14ac:dyDescent="0.3">
      <c r="A352" s="6">
        <v>5</v>
      </c>
      <c r="B352" t="s">
        <v>408</v>
      </c>
      <c r="C352" s="9" t="s">
        <v>932</v>
      </c>
      <c r="D352" s="9">
        <v>12</v>
      </c>
      <c r="E352" s="9" t="s">
        <v>1804</v>
      </c>
      <c r="F352" t="s">
        <v>143</v>
      </c>
      <c r="G352" t="s">
        <v>144</v>
      </c>
      <c r="H352" t="s">
        <v>1694</v>
      </c>
    </row>
    <row r="353" spans="1:8" outlineLevel="2" x14ac:dyDescent="0.3">
      <c r="A353" s="6">
        <v>5</v>
      </c>
      <c r="B353" t="s">
        <v>408</v>
      </c>
      <c r="C353" s="9" t="s">
        <v>932</v>
      </c>
      <c r="D353" s="9">
        <v>30</v>
      </c>
      <c r="E353" s="9" t="s">
        <v>1804</v>
      </c>
      <c r="F353" t="s">
        <v>176</v>
      </c>
      <c r="G353" t="s">
        <v>177</v>
      </c>
      <c r="H353" t="s">
        <v>1381</v>
      </c>
    </row>
    <row r="354" spans="1:8" outlineLevel="2" x14ac:dyDescent="0.3">
      <c r="A354" s="6">
        <v>5</v>
      </c>
      <c r="B354" t="s">
        <v>408</v>
      </c>
      <c r="C354" s="9" t="s">
        <v>1807</v>
      </c>
      <c r="D354" s="9">
        <v>1230</v>
      </c>
      <c r="E354" s="9" t="s">
        <v>1808</v>
      </c>
      <c r="F354" t="s">
        <v>10</v>
      </c>
      <c r="G354" t="s">
        <v>526</v>
      </c>
      <c r="H354" t="s">
        <v>1812</v>
      </c>
    </row>
    <row r="355" spans="1:8" outlineLevel="2" x14ac:dyDescent="0.3">
      <c r="A355" s="6">
        <v>5</v>
      </c>
      <c r="B355" t="s">
        <v>408</v>
      </c>
      <c r="C355" s="9" t="s">
        <v>932</v>
      </c>
      <c r="D355" s="9">
        <v>37</v>
      </c>
      <c r="E355" s="9" t="s">
        <v>1804</v>
      </c>
      <c r="F355" t="s">
        <v>198</v>
      </c>
      <c r="G355" t="s">
        <v>196</v>
      </c>
      <c r="H355" t="s">
        <v>1267</v>
      </c>
    </row>
    <row r="356" spans="1:8" outlineLevel="2" x14ac:dyDescent="0.3">
      <c r="A356" s="6">
        <v>5</v>
      </c>
      <c r="B356" t="s">
        <v>408</v>
      </c>
      <c r="C356" s="9" t="s">
        <v>1807</v>
      </c>
      <c r="D356" s="9">
        <v>1300</v>
      </c>
      <c r="E356" s="9" t="s">
        <v>1808</v>
      </c>
      <c r="F356" t="s">
        <v>409</v>
      </c>
      <c r="G356" t="s">
        <v>200</v>
      </c>
      <c r="H356" t="s">
        <v>1271</v>
      </c>
    </row>
    <row r="357" spans="1:8" outlineLevel="2" x14ac:dyDescent="0.3">
      <c r="A357" s="6">
        <v>5</v>
      </c>
      <c r="B357" t="s">
        <v>408</v>
      </c>
      <c r="C357" s="9" t="s">
        <v>1807</v>
      </c>
      <c r="D357" s="9">
        <v>1300</v>
      </c>
      <c r="E357" s="9" t="s">
        <v>1808</v>
      </c>
      <c r="F357" t="s">
        <v>199</v>
      </c>
      <c r="G357" t="s">
        <v>200</v>
      </c>
      <c r="H357" t="s">
        <v>1271</v>
      </c>
    </row>
    <row r="358" spans="1:8" outlineLevel="2" x14ac:dyDescent="0.3">
      <c r="A358" s="6">
        <v>5</v>
      </c>
      <c r="B358" t="s">
        <v>408</v>
      </c>
      <c r="C358" s="9" t="s">
        <v>932</v>
      </c>
      <c r="D358" s="9">
        <v>42</v>
      </c>
      <c r="E358" s="9" t="s">
        <v>1804</v>
      </c>
      <c r="F358" t="s">
        <v>14</v>
      </c>
      <c r="G358" t="s">
        <v>15</v>
      </c>
      <c r="H358" t="s">
        <v>1290</v>
      </c>
    </row>
    <row r="359" spans="1:8" outlineLevel="2" x14ac:dyDescent="0.3">
      <c r="A359" s="6">
        <v>5</v>
      </c>
      <c r="B359" t="s">
        <v>408</v>
      </c>
      <c r="C359" s="9" t="s">
        <v>1266</v>
      </c>
      <c r="D359" s="9">
        <v>12</v>
      </c>
      <c r="E359" s="9" t="s">
        <v>1804</v>
      </c>
      <c r="F359" t="s">
        <v>17</v>
      </c>
      <c r="G359" t="s">
        <v>15</v>
      </c>
      <c r="H359" t="s">
        <v>1291</v>
      </c>
    </row>
    <row r="360" spans="1:8" outlineLevel="2" x14ac:dyDescent="0.3">
      <c r="A360" s="6">
        <v>5</v>
      </c>
      <c r="B360" t="s">
        <v>408</v>
      </c>
      <c r="C360" s="9" t="s">
        <v>1807</v>
      </c>
      <c r="D360" s="9">
        <v>1330</v>
      </c>
      <c r="E360" s="9" t="s">
        <v>1808</v>
      </c>
      <c r="F360" t="s">
        <v>207</v>
      </c>
      <c r="G360" t="s">
        <v>19</v>
      </c>
      <c r="H360" t="s">
        <v>1301</v>
      </c>
    </row>
    <row r="361" spans="1:8" outlineLevel="2" x14ac:dyDescent="0.3">
      <c r="A361" s="6">
        <v>5</v>
      </c>
      <c r="B361" t="s">
        <v>408</v>
      </c>
      <c r="C361" s="9" t="s">
        <v>1807</v>
      </c>
      <c r="D361" s="9">
        <v>165</v>
      </c>
      <c r="E361" s="9" t="s">
        <v>1808</v>
      </c>
      <c r="F361" t="s">
        <v>410</v>
      </c>
      <c r="G361" t="s">
        <v>411</v>
      </c>
      <c r="H361" t="s">
        <v>1313</v>
      </c>
    </row>
    <row r="362" spans="1:8" outlineLevel="2" x14ac:dyDescent="0.3">
      <c r="A362" s="6">
        <v>5</v>
      </c>
      <c r="B362" t="s">
        <v>408</v>
      </c>
      <c r="C362" s="9" t="s">
        <v>1807</v>
      </c>
      <c r="D362" s="9">
        <v>750</v>
      </c>
      <c r="E362" s="9" t="s">
        <v>1808</v>
      </c>
      <c r="F362" t="s">
        <v>211</v>
      </c>
      <c r="G362" t="s">
        <v>212</v>
      </c>
      <c r="H362" t="s">
        <v>1331</v>
      </c>
    </row>
    <row r="363" spans="1:8" outlineLevel="2" x14ac:dyDescent="0.3">
      <c r="A363" s="6">
        <v>5</v>
      </c>
      <c r="B363" t="s">
        <v>408</v>
      </c>
      <c r="C363" s="9" t="s">
        <v>1807</v>
      </c>
      <c r="D363" s="9">
        <v>1350</v>
      </c>
      <c r="E363" s="9" t="s">
        <v>1808</v>
      </c>
      <c r="F363" t="s">
        <v>413</v>
      </c>
      <c r="G363" t="s">
        <v>414</v>
      </c>
      <c r="H363" t="s">
        <v>1332</v>
      </c>
    </row>
    <row r="364" spans="1:8" outlineLevel="2" x14ac:dyDescent="0.3">
      <c r="A364" s="6">
        <v>5</v>
      </c>
      <c r="B364" t="s">
        <v>408</v>
      </c>
      <c r="C364" s="9" t="s">
        <v>1807</v>
      </c>
      <c r="D364" s="9">
        <v>120</v>
      </c>
      <c r="E364" s="9" t="s">
        <v>1808</v>
      </c>
      <c r="F364" t="s">
        <v>25</v>
      </c>
      <c r="G364" t="s">
        <v>26</v>
      </c>
      <c r="H364" t="s">
        <v>1333</v>
      </c>
    </row>
    <row r="365" spans="1:8" outlineLevel="2" x14ac:dyDescent="0.3">
      <c r="A365" s="6">
        <v>5</v>
      </c>
      <c r="B365" t="s">
        <v>408</v>
      </c>
      <c r="C365" s="9" t="s">
        <v>1807</v>
      </c>
      <c r="D365" s="9">
        <v>1200</v>
      </c>
      <c r="E365" s="9" t="s">
        <v>1808</v>
      </c>
      <c r="F365" t="s">
        <v>416</v>
      </c>
      <c r="G365" t="s">
        <v>47</v>
      </c>
      <c r="H365" t="s">
        <v>1401</v>
      </c>
    </row>
    <row r="366" spans="1:8" outlineLevel="2" x14ac:dyDescent="0.3">
      <c r="A366" s="6">
        <v>5</v>
      </c>
      <c r="B366" t="s">
        <v>408</v>
      </c>
      <c r="C366" s="9" t="s">
        <v>932</v>
      </c>
      <c r="D366" s="9">
        <v>39</v>
      </c>
      <c r="E366" s="9" t="s">
        <v>1804</v>
      </c>
      <c r="F366" t="s">
        <v>417</v>
      </c>
      <c r="G366" t="s">
        <v>215</v>
      </c>
      <c r="H366" t="s">
        <v>1028</v>
      </c>
    </row>
    <row r="367" spans="1:8" outlineLevel="2" x14ac:dyDescent="0.3">
      <c r="A367" s="6">
        <v>5</v>
      </c>
      <c r="B367" t="s">
        <v>408</v>
      </c>
      <c r="C367" s="9" t="s">
        <v>932</v>
      </c>
      <c r="D367" s="9">
        <v>24</v>
      </c>
      <c r="E367" s="9" t="s">
        <v>1804</v>
      </c>
      <c r="F367" t="s">
        <v>385</v>
      </c>
      <c r="G367" t="s">
        <v>386</v>
      </c>
      <c r="H367" t="s">
        <v>1421</v>
      </c>
    </row>
    <row r="368" spans="1:8" outlineLevel="2" x14ac:dyDescent="0.3">
      <c r="A368" s="6">
        <v>5</v>
      </c>
      <c r="B368" t="s">
        <v>408</v>
      </c>
      <c r="C368" s="9" t="s">
        <v>932</v>
      </c>
      <c r="D368" s="9">
        <v>18</v>
      </c>
      <c r="E368" s="9" t="s">
        <v>1804</v>
      </c>
      <c r="F368" t="s">
        <v>418</v>
      </c>
      <c r="G368" t="s">
        <v>168</v>
      </c>
      <c r="H368" t="s">
        <v>1440</v>
      </c>
    </row>
    <row r="369" spans="1:8" outlineLevel="2" x14ac:dyDescent="0.3">
      <c r="A369" s="6">
        <v>5</v>
      </c>
      <c r="B369" t="s">
        <v>408</v>
      </c>
      <c r="C369" s="9" t="s">
        <v>932</v>
      </c>
      <c r="D369" s="9">
        <v>18</v>
      </c>
      <c r="E369" s="9" t="s">
        <v>1804</v>
      </c>
      <c r="F369" t="s">
        <v>217</v>
      </c>
      <c r="G369" t="s">
        <v>168</v>
      </c>
      <c r="H369" t="s">
        <v>1442</v>
      </c>
    </row>
    <row r="370" spans="1:8" outlineLevel="2" x14ac:dyDescent="0.3">
      <c r="A370" s="6">
        <v>5</v>
      </c>
      <c r="B370" t="s">
        <v>408</v>
      </c>
      <c r="C370" s="9" t="s">
        <v>932</v>
      </c>
      <c r="D370" s="9">
        <v>27</v>
      </c>
      <c r="E370" s="9" t="s">
        <v>1804</v>
      </c>
      <c r="F370" t="s">
        <v>218</v>
      </c>
      <c r="G370" t="s">
        <v>168</v>
      </c>
      <c r="H370" t="s">
        <v>1443</v>
      </c>
    </row>
    <row r="371" spans="1:8" outlineLevel="2" x14ac:dyDescent="0.3">
      <c r="A371" s="6">
        <v>5</v>
      </c>
      <c r="B371" t="s">
        <v>408</v>
      </c>
      <c r="C371" s="9" t="s">
        <v>932</v>
      </c>
      <c r="D371" s="9">
        <v>33</v>
      </c>
      <c r="E371" s="9" t="s">
        <v>1804</v>
      </c>
      <c r="F371" t="s">
        <v>390</v>
      </c>
      <c r="G371" t="s">
        <v>391</v>
      </c>
      <c r="H371" t="s">
        <v>1449</v>
      </c>
    </row>
    <row r="372" spans="1:8" outlineLevel="2" x14ac:dyDescent="0.3">
      <c r="A372" s="6">
        <v>5</v>
      </c>
      <c r="B372" t="s">
        <v>408</v>
      </c>
      <c r="C372" s="9" t="s">
        <v>932</v>
      </c>
      <c r="D372" s="9">
        <v>35</v>
      </c>
      <c r="E372" s="9" t="s">
        <v>1804</v>
      </c>
      <c r="F372" t="s">
        <v>421</v>
      </c>
      <c r="G372" t="s">
        <v>115</v>
      </c>
      <c r="H372" t="s">
        <v>1464</v>
      </c>
    </row>
    <row r="373" spans="1:8" outlineLevel="2" x14ac:dyDescent="0.3">
      <c r="A373" s="6">
        <v>5</v>
      </c>
      <c r="B373" t="s">
        <v>408</v>
      </c>
      <c r="C373" s="9" t="s">
        <v>932</v>
      </c>
      <c r="D373" s="9">
        <v>24</v>
      </c>
      <c r="E373" s="9" t="s">
        <v>1804</v>
      </c>
      <c r="F373" t="s">
        <v>31</v>
      </c>
      <c r="G373" t="s">
        <v>32</v>
      </c>
      <c r="H373" t="s">
        <v>1483</v>
      </c>
    </row>
    <row r="374" spans="1:8" outlineLevel="2" x14ac:dyDescent="0.3">
      <c r="A374" s="6">
        <v>5</v>
      </c>
      <c r="B374" t="s">
        <v>408</v>
      </c>
      <c r="C374" s="9" t="s">
        <v>932</v>
      </c>
      <c r="D374" s="9">
        <v>21</v>
      </c>
      <c r="E374" s="9" t="s">
        <v>1804</v>
      </c>
      <c r="F374" t="s">
        <v>34</v>
      </c>
      <c r="G374" t="s">
        <v>32</v>
      </c>
      <c r="H374" t="s">
        <v>1485</v>
      </c>
    </row>
    <row r="375" spans="1:8" outlineLevel="2" x14ac:dyDescent="0.3">
      <c r="A375" s="6">
        <v>5</v>
      </c>
      <c r="B375" t="s">
        <v>408</v>
      </c>
      <c r="C375" s="9" t="s">
        <v>932</v>
      </c>
      <c r="D375" s="9">
        <v>21</v>
      </c>
      <c r="E375" s="9" t="s">
        <v>1804</v>
      </c>
      <c r="F375" t="s">
        <v>36</v>
      </c>
      <c r="G375" t="s">
        <v>32</v>
      </c>
      <c r="H375" t="s">
        <v>1492</v>
      </c>
    </row>
    <row r="376" spans="1:8" outlineLevel="2" x14ac:dyDescent="0.3">
      <c r="A376" s="6">
        <v>5</v>
      </c>
      <c r="B376" t="s">
        <v>408</v>
      </c>
      <c r="C376" s="9" t="s">
        <v>932</v>
      </c>
      <c r="D376" s="9">
        <v>34</v>
      </c>
      <c r="E376" s="9" t="s">
        <v>1804</v>
      </c>
      <c r="F376" t="s">
        <v>422</v>
      </c>
      <c r="G376" t="s">
        <v>423</v>
      </c>
      <c r="H376" t="s">
        <v>1149</v>
      </c>
    </row>
    <row r="377" spans="1:8" outlineLevel="2" x14ac:dyDescent="0.3">
      <c r="A377" s="6">
        <v>5</v>
      </c>
      <c r="B377" t="s">
        <v>408</v>
      </c>
      <c r="C377" s="9" t="s">
        <v>932</v>
      </c>
      <c r="D377" s="9">
        <v>18</v>
      </c>
      <c r="E377" s="9" t="s">
        <v>1804</v>
      </c>
      <c r="F377" t="s">
        <v>154</v>
      </c>
      <c r="G377" t="s">
        <v>108</v>
      </c>
      <c r="H377" t="s">
        <v>1151</v>
      </c>
    </row>
    <row r="378" spans="1:8" outlineLevel="2" x14ac:dyDescent="0.3">
      <c r="A378" s="6">
        <v>5</v>
      </c>
      <c r="B378" t="s">
        <v>408</v>
      </c>
      <c r="C378" s="9" t="s">
        <v>932</v>
      </c>
      <c r="D378" s="9">
        <v>27</v>
      </c>
      <c r="E378" s="9" t="s">
        <v>1804</v>
      </c>
      <c r="F378" t="s">
        <v>37</v>
      </c>
      <c r="G378" t="s">
        <v>38</v>
      </c>
      <c r="H378" t="s">
        <v>1164</v>
      </c>
    </row>
    <row r="379" spans="1:8" outlineLevel="2" x14ac:dyDescent="0.3">
      <c r="A379" s="6">
        <v>5</v>
      </c>
      <c r="B379" t="s">
        <v>408</v>
      </c>
      <c r="C379" s="9" t="s">
        <v>932</v>
      </c>
      <c r="D379" s="9">
        <v>12</v>
      </c>
      <c r="E379" s="9" t="s">
        <v>1804</v>
      </c>
      <c r="F379" t="s">
        <v>226</v>
      </c>
      <c r="G379" t="s">
        <v>38</v>
      </c>
      <c r="H379" t="s">
        <v>1165</v>
      </c>
    </row>
    <row r="380" spans="1:8" outlineLevel="2" x14ac:dyDescent="0.3">
      <c r="A380" s="6">
        <v>5</v>
      </c>
      <c r="B380" t="s">
        <v>408</v>
      </c>
      <c r="C380" s="9" t="s">
        <v>932</v>
      </c>
      <c r="D380" s="9">
        <v>18</v>
      </c>
      <c r="E380" s="9" t="s">
        <v>1804</v>
      </c>
      <c r="F380" t="s">
        <v>227</v>
      </c>
      <c r="G380" t="s">
        <v>41</v>
      </c>
      <c r="H380" t="s">
        <v>1167</v>
      </c>
    </row>
    <row r="381" spans="1:8" outlineLevel="2" x14ac:dyDescent="0.3">
      <c r="A381" s="6">
        <v>5</v>
      </c>
      <c r="B381" t="s">
        <v>408</v>
      </c>
      <c r="C381" s="9" t="s">
        <v>932</v>
      </c>
      <c r="D381" s="9">
        <v>27</v>
      </c>
      <c r="E381" s="9" t="s">
        <v>1804</v>
      </c>
      <c r="F381" t="s">
        <v>40</v>
      </c>
      <c r="G381" t="s">
        <v>41</v>
      </c>
      <c r="H381" t="s">
        <v>1169</v>
      </c>
    </row>
    <row r="382" spans="1:8" outlineLevel="2" x14ac:dyDescent="0.3">
      <c r="A382" s="6">
        <v>5</v>
      </c>
      <c r="B382" t="s">
        <v>408</v>
      </c>
      <c r="C382" s="9" t="s">
        <v>932</v>
      </c>
      <c r="D382" s="9">
        <v>24</v>
      </c>
      <c r="E382" s="9" t="s">
        <v>1804</v>
      </c>
      <c r="F382" t="s">
        <v>232</v>
      </c>
      <c r="G382" t="s">
        <v>144</v>
      </c>
      <c r="H382" t="s">
        <v>1171</v>
      </c>
    </row>
    <row r="383" spans="1:8" outlineLevel="2" x14ac:dyDescent="0.3">
      <c r="A383" s="6">
        <v>5</v>
      </c>
      <c r="B383" t="s">
        <v>408</v>
      </c>
      <c r="C383" s="9" t="s">
        <v>932</v>
      </c>
      <c r="D383" s="9">
        <v>12</v>
      </c>
      <c r="E383" s="9" t="s">
        <v>1804</v>
      </c>
      <c r="F383" t="s">
        <v>426</v>
      </c>
      <c r="G383" t="s">
        <v>44</v>
      </c>
      <c r="H383" t="s">
        <v>1051</v>
      </c>
    </row>
    <row r="384" spans="1:8" outlineLevel="2" x14ac:dyDescent="0.3">
      <c r="A384" s="6">
        <v>5</v>
      </c>
      <c r="B384" t="s">
        <v>408</v>
      </c>
      <c r="C384" s="9" t="s">
        <v>932</v>
      </c>
      <c r="D384" s="9">
        <v>24</v>
      </c>
      <c r="E384" s="9" t="s">
        <v>1804</v>
      </c>
      <c r="F384" t="s">
        <v>427</v>
      </c>
      <c r="G384" t="s">
        <v>428</v>
      </c>
      <c r="H384" t="s">
        <v>1054</v>
      </c>
    </row>
    <row r="385" spans="1:8" outlineLevel="2" x14ac:dyDescent="0.3">
      <c r="A385" s="6">
        <v>5</v>
      </c>
      <c r="B385" t="s">
        <v>408</v>
      </c>
      <c r="C385" s="9" t="s">
        <v>1807</v>
      </c>
      <c r="D385" s="9">
        <v>1200</v>
      </c>
      <c r="E385" s="9" t="s">
        <v>1808</v>
      </c>
      <c r="F385" t="s">
        <v>240</v>
      </c>
      <c r="G385" t="s">
        <v>241</v>
      </c>
      <c r="H385" t="s">
        <v>1427</v>
      </c>
    </row>
    <row r="386" spans="1:8" outlineLevel="2" x14ac:dyDescent="0.3">
      <c r="A386" s="6">
        <v>5</v>
      </c>
      <c r="B386" t="s">
        <v>408</v>
      </c>
      <c r="C386" s="9" t="s">
        <v>1807</v>
      </c>
      <c r="D386" s="9">
        <v>1200</v>
      </c>
      <c r="E386" s="9" t="s">
        <v>1808</v>
      </c>
      <c r="F386" t="s">
        <v>430</v>
      </c>
      <c r="G386" t="s">
        <v>431</v>
      </c>
      <c r="H386" t="s">
        <v>1428</v>
      </c>
    </row>
    <row r="387" spans="1:8" outlineLevel="2" x14ac:dyDescent="0.3">
      <c r="A387" s="6">
        <v>5</v>
      </c>
      <c r="B387" t="s">
        <v>408</v>
      </c>
      <c r="C387" s="9" t="s">
        <v>932</v>
      </c>
      <c r="D387" s="9">
        <v>35</v>
      </c>
      <c r="E387" s="9" t="s">
        <v>1804</v>
      </c>
      <c r="F387" t="s">
        <v>433</v>
      </c>
      <c r="G387" t="s">
        <v>434</v>
      </c>
      <c r="H387" t="s">
        <v>1404</v>
      </c>
    </row>
    <row r="388" spans="1:8" outlineLevel="2" x14ac:dyDescent="0.3">
      <c r="A388" s="6">
        <v>5</v>
      </c>
      <c r="B388" t="s">
        <v>408</v>
      </c>
      <c r="C388" s="9" t="s">
        <v>932</v>
      </c>
      <c r="D388" s="9">
        <v>35</v>
      </c>
      <c r="E388" s="9" t="s">
        <v>1804</v>
      </c>
      <c r="F388" t="s">
        <v>46</v>
      </c>
      <c r="G388" t="s">
        <v>47</v>
      </c>
      <c r="H388" t="s">
        <v>1409</v>
      </c>
    </row>
    <row r="389" spans="1:8" outlineLevel="2" x14ac:dyDescent="0.3">
      <c r="A389" s="6">
        <v>5</v>
      </c>
      <c r="B389" t="s">
        <v>408</v>
      </c>
      <c r="C389" s="9" t="s">
        <v>932</v>
      </c>
      <c r="D389" s="9">
        <v>18</v>
      </c>
      <c r="E389" s="9" t="s">
        <v>1804</v>
      </c>
      <c r="F389" t="s">
        <v>246</v>
      </c>
      <c r="G389" t="s">
        <v>51</v>
      </c>
      <c r="H389" t="s">
        <v>1596</v>
      </c>
    </row>
    <row r="390" spans="1:8" outlineLevel="2" x14ac:dyDescent="0.3">
      <c r="A390" s="6">
        <v>5</v>
      </c>
      <c r="B390" t="s">
        <v>408</v>
      </c>
      <c r="C390" s="9" t="s">
        <v>1807</v>
      </c>
      <c r="D390" s="9">
        <v>750</v>
      </c>
      <c r="E390" s="9" t="s">
        <v>1808</v>
      </c>
      <c r="F390" t="s">
        <v>248</v>
      </c>
      <c r="G390" t="s">
        <v>249</v>
      </c>
      <c r="H390" t="s">
        <v>979</v>
      </c>
    </row>
    <row r="391" spans="1:8" outlineLevel="2" x14ac:dyDescent="0.3">
      <c r="A391" s="6">
        <v>5</v>
      </c>
      <c r="B391" t="s">
        <v>408</v>
      </c>
      <c r="C391" s="9" t="s">
        <v>1807</v>
      </c>
      <c r="D391" s="9">
        <v>1350</v>
      </c>
      <c r="E391" s="9" t="s">
        <v>1808</v>
      </c>
      <c r="F391" t="s">
        <v>251</v>
      </c>
      <c r="G391" t="s">
        <v>249</v>
      </c>
      <c r="H391" t="s">
        <v>980</v>
      </c>
    </row>
    <row r="392" spans="1:8" outlineLevel="2" x14ac:dyDescent="0.3">
      <c r="A392" s="6">
        <v>5</v>
      </c>
      <c r="B392" t="s">
        <v>408</v>
      </c>
      <c r="C392" s="9" t="s">
        <v>932</v>
      </c>
      <c r="D392" s="9">
        <v>22</v>
      </c>
      <c r="E392" s="9" t="s">
        <v>1804</v>
      </c>
      <c r="F392" t="s">
        <v>259</v>
      </c>
      <c r="G392" t="s">
        <v>260</v>
      </c>
      <c r="H392" t="s">
        <v>986</v>
      </c>
    </row>
    <row r="393" spans="1:8" outlineLevel="2" x14ac:dyDescent="0.3">
      <c r="A393" s="6">
        <v>5</v>
      </c>
      <c r="B393" t="s">
        <v>408</v>
      </c>
      <c r="C393" s="9" t="s">
        <v>932</v>
      </c>
      <c r="D393" s="9">
        <v>14</v>
      </c>
      <c r="E393" s="9" t="s">
        <v>1804</v>
      </c>
      <c r="F393" t="s">
        <v>262</v>
      </c>
      <c r="G393" t="s">
        <v>263</v>
      </c>
      <c r="H393" t="s">
        <v>989</v>
      </c>
    </row>
    <row r="394" spans="1:8" outlineLevel="2" x14ac:dyDescent="0.3">
      <c r="A394" s="6">
        <v>5</v>
      </c>
      <c r="B394" t="s">
        <v>408</v>
      </c>
      <c r="C394" s="9" t="s">
        <v>932</v>
      </c>
      <c r="D394" s="9">
        <v>24</v>
      </c>
      <c r="E394" s="9" t="s">
        <v>1804</v>
      </c>
      <c r="F394" t="s">
        <v>437</v>
      </c>
      <c r="G394" t="s">
        <v>438</v>
      </c>
      <c r="H394" t="s">
        <v>1642</v>
      </c>
    </row>
    <row r="395" spans="1:8" outlineLevel="2" x14ac:dyDescent="0.3">
      <c r="A395" s="6">
        <v>5</v>
      </c>
      <c r="B395" t="s">
        <v>408</v>
      </c>
      <c r="C395" s="9" t="s">
        <v>1807</v>
      </c>
      <c r="D395" s="9">
        <v>900</v>
      </c>
      <c r="E395" s="9" t="s">
        <v>1808</v>
      </c>
      <c r="F395" t="s">
        <v>440</v>
      </c>
      <c r="G395" t="s">
        <v>441</v>
      </c>
      <c r="H395" t="s">
        <v>1006</v>
      </c>
    </row>
    <row r="396" spans="1:8" outlineLevel="2" x14ac:dyDescent="0.3">
      <c r="A396" s="6">
        <v>5</v>
      </c>
      <c r="B396" t="s">
        <v>408</v>
      </c>
      <c r="C396" s="9" t="s">
        <v>932</v>
      </c>
      <c r="D396" s="9">
        <v>15</v>
      </c>
      <c r="E396" s="9" t="s">
        <v>1804</v>
      </c>
      <c r="F396" t="s">
        <v>443</v>
      </c>
      <c r="G396" t="s">
        <v>444</v>
      </c>
      <c r="H396" t="s">
        <v>1649</v>
      </c>
    </row>
    <row r="397" spans="1:8" outlineLevel="2" x14ac:dyDescent="0.3">
      <c r="A397" s="6">
        <v>5</v>
      </c>
      <c r="B397" t="s">
        <v>408</v>
      </c>
      <c r="C397" s="9" t="s">
        <v>1807</v>
      </c>
      <c r="D397" s="9">
        <v>1350</v>
      </c>
      <c r="E397" s="9" t="s">
        <v>1808</v>
      </c>
      <c r="F397" t="s">
        <v>275</v>
      </c>
      <c r="G397" t="s">
        <v>276</v>
      </c>
      <c r="H397" t="s">
        <v>1012</v>
      </c>
    </row>
    <row r="398" spans="1:8" outlineLevel="2" x14ac:dyDescent="0.3">
      <c r="A398" s="6">
        <v>5</v>
      </c>
      <c r="B398" t="s">
        <v>408</v>
      </c>
      <c r="C398" s="9" t="s">
        <v>1807</v>
      </c>
      <c r="D398" s="9">
        <v>1400</v>
      </c>
      <c r="E398" s="9" t="s">
        <v>1808</v>
      </c>
      <c r="F398" t="s">
        <v>446</v>
      </c>
      <c r="G398" t="s">
        <v>447</v>
      </c>
      <c r="H398" t="s">
        <v>1719</v>
      </c>
    </row>
    <row r="399" spans="1:8" outlineLevel="2" x14ac:dyDescent="0.3">
      <c r="A399" s="6">
        <v>5</v>
      </c>
      <c r="B399" t="s">
        <v>408</v>
      </c>
      <c r="C399" s="9" t="s">
        <v>1807</v>
      </c>
      <c r="D399" s="9">
        <v>1800</v>
      </c>
      <c r="E399" s="9" t="s">
        <v>1808</v>
      </c>
      <c r="F399" t="s">
        <v>449</v>
      </c>
      <c r="G399" t="s">
        <v>450</v>
      </c>
      <c r="H399" t="s">
        <v>1711</v>
      </c>
    </row>
    <row r="400" spans="1:8" outlineLevel="2" x14ac:dyDescent="0.3">
      <c r="A400" s="6">
        <v>5</v>
      </c>
      <c r="B400" t="s">
        <v>408</v>
      </c>
      <c r="C400" s="9" t="s">
        <v>1807</v>
      </c>
      <c r="D400" s="9">
        <v>1500</v>
      </c>
      <c r="E400" s="9" t="s">
        <v>1808</v>
      </c>
      <c r="F400" t="s">
        <v>452</v>
      </c>
      <c r="G400" t="s">
        <v>454</v>
      </c>
      <c r="H400" t="s">
        <v>1813</v>
      </c>
    </row>
    <row r="401" spans="1:8" outlineLevel="2" x14ac:dyDescent="0.3">
      <c r="A401" s="6">
        <v>5</v>
      </c>
      <c r="B401" t="s">
        <v>408</v>
      </c>
      <c r="C401" s="9" t="s">
        <v>1807</v>
      </c>
      <c r="D401" s="9">
        <v>600</v>
      </c>
      <c r="E401" s="9" t="s">
        <v>1808</v>
      </c>
      <c r="F401" t="s">
        <v>453</v>
      </c>
      <c r="G401" t="s">
        <v>454</v>
      </c>
      <c r="H401" t="s">
        <v>1677</v>
      </c>
    </row>
    <row r="402" spans="1:8" outlineLevel="2" x14ac:dyDescent="0.3">
      <c r="A402" s="6">
        <v>5</v>
      </c>
      <c r="B402" t="s">
        <v>408</v>
      </c>
      <c r="C402" s="9" t="s">
        <v>1807</v>
      </c>
      <c r="D402" s="9">
        <v>1050</v>
      </c>
      <c r="E402" s="9" t="s">
        <v>1808</v>
      </c>
      <c r="F402" t="s">
        <v>291</v>
      </c>
      <c r="G402" t="s">
        <v>292</v>
      </c>
      <c r="H402" t="s">
        <v>1678</v>
      </c>
    </row>
    <row r="403" spans="1:8" outlineLevel="2" x14ac:dyDescent="0.3">
      <c r="A403" s="6">
        <v>5</v>
      </c>
      <c r="B403" t="s">
        <v>408</v>
      </c>
      <c r="C403" s="9" t="s">
        <v>1807</v>
      </c>
      <c r="D403" s="9">
        <v>750</v>
      </c>
      <c r="E403" s="9" t="s">
        <v>1808</v>
      </c>
      <c r="F403" t="s">
        <v>456</v>
      </c>
      <c r="G403" t="s">
        <v>292</v>
      </c>
      <c r="H403" t="s">
        <v>1679</v>
      </c>
    </row>
    <row r="404" spans="1:8" outlineLevel="2" x14ac:dyDescent="0.3">
      <c r="A404" s="6">
        <v>5</v>
      </c>
      <c r="B404" t="s">
        <v>408</v>
      </c>
      <c r="C404" s="9" t="s">
        <v>932</v>
      </c>
      <c r="D404" s="9">
        <v>15</v>
      </c>
      <c r="E404" s="9" t="s">
        <v>1804</v>
      </c>
      <c r="F404" t="s">
        <v>62</v>
      </c>
      <c r="G404" t="s">
        <v>63</v>
      </c>
      <c r="H404" t="s">
        <v>1103</v>
      </c>
    </row>
    <row r="405" spans="1:8" outlineLevel="2" x14ac:dyDescent="0.3">
      <c r="A405" s="6">
        <v>5</v>
      </c>
      <c r="B405" t="s">
        <v>408</v>
      </c>
      <c r="C405" s="9" t="s">
        <v>1807</v>
      </c>
      <c r="D405" s="9">
        <v>420</v>
      </c>
      <c r="E405" s="9" t="s">
        <v>1808</v>
      </c>
      <c r="F405" t="s">
        <v>68</v>
      </c>
      <c r="G405" t="s">
        <v>69</v>
      </c>
      <c r="H405" t="s">
        <v>1551</v>
      </c>
    </row>
    <row r="406" spans="1:8" outlineLevel="2" x14ac:dyDescent="0.3">
      <c r="A406" s="6">
        <v>5</v>
      </c>
      <c r="B406" t="s">
        <v>408</v>
      </c>
      <c r="C406" s="9" t="s">
        <v>1807</v>
      </c>
      <c r="D406" s="9">
        <v>770</v>
      </c>
      <c r="E406" s="9" t="s">
        <v>1808</v>
      </c>
      <c r="F406" t="s">
        <v>71</v>
      </c>
      <c r="G406" t="s">
        <v>72</v>
      </c>
      <c r="H406" t="s">
        <v>1565</v>
      </c>
    </row>
    <row r="407" spans="1:8" outlineLevel="2" x14ac:dyDescent="0.3">
      <c r="A407" s="6">
        <v>5</v>
      </c>
      <c r="B407" t="s">
        <v>408</v>
      </c>
      <c r="C407" s="9" t="s">
        <v>1807</v>
      </c>
      <c r="D407" s="9">
        <v>398</v>
      </c>
      <c r="E407" s="9" t="s">
        <v>1808</v>
      </c>
      <c r="F407" t="s">
        <v>318</v>
      </c>
      <c r="G407" t="s">
        <v>76</v>
      </c>
      <c r="H407" t="s">
        <v>1578</v>
      </c>
    </row>
    <row r="408" spans="1:8" outlineLevel="2" x14ac:dyDescent="0.3">
      <c r="A408" s="6">
        <v>5</v>
      </c>
      <c r="B408" t="s">
        <v>408</v>
      </c>
      <c r="C408" s="9" t="s">
        <v>963</v>
      </c>
      <c r="D408" s="9">
        <v>60</v>
      </c>
      <c r="E408" s="9" t="s">
        <v>1804</v>
      </c>
      <c r="F408" t="s">
        <v>79</v>
      </c>
      <c r="G408" t="s">
        <v>80</v>
      </c>
      <c r="H408" t="s">
        <v>1416</v>
      </c>
    </row>
    <row r="409" spans="1:8" outlineLevel="2" x14ac:dyDescent="0.3">
      <c r="A409" s="6">
        <v>5</v>
      </c>
      <c r="B409" t="s">
        <v>408</v>
      </c>
      <c r="C409" s="9" t="s">
        <v>963</v>
      </c>
      <c r="D409" s="9">
        <v>64</v>
      </c>
      <c r="E409" s="9" t="s">
        <v>1804</v>
      </c>
      <c r="F409" t="s">
        <v>82</v>
      </c>
      <c r="G409" t="s">
        <v>83</v>
      </c>
      <c r="H409" t="s">
        <v>1340</v>
      </c>
    </row>
    <row r="410" spans="1:8" outlineLevel="2" x14ac:dyDescent="0.3">
      <c r="A410" s="6">
        <v>5</v>
      </c>
      <c r="B410" t="s">
        <v>408</v>
      </c>
      <c r="C410" s="9" t="s">
        <v>963</v>
      </c>
      <c r="D410" s="9">
        <v>88</v>
      </c>
      <c r="E410" s="9" t="s">
        <v>1804</v>
      </c>
      <c r="F410" t="s">
        <v>84</v>
      </c>
      <c r="G410" t="s">
        <v>85</v>
      </c>
      <c r="H410" t="s">
        <v>1342</v>
      </c>
    </row>
    <row r="411" spans="1:8" outlineLevel="2" x14ac:dyDescent="0.3">
      <c r="A411" s="6">
        <v>5</v>
      </c>
      <c r="B411" t="s">
        <v>408</v>
      </c>
      <c r="C411" s="9" t="s">
        <v>963</v>
      </c>
      <c r="D411" s="9">
        <v>70</v>
      </c>
      <c r="E411" s="9" t="s">
        <v>1804</v>
      </c>
      <c r="F411" t="s">
        <v>325</v>
      </c>
      <c r="G411" t="s">
        <v>196</v>
      </c>
      <c r="H411" t="s">
        <v>1344</v>
      </c>
    </row>
    <row r="412" spans="1:8" outlineLevel="2" x14ac:dyDescent="0.3">
      <c r="A412" s="6">
        <v>5</v>
      </c>
      <c r="B412" t="s">
        <v>408</v>
      </c>
      <c r="C412" s="9" t="s">
        <v>963</v>
      </c>
      <c r="D412" s="9">
        <v>74</v>
      </c>
      <c r="E412" s="9" t="s">
        <v>1804</v>
      </c>
      <c r="F412" t="s">
        <v>458</v>
      </c>
      <c r="G412" t="s">
        <v>459</v>
      </c>
      <c r="H412" t="s">
        <v>1347</v>
      </c>
    </row>
    <row r="413" spans="1:8" outlineLevel="2" x14ac:dyDescent="0.3">
      <c r="A413" s="6">
        <v>5</v>
      </c>
      <c r="B413" t="s">
        <v>408</v>
      </c>
      <c r="C413" s="9" t="s">
        <v>963</v>
      </c>
      <c r="D413" s="9">
        <v>74</v>
      </c>
      <c r="E413" s="9" t="s">
        <v>1804</v>
      </c>
      <c r="F413" t="s">
        <v>87</v>
      </c>
      <c r="G413" t="s">
        <v>88</v>
      </c>
      <c r="H413" t="s">
        <v>1349</v>
      </c>
    </row>
    <row r="414" spans="1:8" outlineLevel="2" x14ac:dyDescent="0.3">
      <c r="A414" s="6">
        <v>5</v>
      </c>
      <c r="B414" t="s">
        <v>408</v>
      </c>
      <c r="C414" s="9" t="s">
        <v>963</v>
      </c>
      <c r="D414" s="9">
        <v>73</v>
      </c>
      <c r="E414" s="9" t="s">
        <v>1804</v>
      </c>
      <c r="F414" t="s">
        <v>90</v>
      </c>
      <c r="G414" t="s">
        <v>15</v>
      </c>
      <c r="H414" t="s">
        <v>1351</v>
      </c>
    </row>
    <row r="415" spans="1:8" outlineLevel="2" x14ac:dyDescent="0.3">
      <c r="A415" s="6">
        <v>5</v>
      </c>
      <c r="B415" t="s">
        <v>408</v>
      </c>
      <c r="C415" s="9" t="s">
        <v>963</v>
      </c>
      <c r="D415" s="9">
        <v>77</v>
      </c>
      <c r="E415" s="9" t="s">
        <v>1804</v>
      </c>
      <c r="F415" t="s">
        <v>91</v>
      </c>
      <c r="G415" t="s">
        <v>92</v>
      </c>
      <c r="H415" t="s">
        <v>1353</v>
      </c>
    </row>
    <row r="416" spans="1:8" outlineLevel="2" x14ac:dyDescent="0.3">
      <c r="A416" s="6">
        <v>5</v>
      </c>
      <c r="B416" t="s">
        <v>408</v>
      </c>
      <c r="C416" s="9" t="s">
        <v>963</v>
      </c>
      <c r="D416" s="9">
        <v>76</v>
      </c>
      <c r="E416" s="9" t="s">
        <v>1804</v>
      </c>
      <c r="F416" t="s">
        <v>94</v>
      </c>
      <c r="G416" t="s">
        <v>95</v>
      </c>
      <c r="H416" t="s">
        <v>1355</v>
      </c>
    </row>
    <row r="417" spans="1:8" outlineLevel="2" x14ac:dyDescent="0.3">
      <c r="A417" s="6">
        <v>5</v>
      </c>
      <c r="B417" t="s">
        <v>408</v>
      </c>
      <c r="C417" s="9" t="s">
        <v>963</v>
      </c>
      <c r="D417" s="9">
        <v>72</v>
      </c>
      <c r="E417" s="9" t="s">
        <v>1804</v>
      </c>
      <c r="F417" t="s">
        <v>461</v>
      </c>
      <c r="G417" t="s">
        <v>462</v>
      </c>
      <c r="H417" t="s">
        <v>1360</v>
      </c>
    </row>
    <row r="418" spans="1:8" outlineLevel="2" x14ac:dyDescent="0.3">
      <c r="A418" s="6">
        <v>5</v>
      </c>
      <c r="B418" t="s">
        <v>408</v>
      </c>
      <c r="C418" s="9" t="s">
        <v>963</v>
      </c>
      <c r="D418" s="9">
        <v>72</v>
      </c>
      <c r="E418" s="9" t="s">
        <v>1804</v>
      </c>
      <c r="F418" t="s">
        <v>101</v>
      </c>
      <c r="G418" t="s">
        <v>102</v>
      </c>
      <c r="H418" t="s">
        <v>1365</v>
      </c>
    </row>
    <row r="419" spans="1:8" outlineLevel="2" x14ac:dyDescent="0.3">
      <c r="A419" s="6">
        <v>5</v>
      </c>
      <c r="B419" t="s">
        <v>408</v>
      </c>
      <c r="C419" s="9" t="s">
        <v>963</v>
      </c>
      <c r="D419" s="9">
        <v>60</v>
      </c>
      <c r="E419" s="9" t="s">
        <v>1804</v>
      </c>
      <c r="F419" t="s">
        <v>400</v>
      </c>
      <c r="G419" t="s">
        <v>401</v>
      </c>
      <c r="H419" t="s">
        <v>1185</v>
      </c>
    </row>
    <row r="420" spans="1:8" outlineLevel="2" x14ac:dyDescent="0.3">
      <c r="A420" s="6">
        <v>5</v>
      </c>
      <c r="B420" t="s">
        <v>408</v>
      </c>
      <c r="C420" s="9" t="s">
        <v>963</v>
      </c>
      <c r="D420" s="9">
        <v>75</v>
      </c>
      <c r="E420" s="9" t="s">
        <v>1804</v>
      </c>
      <c r="F420" t="s">
        <v>345</v>
      </c>
      <c r="G420" t="s">
        <v>215</v>
      </c>
      <c r="H420" t="s">
        <v>1115</v>
      </c>
    </row>
    <row r="421" spans="1:8" outlineLevel="2" x14ac:dyDescent="0.3">
      <c r="A421" s="6">
        <v>5</v>
      </c>
      <c r="B421" t="s">
        <v>408</v>
      </c>
      <c r="C421" s="9" t="s">
        <v>963</v>
      </c>
      <c r="D421" s="9">
        <v>60</v>
      </c>
      <c r="E421" s="9" t="s">
        <v>1804</v>
      </c>
      <c r="F421" t="s">
        <v>403</v>
      </c>
      <c r="G421" t="s">
        <v>386</v>
      </c>
      <c r="H421" t="s">
        <v>1432</v>
      </c>
    </row>
    <row r="422" spans="1:8" outlineLevel="2" x14ac:dyDescent="0.3">
      <c r="A422" s="6">
        <v>5</v>
      </c>
      <c r="B422" t="s">
        <v>408</v>
      </c>
      <c r="C422" s="9" t="s">
        <v>963</v>
      </c>
      <c r="D422" s="9">
        <v>60</v>
      </c>
      <c r="E422" s="9" t="s">
        <v>1804</v>
      </c>
      <c r="F422" t="s">
        <v>167</v>
      </c>
      <c r="G422" t="s">
        <v>168</v>
      </c>
      <c r="H422" t="s">
        <v>1533</v>
      </c>
    </row>
    <row r="423" spans="1:8" outlineLevel="2" x14ac:dyDescent="0.3">
      <c r="A423" s="6">
        <v>5</v>
      </c>
      <c r="B423" t="s">
        <v>408</v>
      </c>
      <c r="C423" s="9" t="s">
        <v>963</v>
      </c>
      <c r="D423" s="9">
        <v>60</v>
      </c>
      <c r="E423" s="9" t="s">
        <v>1804</v>
      </c>
      <c r="F423" t="s">
        <v>464</v>
      </c>
      <c r="G423" t="s">
        <v>168</v>
      </c>
      <c r="H423" t="s">
        <v>1534</v>
      </c>
    </row>
    <row r="424" spans="1:8" outlineLevel="2" x14ac:dyDescent="0.3">
      <c r="A424" s="6">
        <v>5</v>
      </c>
      <c r="B424" t="s">
        <v>408</v>
      </c>
      <c r="C424" s="9" t="s">
        <v>963</v>
      </c>
      <c r="D424" s="9">
        <v>60</v>
      </c>
      <c r="E424" s="9" t="s">
        <v>1804</v>
      </c>
      <c r="F424" t="s">
        <v>170</v>
      </c>
      <c r="G424" t="s">
        <v>171</v>
      </c>
      <c r="H424" t="s">
        <v>1535</v>
      </c>
    </row>
    <row r="425" spans="1:8" outlineLevel="2" x14ac:dyDescent="0.3">
      <c r="A425" s="6">
        <v>5</v>
      </c>
      <c r="B425" t="s">
        <v>408</v>
      </c>
      <c r="C425" s="9" t="s">
        <v>963</v>
      </c>
      <c r="D425" s="9">
        <v>63</v>
      </c>
      <c r="E425" s="9" t="s">
        <v>1804</v>
      </c>
      <c r="F425" t="s">
        <v>404</v>
      </c>
      <c r="G425" t="s">
        <v>115</v>
      </c>
      <c r="H425" t="s">
        <v>1536</v>
      </c>
    </row>
    <row r="426" spans="1:8" outlineLevel="2" x14ac:dyDescent="0.3">
      <c r="A426" s="6">
        <v>5</v>
      </c>
      <c r="B426" t="s">
        <v>408</v>
      </c>
      <c r="C426" s="9" t="s">
        <v>963</v>
      </c>
      <c r="D426" s="9">
        <v>60</v>
      </c>
      <c r="E426" s="9" t="s">
        <v>1804</v>
      </c>
      <c r="F426" t="s">
        <v>106</v>
      </c>
      <c r="G426" t="s">
        <v>32</v>
      </c>
      <c r="H426" t="s">
        <v>1537</v>
      </c>
    </row>
    <row r="427" spans="1:8" outlineLevel="2" x14ac:dyDescent="0.3">
      <c r="A427" s="6">
        <v>5</v>
      </c>
      <c r="B427" t="s">
        <v>408</v>
      </c>
      <c r="C427" s="9" t="s">
        <v>963</v>
      </c>
      <c r="D427" s="9">
        <v>60</v>
      </c>
      <c r="E427" s="9" t="s">
        <v>1804</v>
      </c>
      <c r="F427" t="s">
        <v>107</v>
      </c>
      <c r="G427" t="s">
        <v>108</v>
      </c>
      <c r="H427" t="s">
        <v>1140</v>
      </c>
    </row>
    <row r="428" spans="1:8" outlineLevel="2" x14ac:dyDescent="0.3">
      <c r="A428" s="6">
        <v>5</v>
      </c>
      <c r="B428" t="s">
        <v>408</v>
      </c>
      <c r="C428" s="9" t="s">
        <v>963</v>
      </c>
      <c r="D428" s="9">
        <v>60</v>
      </c>
      <c r="E428" s="9" t="s">
        <v>1804</v>
      </c>
      <c r="F428" t="s">
        <v>351</v>
      </c>
      <c r="G428" t="s">
        <v>38</v>
      </c>
      <c r="H428" t="s">
        <v>1142</v>
      </c>
    </row>
    <row r="429" spans="1:8" outlineLevel="2" x14ac:dyDescent="0.3">
      <c r="A429" s="6">
        <v>5</v>
      </c>
      <c r="B429" t="s">
        <v>408</v>
      </c>
      <c r="C429" s="9" t="s">
        <v>963</v>
      </c>
      <c r="D429" s="9">
        <v>60</v>
      </c>
      <c r="E429" s="9" t="s">
        <v>1804</v>
      </c>
      <c r="F429" t="s">
        <v>110</v>
      </c>
      <c r="G429" t="s">
        <v>41</v>
      </c>
      <c r="H429" t="s">
        <v>1144</v>
      </c>
    </row>
    <row r="430" spans="1:8" outlineLevel="2" x14ac:dyDescent="0.3">
      <c r="A430" s="6">
        <v>5</v>
      </c>
      <c r="B430" t="s">
        <v>408</v>
      </c>
      <c r="C430" s="9" t="s">
        <v>963</v>
      </c>
      <c r="D430" s="9">
        <v>60</v>
      </c>
      <c r="E430" s="9" t="s">
        <v>1804</v>
      </c>
      <c r="F430" t="s">
        <v>465</v>
      </c>
      <c r="G430" t="s">
        <v>235</v>
      </c>
      <c r="H430" t="s">
        <v>1117</v>
      </c>
    </row>
    <row r="431" spans="1:8" outlineLevel="2" x14ac:dyDescent="0.3">
      <c r="A431" s="6">
        <v>5</v>
      </c>
      <c r="B431" t="s">
        <v>408</v>
      </c>
      <c r="C431" s="9" t="s">
        <v>963</v>
      </c>
      <c r="D431" s="9">
        <v>65</v>
      </c>
      <c r="E431" s="9" t="s">
        <v>1804</v>
      </c>
      <c r="F431" t="s">
        <v>466</v>
      </c>
      <c r="G431" t="s">
        <v>467</v>
      </c>
      <c r="H431" t="s">
        <v>1118</v>
      </c>
    </row>
    <row r="432" spans="1:8" outlineLevel="2" x14ac:dyDescent="0.3">
      <c r="A432" s="6">
        <v>5</v>
      </c>
      <c r="B432" t="s">
        <v>408</v>
      </c>
      <c r="C432" s="9" t="s">
        <v>963</v>
      </c>
      <c r="D432" s="9">
        <v>60</v>
      </c>
      <c r="E432" s="9" t="s">
        <v>1804</v>
      </c>
      <c r="F432" t="s">
        <v>117</v>
      </c>
      <c r="G432" t="s">
        <v>118</v>
      </c>
      <c r="H432" t="s">
        <v>1419</v>
      </c>
    </row>
    <row r="433" spans="1:8" outlineLevel="2" x14ac:dyDescent="0.3">
      <c r="A433" s="6">
        <v>5</v>
      </c>
      <c r="B433" t="s">
        <v>408</v>
      </c>
      <c r="C433" s="9" t="s">
        <v>963</v>
      </c>
      <c r="D433" s="9">
        <v>60</v>
      </c>
      <c r="E433" s="9" t="s">
        <v>1804</v>
      </c>
      <c r="F433" t="s">
        <v>120</v>
      </c>
      <c r="G433" t="s">
        <v>51</v>
      </c>
      <c r="H433" t="s">
        <v>1590</v>
      </c>
    </row>
    <row r="434" spans="1:8" outlineLevel="2" x14ac:dyDescent="0.3">
      <c r="A434" s="6">
        <v>5</v>
      </c>
      <c r="B434" t="s">
        <v>408</v>
      </c>
      <c r="C434" s="9" t="s">
        <v>963</v>
      </c>
      <c r="D434" s="9">
        <v>68</v>
      </c>
      <c r="E434" s="9" t="s">
        <v>1804</v>
      </c>
      <c r="F434" t="s">
        <v>468</v>
      </c>
      <c r="G434" t="s">
        <v>54</v>
      </c>
      <c r="H434" t="s">
        <v>1682</v>
      </c>
    </row>
    <row r="435" spans="1:8" outlineLevel="2" x14ac:dyDescent="0.3">
      <c r="A435" s="6">
        <v>5</v>
      </c>
      <c r="B435" t="s">
        <v>408</v>
      </c>
      <c r="C435" s="9" t="s">
        <v>963</v>
      </c>
      <c r="D435" s="9">
        <v>68</v>
      </c>
      <c r="E435" s="9" t="s">
        <v>1804</v>
      </c>
      <c r="F435" t="s">
        <v>469</v>
      </c>
      <c r="G435" t="s">
        <v>470</v>
      </c>
      <c r="H435" t="s">
        <v>1685</v>
      </c>
    </row>
    <row r="436" spans="1:8" outlineLevel="2" x14ac:dyDescent="0.3">
      <c r="A436" s="6">
        <v>5</v>
      </c>
      <c r="B436" t="s">
        <v>408</v>
      </c>
      <c r="C436" s="9" t="s">
        <v>963</v>
      </c>
      <c r="D436" s="9">
        <v>60</v>
      </c>
      <c r="E436" s="9" t="s">
        <v>1804</v>
      </c>
      <c r="F436" t="s">
        <v>358</v>
      </c>
      <c r="G436" t="s">
        <v>359</v>
      </c>
      <c r="H436" t="s">
        <v>1021</v>
      </c>
    </row>
    <row r="437" spans="1:8" outlineLevel="2" x14ac:dyDescent="0.3">
      <c r="A437" s="6">
        <v>5</v>
      </c>
      <c r="B437" t="s">
        <v>408</v>
      </c>
      <c r="C437" s="9" t="s">
        <v>963</v>
      </c>
      <c r="D437" s="9">
        <v>68</v>
      </c>
      <c r="E437" s="9" t="s">
        <v>1804</v>
      </c>
      <c r="F437" t="s">
        <v>472</v>
      </c>
      <c r="G437" t="s">
        <v>473</v>
      </c>
      <c r="H437" t="s">
        <v>1686</v>
      </c>
    </row>
    <row r="438" spans="1:8" outlineLevel="2" x14ac:dyDescent="0.3">
      <c r="A438" s="6">
        <v>5</v>
      </c>
      <c r="B438" t="s">
        <v>408</v>
      </c>
      <c r="C438" s="9" t="s">
        <v>963</v>
      </c>
      <c r="D438" s="9">
        <v>62</v>
      </c>
      <c r="E438" s="9" t="s">
        <v>1804</v>
      </c>
      <c r="F438" t="s">
        <v>405</v>
      </c>
      <c r="G438" t="s">
        <v>260</v>
      </c>
      <c r="H438" t="s">
        <v>1022</v>
      </c>
    </row>
    <row r="439" spans="1:8" outlineLevel="2" x14ac:dyDescent="0.3">
      <c r="A439" s="6">
        <v>5</v>
      </c>
      <c r="B439" t="s">
        <v>408</v>
      </c>
      <c r="C439" s="9" t="s">
        <v>963</v>
      </c>
      <c r="D439" s="9">
        <v>64</v>
      </c>
      <c r="E439" s="9" t="s">
        <v>1804</v>
      </c>
      <c r="F439" t="s">
        <v>475</v>
      </c>
      <c r="G439" t="s">
        <v>476</v>
      </c>
      <c r="H439" t="s">
        <v>1127</v>
      </c>
    </row>
    <row r="440" spans="1:8" outlineLevel="2" x14ac:dyDescent="0.3">
      <c r="A440" s="6">
        <v>5</v>
      </c>
      <c r="B440" t="s">
        <v>408</v>
      </c>
      <c r="C440" s="9" t="s">
        <v>963</v>
      </c>
      <c r="D440" s="9">
        <v>64</v>
      </c>
      <c r="E440" s="9" t="s">
        <v>1804</v>
      </c>
      <c r="F440" t="s">
        <v>478</v>
      </c>
      <c r="G440" t="s">
        <v>479</v>
      </c>
      <c r="H440" t="s">
        <v>1128</v>
      </c>
    </row>
    <row r="441" spans="1:8" outlineLevel="2" x14ac:dyDescent="0.3">
      <c r="A441" s="6">
        <v>5</v>
      </c>
      <c r="B441" t="s">
        <v>408</v>
      </c>
      <c r="C441" s="9" t="s">
        <v>963</v>
      </c>
      <c r="D441" s="9">
        <v>60</v>
      </c>
      <c r="E441" s="9" t="s">
        <v>1804</v>
      </c>
      <c r="F441" t="s">
        <v>367</v>
      </c>
      <c r="G441" t="s">
        <v>368</v>
      </c>
      <c r="H441" t="s">
        <v>1688</v>
      </c>
    </row>
    <row r="442" spans="1:8" outlineLevel="2" x14ac:dyDescent="0.3">
      <c r="A442" s="6">
        <v>5</v>
      </c>
      <c r="B442" t="s">
        <v>408</v>
      </c>
      <c r="C442" s="9" t="s">
        <v>963</v>
      </c>
      <c r="D442" s="9">
        <v>64</v>
      </c>
      <c r="E442" s="9" t="s">
        <v>1804</v>
      </c>
      <c r="F442" t="s">
        <v>372</v>
      </c>
      <c r="G442" t="s">
        <v>312</v>
      </c>
      <c r="H442" t="s">
        <v>973</v>
      </c>
    </row>
    <row r="443" spans="1:8" outlineLevel="2" x14ac:dyDescent="0.3">
      <c r="A443" s="6">
        <v>5</v>
      </c>
      <c r="B443" t="s">
        <v>408</v>
      </c>
      <c r="C443" s="9" t="s">
        <v>963</v>
      </c>
      <c r="D443" s="9">
        <v>64</v>
      </c>
      <c r="E443" s="9" t="s">
        <v>1804</v>
      </c>
      <c r="F443" t="s">
        <v>125</v>
      </c>
      <c r="G443" t="s">
        <v>126</v>
      </c>
      <c r="H443" t="s">
        <v>1581</v>
      </c>
    </row>
    <row r="444" spans="1:8" outlineLevel="2" x14ac:dyDescent="0.3">
      <c r="A444" s="6">
        <v>5</v>
      </c>
      <c r="B444" t="s">
        <v>408</v>
      </c>
      <c r="C444" s="9" t="s">
        <v>963</v>
      </c>
      <c r="D444" s="9">
        <v>60</v>
      </c>
      <c r="E444" s="9" t="s">
        <v>1804</v>
      </c>
      <c r="F444" t="s">
        <v>128</v>
      </c>
      <c r="G444" t="s">
        <v>129</v>
      </c>
      <c r="H444" t="s">
        <v>1582</v>
      </c>
    </row>
    <row r="445" spans="1:8" outlineLevel="2" x14ac:dyDescent="0.3">
      <c r="A445" s="6">
        <v>5</v>
      </c>
      <c r="B445" t="s">
        <v>408</v>
      </c>
      <c r="C445" s="9" t="s">
        <v>963</v>
      </c>
      <c r="D445" s="9">
        <v>60</v>
      </c>
      <c r="E445" s="9" t="s">
        <v>1804</v>
      </c>
      <c r="F445" t="s">
        <v>131</v>
      </c>
      <c r="G445" t="s">
        <v>376</v>
      </c>
      <c r="H445" t="s">
        <v>1818</v>
      </c>
    </row>
    <row r="446" spans="1:8" outlineLevel="1" x14ac:dyDescent="0.3">
      <c r="A446" s="16" t="s">
        <v>2191</v>
      </c>
      <c r="H446">
        <f>SUBTOTAL(3,H352:H445)</f>
        <v>94</v>
      </c>
    </row>
    <row r="447" spans="1:8" outlineLevel="2" x14ac:dyDescent="0.3">
      <c r="A447" s="6">
        <v>6</v>
      </c>
      <c r="B447" t="s">
        <v>380</v>
      </c>
      <c r="C447" s="9" t="s">
        <v>932</v>
      </c>
      <c r="D447" s="9">
        <v>27</v>
      </c>
      <c r="E447" s="9" t="s">
        <v>1804</v>
      </c>
      <c r="F447" t="s">
        <v>381</v>
      </c>
      <c r="G447" t="s">
        <v>382</v>
      </c>
      <c r="H447" t="s">
        <v>1230</v>
      </c>
    </row>
    <row r="448" spans="1:8" outlineLevel="2" x14ac:dyDescent="0.3">
      <c r="A448" s="6">
        <v>6</v>
      </c>
      <c r="B448" t="s">
        <v>380</v>
      </c>
      <c r="C448" s="9" t="s">
        <v>932</v>
      </c>
      <c r="D448" s="9">
        <v>37</v>
      </c>
      <c r="E448" s="9" t="s">
        <v>1804</v>
      </c>
      <c r="F448" t="s">
        <v>198</v>
      </c>
      <c r="G448" t="s">
        <v>196</v>
      </c>
      <c r="H448" t="s">
        <v>1267</v>
      </c>
    </row>
    <row r="449" spans="1:8" outlineLevel="2" x14ac:dyDescent="0.3">
      <c r="A449" s="6">
        <v>6</v>
      </c>
      <c r="B449" t="s">
        <v>380</v>
      </c>
      <c r="C449" s="9" t="s">
        <v>932</v>
      </c>
      <c r="D449" s="9">
        <v>42</v>
      </c>
      <c r="E449" s="9" t="s">
        <v>1804</v>
      </c>
      <c r="F449" t="s">
        <v>14</v>
      </c>
      <c r="G449" t="s">
        <v>15</v>
      </c>
      <c r="H449" t="s">
        <v>1290</v>
      </c>
    </row>
    <row r="450" spans="1:8" outlineLevel="2" x14ac:dyDescent="0.3">
      <c r="A450" s="6">
        <v>6</v>
      </c>
      <c r="B450" t="s">
        <v>380</v>
      </c>
      <c r="C450" s="9" t="s">
        <v>932</v>
      </c>
      <c r="D450" s="9">
        <v>12</v>
      </c>
      <c r="E450" s="9" t="s">
        <v>1804</v>
      </c>
      <c r="F450" t="s">
        <v>204</v>
      </c>
      <c r="G450" t="s">
        <v>15</v>
      </c>
      <c r="H450" t="s">
        <v>1292</v>
      </c>
    </row>
    <row r="451" spans="1:8" outlineLevel="2" x14ac:dyDescent="0.3">
      <c r="A451" s="6">
        <v>6</v>
      </c>
      <c r="B451" t="s">
        <v>380</v>
      </c>
      <c r="C451" s="9" t="s">
        <v>932</v>
      </c>
      <c r="D451" s="9">
        <v>27</v>
      </c>
      <c r="E451" s="9" t="s">
        <v>1804</v>
      </c>
      <c r="F451" t="s">
        <v>384</v>
      </c>
      <c r="G451" t="s">
        <v>1819</v>
      </c>
      <c r="H451" t="s">
        <v>1820</v>
      </c>
    </row>
    <row r="452" spans="1:8" outlineLevel="2" x14ac:dyDescent="0.3">
      <c r="A452" s="6">
        <v>6</v>
      </c>
      <c r="B452" t="s">
        <v>380</v>
      </c>
      <c r="C452" s="9" t="s">
        <v>932</v>
      </c>
      <c r="D452" s="9">
        <v>24</v>
      </c>
      <c r="E452" s="9" t="s">
        <v>1804</v>
      </c>
      <c r="F452" t="s">
        <v>385</v>
      </c>
      <c r="G452" t="s">
        <v>386</v>
      </c>
      <c r="H452" t="s">
        <v>1421</v>
      </c>
    </row>
    <row r="453" spans="1:8" outlineLevel="2" x14ac:dyDescent="0.3">
      <c r="A453" s="6">
        <v>6</v>
      </c>
      <c r="B453" t="s">
        <v>380</v>
      </c>
      <c r="C453" s="9" t="s">
        <v>932</v>
      </c>
      <c r="D453" s="9">
        <v>18</v>
      </c>
      <c r="E453" s="9" t="s">
        <v>1804</v>
      </c>
      <c r="F453" t="s">
        <v>388</v>
      </c>
      <c r="G453" t="s">
        <v>386</v>
      </c>
      <c r="H453" t="s">
        <v>1425</v>
      </c>
    </row>
    <row r="454" spans="1:8" outlineLevel="2" x14ac:dyDescent="0.3">
      <c r="A454" s="6">
        <v>6</v>
      </c>
      <c r="B454" t="s">
        <v>380</v>
      </c>
      <c r="C454" s="9" t="s">
        <v>932</v>
      </c>
      <c r="D454" s="9">
        <v>18</v>
      </c>
      <c r="E454" s="9" t="s">
        <v>1804</v>
      </c>
      <c r="F454" t="s">
        <v>217</v>
      </c>
      <c r="G454" t="s">
        <v>168</v>
      </c>
      <c r="H454" t="s">
        <v>1442</v>
      </c>
    </row>
    <row r="455" spans="1:8" outlineLevel="2" x14ac:dyDescent="0.3">
      <c r="A455" s="6">
        <v>6</v>
      </c>
      <c r="B455" t="s">
        <v>380</v>
      </c>
      <c r="C455" s="9" t="s">
        <v>932</v>
      </c>
      <c r="D455" s="9">
        <v>18</v>
      </c>
      <c r="E455" s="9" t="s">
        <v>1804</v>
      </c>
      <c r="F455" t="s">
        <v>389</v>
      </c>
      <c r="G455" t="s">
        <v>171</v>
      </c>
      <c r="H455" t="s">
        <v>1447</v>
      </c>
    </row>
    <row r="456" spans="1:8" outlineLevel="2" x14ac:dyDescent="0.3">
      <c r="A456" s="6">
        <v>6</v>
      </c>
      <c r="B456" t="s">
        <v>380</v>
      </c>
      <c r="C456" s="9" t="s">
        <v>932</v>
      </c>
      <c r="D456" s="9">
        <v>33</v>
      </c>
      <c r="E456" s="9" t="s">
        <v>1804</v>
      </c>
      <c r="F456" t="s">
        <v>390</v>
      </c>
      <c r="G456" t="s">
        <v>391</v>
      </c>
      <c r="H456" t="s">
        <v>1449</v>
      </c>
    </row>
    <row r="457" spans="1:8" outlineLevel="2" x14ac:dyDescent="0.3">
      <c r="A457" s="6">
        <v>6</v>
      </c>
      <c r="B457" t="s">
        <v>380</v>
      </c>
      <c r="C457" s="9" t="s">
        <v>932</v>
      </c>
      <c r="D457" s="9">
        <v>32</v>
      </c>
      <c r="E457" s="9" t="s">
        <v>1804</v>
      </c>
      <c r="F457" t="s">
        <v>219</v>
      </c>
      <c r="G457" t="s">
        <v>32</v>
      </c>
      <c r="H457" t="s">
        <v>1484</v>
      </c>
    </row>
    <row r="458" spans="1:8" outlineLevel="2" x14ac:dyDescent="0.3">
      <c r="A458" s="6">
        <v>6</v>
      </c>
      <c r="B458" t="s">
        <v>380</v>
      </c>
      <c r="C458" s="9" t="s">
        <v>932</v>
      </c>
      <c r="D458" s="9">
        <v>30</v>
      </c>
      <c r="E458" s="9" t="s">
        <v>1804</v>
      </c>
      <c r="F458" t="s">
        <v>35</v>
      </c>
      <c r="G458" t="s">
        <v>32</v>
      </c>
      <c r="H458" t="s">
        <v>1489</v>
      </c>
    </row>
    <row r="459" spans="1:8" outlineLevel="2" x14ac:dyDescent="0.3">
      <c r="A459" s="6">
        <v>6</v>
      </c>
      <c r="B459" t="s">
        <v>380</v>
      </c>
      <c r="C459" s="9" t="s">
        <v>932</v>
      </c>
      <c r="D459" s="9">
        <v>32</v>
      </c>
      <c r="E459" s="9" t="s">
        <v>1804</v>
      </c>
      <c r="F459" t="s">
        <v>221</v>
      </c>
      <c r="G459" t="s">
        <v>32</v>
      </c>
      <c r="H459" t="s">
        <v>1490</v>
      </c>
    </row>
    <row r="460" spans="1:8" outlineLevel="2" x14ac:dyDescent="0.3">
      <c r="A460" s="6">
        <v>6</v>
      </c>
      <c r="B460" t="s">
        <v>380</v>
      </c>
      <c r="C460" s="9" t="s">
        <v>932</v>
      </c>
      <c r="D460" s="9">
        <v>24</v>
      </c>
      <c r="E460" s="9" t="s">
        <v>1804</v>
      </c>
      <c r="F460" t="s">
        <v>393</v>
      </c>
      <c r="G460" t="s">
        <v>108</v>
      </c>
      <c r="H460" t="s">
        <v>1156</v>
      </c>
    </row>
    <row r="461" spans="1:8" outlineLevel="2" x14ac:dyDescent="0.3">
      <c r="A461" s="6">
        <v>6</v>
      </c>
      <c r="B461" t="s">
        <v>380</v>
      </c>
      <c r="C461" s="9" t="s">
        <v>932</v>
      </c>
      <c r="D461" s="9">
        <v>27</v>
      </c>
      <c r="E461" s="9" t="s">
        <v>1804</v>
      </c>
      <c r="F461" t="s">
        <v>40</v>
      </c>
      <c r="G461" t="s">
        <v>41</v>
      </c>
      <c r="H461" t="s">
        <v>1169</v>
      </c>
    </row>
    <row r="462" spans="1:8" outlineLevel="2" x14ac:dyDescent="0.3">
      <c r="A462" s="6">
        <v>6</v>
      </c>
      <c r="B462" t="s">
        <v>380</v>
      </c>
      <c r="C462" s="9" t="s">
        <v>932</v>
      </c>
      <c r="D462" s="9">
        <v>24</v>
      </c>
      <c r="E462" s="9" t="s">
        <v>1804</v>
      </c>
      <c r="F462" t="s">
        <v>232</v>
      </c>
      <c r="G462" t="s">
        <v>144</v>
      </c>
      <c r="H462" t="s">
        <v>1171</v>
      </c>
    </row>
    <row r="463" spans="1:8" outlineLevel="2" x14ac:dyDescent="0.3">
      <c r="A463" s="6">
        <v>6</v>
      </c>
      <c r="B463" t="s">
        <v>380</v>
      </c>
      <c r="C463" s="9" t="s">
        <v>932</v>
      </c>
      <c r="D463" s="9">
        <v>25</v>
      </c>
      <c r="E463" s="9" t="s">
        <v>1804</v>
      </c>
      <c r="F463" t="s">
        <v>394</v>
      </c>
      <c r="G463" t="s">
        <v>112</v>
      </c>
      <c r="H463" t="s">
        <v>1172</v>
      </c>
    </row>
    <row r="464" spans="1:8" outlineLevel="2" x14ac:dyDescent="0.3">
      <c r="A464" s="6">
        <v>6</v>
      </c>
      <c r="B464" t="s">
        <v>380</v>
      </c>
      <c r="C464" s="9" t="s">
        <v>932</v>
      </c>
      <c r="D464" s="9">
        <v>15</v>
      </c>
      <c r="E464" s="9" t="s">
        <v>1804</v>
      </c>
      <c r="F464" t="s">
        <v>43</v>
      </c>
      <c r="G464" t="s">
        <v>44</v>
      </c>
      <c r="H464" t="s">
        <v>1050</v>
      </c>
    </row>
    <row r="465" spans="1:8" outlineLevel="2" x14ac:dyDescent="0.3">
      <c r="A465" s="6">
        <v>6</v>
      </c>
      <c r="B465" t="s">
        <v>380</v>
      </c>
      <c r="C465" s="9" t="s">
        <v>932</v>
      </c>
      <c r="D465" s="9">
        <v>26</v>
      </c>
      <c r="E465" s="9" t="s">
        <v>1804</v>
      </c>
      <c r="F465" t="s">
        <v>271</v>
      </c>
      <c r="G465" t="s">
        <v>269</v>
      </c>
      <c r="H465" t="s">
        <v>1646</v>
      </c>
    </row>
    <row r="466" spans="1:8" outlineLevel="2" x14ac:dyDescent="0.3">
      <c r="A466" s="6">
        <v>6</v>
      </c>
      <c r="B466" t="s">
        <v>380</v>
      </c>
      <c r="C466" s="9" t="s">
        <v>932</v>
      </c>
      <c r="D466" s="9">
        <v>15</v>
      </c>
      <c r="E466" s="9" t="s">
        <v>1804</v>
      </c>
      <c r="F466" t="s">
        <v>62</v>
      </c>
      <c r="G466" t="s">
        <v>63</v>
      </c>
      <c r="H466" t="s">
        <v>1103</v>
      </c>
    </row>
    <row r="467" spans="1:8" outlineLevel="2" x14ac:dyDescent="0.3">
      <c r="A467" s="6">
        <v>6</v>
      </c>
      <c r="B467" t="s">
        <v>380</v>
      </c>
      <c r="C467" s="9" t="s">
        <v>932</v>
      </c>
      <c r="D467" s="9">
        <v>28</v>
      </c>
      <c r="E467" s="9" t="s">
        <v>1804</v>
      </c>
      <c r="F467" t="s">
        <v>395</v>
      </c>
      <c r="G467" t="s">
        <v>396</v>
      </c>
      <c r="H467" t="s">
        <v>1564</v>
      </c>
    </row>
    <row r="468" spans="1:8" outlineLevel="2" x14ac:dyDescent="0.3">
      <c r="A468" s="6">
        <v>6</v>
      </c>
      <c r="B468" t="s">
        <v>380</v>
      </c>
      <c r="C468" s="9" t="s">
        <v>1807</v>
      </c>
      <c r="D468" s="9">
        <v>538</v>
      </c>
      <c r="E468" s="9" t="s">
        <v>1808</v>
      </c>
      <c r="F468" t="s">
        <v>75</v>
      </c>
      <c r="G468" t="s">
        <v>76</v>
      </c>
      <c r="H468" t="s">
        <v>1549</v>
      </c>
    </row>
    <row r="469" spans="1:8" outlineLevel="2" x14ac:dyDescent="0.3">
      <c r="A469" s="6">
        <v>6</v>
      </c>
      <c r="B469" t="s">
        <v>380</v>
      </c>
      <c r="C469" s="9" t="s">
        <v>963</v>
      </c>
      <c r="D469" s="9">
        <v>88</v>
      </c>
      <c r="E469" s="9" t="s">
        <v>1804</v>
      </c>
      <c r="F469" t="s">
        <v>84</v>
      </c>
      <c r="G469" t="s">
        <v>85</v>
      </c>
      <c r="H469" t="s">
        <v>1342</v>
      </c>
    </row>
    <row r="470" spans="1:8" outlineLevel="2" x14ac:dyDescent="0.3">
      <c r="A470" s="6">
        <v>6</v>
      </c>
      <c r="B470" t="s">
        <v>380</v>
      </c>
      <c r="C470" s="9" t="s">
        <v>963</v>
      </c>
      <c r="D470" s="9">
        <v>70</v>
      </c>
      <c r="E470" s="9" t="s">
        <v>1804</v>
      </c>
      <c r="F470" t="s">
        <v>325</v>
      </c>
      <c r="G470" t="s">
        <v>196</v>
      </c>
      <c r="H470" t="s">
        <v>1344</v>
      </c>
    </row>
    <row r="471" spans="1:8" outlineLevel="2" x14ac:dyDescent="0.3">
      <c r="A471" s="6">
        <v>6</v>
      </c>
      <c r="B471" t="s">
        <v>380</v>
      </c>
      <c r="C471" s="9" t="s">
        <v>963</v>
      </c>
      <c r="D471" s="9">
        <v>77</v>
      </c>
      <c r="E471" s="9" t="s">
        <v>1804</v>
      </c>
      <c r="F471" t="s">
        <v>328</v>
      </c>
      <c r="G471" t="s">
        <v>329</v>
      </c>
      <c r="H471" t="s">
        <v>1350</v>
      </c>
    </row>
    <row r="472" spans="1:8" outlineLevel="2" x14ac:dyDescent="0.3">
      <c r="A472" s="6">
        <v>6</v>
      </c>
      <c r="B472" t="s">
        <v>380</v>
      </c>
      <c r="C472" s="9" t="s">
        <v>963</v>
      </c>
      <c r="D472" s="9">
        <v>73</v>
      </c>
      <c r="E472" s="9" t="s">
        <v>1804</v>
      </c>
      <c r="F472" t="s">
        <v>90</v>
      </c>
      <c r="G472" t="s">
        <v>15</v>
      </c>
      <c r="H472" t="s">
        <v>1351</v>
      </c>
    </row>
    <row r="473" spans="1:8" outlineLevel="2" x14ac:dyDescent="0.3">
      <c r="A473" s="6">
        <v>6</v>
      </c>
      <c r="B473" t="s">
        <v>380</v>
      </c>
      <c r="C473" s="9" t="s">
        <v>963</v>
      </c>
      <c r="D473" s="9">
        <v>77</v>
      </c>
      <c r="E473" s="9" t="s">
        <v>1804</v>
      </c>
      <c r="F473" t="s">
        <v>91</v>
      </c>
      <c r="G473" t="s">
        <v>92</v>
      </c>
      <c r="H473" t="s">
        <v>1353</v>
      </c>
    </row>
    <row r="474" spans="1:8" outlineLevel="2" x14ac:dyDescent="0.3">
      <c r="A474" s="6">
        <v>6</v>
      </c>
      <c r="B474" t="s">
        <v>380</v>
      </c>
      <c r="C474" s="9" t="s">
        <v>963</v>
      </c>
      <c r="D474" s="9">
        <v>76</v>
      </c>
      <c r="E474" s="9" t="s">
        <v>1804</v>
      </c>
      <c r="F474" t="s">
        <v>94</v>
      </c>
      <c r="G474" t="s">
        <v>95</v>
      </c>
      <c r="H474" t="s">
        <v>1355</v>
      </c>
    </row>
    <row r="475" spans="1:8" outlineLevel="2" x14ac:dyDescent="0.3">
      <c r="A475" s="6">
        <v>6</v>
      </c>
      <c r="B475" t="s">
        <v>380</v>
      </c>
      <c r="C475" s="9" t="s">
        <v>963</v>
      </c>
      <c r="D475" s="9">
        <v>65</v>
      </c>
      <c r="E475" s="9" t="s">
        <v>1804</v>
      </c>
      <c r="F475" t="s">
        <v>399</v>
      </c>
      <c r="G475" t="s">
        <v>1819</v>
      </c>
      <c r="H475" t="s">
        <v>1420</v>
      </c>
    </row>
    <row r="476" spans="1:8" outlineLevel="2" x14ac:dyDescent="0.3">
      <c r="A476" s="6">
        <v>6</v>
      </c>
      <c r="B476" t="s">
        <v>380</v>
      </c>
      <c r="C476" s="9" t="s">
        <v>963</v>
      </c>
      <c r="D476" s="9">
        <v>72</v>
      </c>
      <c r="E476" s="9" t="s">
        <v>1804</v>
      </c>
      <c r="F476" t="s">
        <v>101</v>
      </c>
      <c r="G476" t="s">
        <v>102</v>
      </c>
      <c r="H476" t="s">
        <v>1365</v>
      </c>
    </row>
    <row r="477" spans="1:8" outlineLevel="2" x14ac:dyDescent="0.3">
      <c r="A477" s="6">
        <v>6</v>
      </c>
      <c r="B477" t="s">
        <v>380</v>
      </c>
      <c r="C477" s="9" t="s">
        <v>963</v>
      </c>
      <c r="D477" s="9">
        <v>60</v>
      </c>
      <c r="E477" s="9" t="s">
        <v>1804</v>
      </c>
      <c r="F477" t="s">
        <v>400</v>
      </c>
      <c r="G477" t="s">
        <v>401</v>
      </c>
      <c r="H477" t="s">
        <v>1185</v>
      </c>
    </row>
    <row r="478" spans="1:8" outlineLevel="2" x14ac:dyDescent="0.3">
      <c r="A478" s="6">
        <v>6</v>
      </c>
      <c r="B478" t="s">
        <v>380</v>
      </c>
      <c r="C478" s="9" t="s">
        <v>963</v>
      </c>
      <c r="D478" s="9">
        <v>60</v>
      </c>
      <c r="E478" s="9" t="s">
        <v>1804</v>
      </c>
      <c r="F478" t="s">
        <v>403</v>
      </c>
      <c r="G478" t="s">
        <v>386</v>
      </c>
      <c r="H478" t="s">
        <v>1432</v>
      </c>
    </row>
    <row r="479" spans="1:8" outlineLevel="2" x14ac:dyDescent="0.3">
      <c r="A479" s="6">
        <v>6</v>
      </c>
      <c r="B479" t="s">
        <v>380</v>
      </c>
      <c r="C479" s="9" t="s">
        <v>963</v>
      </c>
      <c r="D479" s="9">
        <v>63</v>
      </c>
      <c r="E479" s="9" t="s">
        <v>1804</v>
      </c>
      <c r="F479" t="s">
        <v>105</v>
      </c>
      <c r="G479" t="s">
        <v>171</v>
      </c>
      <c r="H479" t="s">
        <v>1535</v>
      </c>
    </row>
    <row r="480" spans="1:8" outlineLevel="2" x14ac:dyDescent="0.3">
      <c r="A480" s="6">
        <v>6</v>
      </c>
      <c r="B480" t="s">
        <v>380</v>
      </c>
      <c r="C480" s="9" t="s">
        <v>963</v>
      </c>
      <c r="D480" s="9">
        <v>63</v>
      </c>
      <c r="E480" s="9" t="s">
        <v>1804</v>
      </c>
      <c r="F480" t="s">
        <v>404</v>
      </c>
      <c r="G480" t="s">
        <v>115</v>
      </c>
      <c r="H480" t="s">
        <v>1536</v>
      </c>
    </row>
    <row r="481" spans="1:8" outlineLevel="2" x14ac:dyDescent="0.3">
      <c r="A481" s="6">
        <v>6</v>
      </c>
      <c r="B481" t="s">
        <v>380</v>
      </c>
      <c r="C481" s="9" t="s">
        <v>963</v>
      </c>
      <c r="D481" s="9">
        <v>60</v>
      </c>
      <c r="E481" s="9" t="s">
        <v>1804</v>
      </c>
      <c r="F481" t="s">
        <v>106</v>
      </c>
      <c r="G481" t="s">
        <v>32</v>
      </c>
      <c r="H481" t="s">
        <v>1537</v>
      </c>
    </row>
    <row r="482" spans="1:8" outlineLevel="2" x14ac:dyDescent="0.3">
      <c r="A482" s="6">
        <v>6</v>
      </c>
      <c r="B482" t="s">
        <v>380</v>
      </c>
      <c r="C482" s="9" t="s">
        <v>963</v>
      </c>
      <c r="D482" s="9">
        <v>60</v>
      </c>
      <c r="E482" s="9" t="s">
        <v>1804</v>
      </c>
      <c r="F482" t="s">
        <v>107</v>
      </c>
      <c r="G482" t="s">
        <v>108</v>
      </c>
      <c r="H482" t="s">
        <v>1140</v>
      </c>
    </row>
    <row r="483" spans="1:8" outlineLevel="2" x14ac:dyDescent="0.3">
      <c r="A483" s="6">
        <v>6</v>
      </c>
      <c r="B483" t="s">
        <v>380</v>
      </c>
      <c r="C483" s="9" t="s">
        <v>963</v>
      </c>
      <c r="D483" s="9">
        <v>64</v>
      </c>
      <c r="E483" s="9" t="s">
        <v>1804</v>
      </c>
      <c r="F483" t="s">
        <v>352</v>
      </c>
      <c r="G483" t="s">
        <v>41</v>
      </c>
      <c r="H483" t="s">
        <v>1144</v>
      </c>
    </row>
    <row r="484" spans="1:8" outlineLevel="2" x14ac:dyDescent="0.3">
      <c r="A484" s="6">
        <v>6</v>
      </c>
      <c r="B484" t="s">
        <v>380</v>
      </c>
      <c r="C484" s="9" t="s">
        <v>963</v>
      </c>
      <c r="D484" s="9">
        <v>66</v>
      </c>
      <c r="E484" s="9" t="s">
        <v>1804</v>
      </c>
      <c r="F484" t="s">
        <v>353</v>
      </c>
      <c r="G484" t="s">
        <v>354</v>
      </c>
      <c r="H484" t="s">
        <v>1020</v>
      </c>
    </row>
    <row r="485" spans="1:8" outlineLevel="2" x14ac:dyDescent="0.3">
      <c r="A485" s="6">
        <v>6</v>
      </c>
      <c r="B485" t="s">
        <v>380</v>
      </c>
      <c r="C485" s="9" t="s">
        <v>963</v>
      </c>
      <c r="D485" s="9">
        <v>62</v>
      </c>
      <c r="E485" s="9" t="s">
        <v>1804</v>
      </c>
      <c r="F485" t="s">
        <v>405</v>
      </c>
      <c r="G485" t="s">
        <v>260</v>
      </c>
      <c r="H485" t="s">
        <v>1022</v>
      </c>
    </row>
    <row r="486" spans="1:8" outlineLevel="2" x14ac:dyDescent="0.3">
      <c r="A486" s="6">
        <v>6</v>
      </c>
      <c r="B486" t="s">
        <v>380</v>
      </c>
      <c r="C486" s="9" t="s">
        <v>963</v>
      </c>
      <c r="D486" s="9">
        <v>64</v>
      </c>
      <c r="E486" s="9" t="s">
        <v>1804</v>
      </c>
      <c r="F486" t="s">
        <v>406</v>
      </c>
      <c r="G486" t="s">
        <v>269</v>
      </c>
      <c r="H486" t="s">
        <v>1687</v>
      </c>
    </row>
    <row r="487" spans="1:8" outlineLevel="2" x14ac:dyDescent="0.3">
      <c r="A487" s="6">
        <v>6</v>
      </c>
      <c r="B487" t="s">
        <v>380</v>
      </c>
      <c r="C487" s="9" t="s">
        <v>963</v>
      </c>
      <c r="D487" s="9">
        <v>63</v>
      </c>
      <c r="E487" s="9" t="s">
        <v>1804</v>
      </c>
      <c r="F487" t="s">
        <v>124</v>
      </c>
      <c r="G487" t="s">
        <v>572</v>
      </c>
      <c r="H487" t="s">
        <v>1024</v>
      </c>
    </row>
    <row r="488" spans="1:8" outlineLevel="2" x14ac:dyDescent="0.3">
      <c r="A488" s="6">
        <v>6</v>
      </c>
      <c r="B488" t="s">
        <v>380</v>
      </c>
      <c r="C488" s="9" t="s">
        <v>963</v>
      </c>
      <c r="D488" s="9">
        <v>64</v>
      </c>
      <c r="E488" s="9" t="s">
        <v>1804</v>
      </c>
      <c r="F488" t="s">
        <v>125</v>
      </c>
      <c r="G488" t="s">
        <v>126</v>
      </c>
      <c r="H488" t="s">
        <v>1581</v>
      </c>
    </row>
    <row r="489" spans="1:8" outlineLevel="2" x14ac:dyDescent="0.3">
      <c r="A489" s="6">
        <v>6</v>
      </c>
      <c r="B489" t="s">
        <v>380</v>
      </c>
      <c r="C489" s="9" t="s">
        <v>963</v>
      </c>
      <c r="D489" s="9">
        <v>60</v>
      </c>
      <c r="E489" s="9" t="s">
        <v>1804</v>
      </c>
      <c r="F489" t="s">
        <v>128</v>
      </c>
      <c r="G489" t="s">
        <v>129</v>
      </c>
      <c r="H489" t="s">
        <v>1582</v>
      </c>
    </row>
    <row r="490" spans="1:8" outlineLevel="2" x14ac:dyDescent="0.3">
      <c r="A490" s="6">
        <v>6</v>
      </c>
      <c r="B490" t="s">
        <v>380</v>
      </c>
      <c r="C490" s="9" t="s">
        <v>963</v>
      </c>
      <c r="D490" s="9">
        <v>60</v>
      </c>
      <c r="E490" s="9" t="s">
        <v>1804</v>
      </c>
      <c r="F490" t="s">
        <v>407</v>
      </c>
      <c r="G490" t="s">
        <v>396</v>
      </c>
      <c r="H490" t="s">
        <v>1583</v>
      </c>
    </row>
    <row r="491" spans="1:8" outlineLevel="2" x14ac:dyDescent="0.3">
      <c r="A491" s="6">
        <v>6</v>
      </c>
      <c r="B491" t="s">
        <v>380</v>
      </c>
      <c r="C491" s="9" t="s">
        <v>963</v>
      </c>
      <c r="D491" s="9">
        <v>60</v>
      </c>
      <c r="E491" s="9" t="s">
        <v>1804</v>
      </c>
      <c r="F491" t="s">
        <v>131</v>
      </c>
      <c r="G491" t="s">
        <v>376</v>
      </c>
      <c r="H491" t="s">
        <v>1818</v>
      </c>
    </row>
    <row r="492" spans="1:8" outlineLevel="1" x14ac:dyDescent="0.3">
      <c r="A492" s="16" t="s">
        <v>2192</v>
      </c>
      <c r="H492">
        <f>SUBTOTAL(3,H447:H491)</f>
        <v>45</v>
      </c>
    </row>
    <row r="493" spans="1:8" outlineLevel="2" x14ac:dyDescent="0.3">
      <c r="A493" s="6">
        <v>7</v>
      </c>
      <c r="B493" t="s">
        <v>175</v>
      </c>
      <c r="C493" s="9" t="s">
        <v>932</v>
      </c>
      <c r="D493" s="9">
        <v>12</v>
      </c>
      <c r="E493" s="9" t="s">
        <v>1804</v>
      </c>
      <c r="F493" t="s">
        <v>143</v>
      </c>
      <c r="G493" t="s">
        <v>144</v>
      </c>
      <c r="H493" t="s">
        <v>1694</v>
      </c>
    </row>
    <row r="494" spans="1:8" outlineLevel="2" x14ac:dyDescent="0.3">
      <c r="A494" s="6">
        <v>7</v>
      </c>
      <c r="B494" t="s">
        <v>175</v>
      </c>
      <c r="C494" s="9" t="s">
        <v>932</v>
      </c>
      <c r="D494" s="9">
        <v>15</v>
      </c>
      <c r="E494" s="9" t="s">
        <v>1804</v>
      </c>
      <c r="F494" t="s">
        <v>149</v>
      </c>
      <c r="G494" t="s">
        <v>147</v>
      </c>
      <c r="H494" t="s">
        <v>1378</v>
      </c>
    </row>
    <row r="495" spans="1:8" outlineLevel="2" x14ac:dyDescent="0.3">
      <c r="A495" s="6">
        <v>7</v>
      </c>
      <c r="B495" t="s">
        <v>175</v>
      </c>
      <c r="C495" s="9" t="s">
        <v>932</v>
      </c>
      <c r="D495" s="9">
        <v>13</v>
      </c>
      <c r="E495" s="9" t="s">
        <v>1804</v>
      </c>
      <c r="F495" t="s">
        <v>150</v>
      </c>
      <c r="G495" t="s">
        <v>147</v>
      </c>
      <c r="H495" t="s">
        <v>1379</v>
      </c>
    </row>
    <row r="496" spans="1:8" outlineLevel="2" x14ac:dyDescent="0.3">
      <c r="A496" s="6">
        <v>7</v>
      </c>
      <c r="B496" t="s">
        <v>175</v>
      </c>
      <c r="C496" s="9" t="s">
        <v>932</v>
      </c>
      <c r="D496" s="9">
        <v>30</v>
      </c>
      <c r="E496" s="9" t="s">
        <v>1804</v>
      </c>
      <c r="F496" t="s">
        <v>176</v>
      </c>
      <c r="G496" t="s">
        <v>177</v>
      </c>
      <c r="H496" t="s">
        <v>1381</v>
      </c>
    </row>
    <row r="497" spans="1:8" outlineLevel="2" x14ac:dyDescent="0.3">
      <c r="A497" s="6">
        <v>7</v>
      </c>
      <c r="B497" t="s">
        <v>175</v>
      </c>
      <c r="C497" s="9" t="s">
        <v>1807</v>
      </c>
      <c r="D497" s="9">
        <v>63</v>
      </c>
      <c r="E497" s="9" t="s">
        <v>1808</v>
      </c>
      <c r="F497" t="s">
        <v>179</v>
      </c>
      <c r="G497" t="s">
        <v>180</v>
      </c>
      <c r="H497" t="s">
        <v>1698</v>
      </c>
    </row>
    <row r="498" spans="1:8" outlineLevel="2" x14ac:dyDescent="0.3">
      <c r="A498" s="6">
        <v>7</v>
      </c>
      <c r="B498" t="s">
        <v>175</v>
      </c>
      <c r="C498" s="9" t="s">
        <v>1807</v>
      </c>
      <c r="D498" s="9">
        <v>40</v>
      </c>
      <c r="E498" s="9" t="s">
        <v>1808</v>
      </c>
      <c r="F498" t="s">
        <v>182</v>
      </c>
      <c r="G498" t="s">
        <v>183</v>
      </c>
      <c r="H498" t="s">
        <v>1240</v>
      </c>
    </row>
    <row r="499" spans="1:8" outlineLevel="2" x14ac:dyDescent="0.3">
      <c r="A499" s="6">
        <v>7</v>
      </c>
      <c r="B499" t="s">
        <v>175</v>
      </c>
      <c r="C499" s="9" t="s">
        <v>1807</v>
      </c>
      <c r="D499" s="9">
        <v>200</v>
      </c>
      <c r="E499" s="9" t="s">
        <v>1808</v>
      </c>
      <c r="F499" t="s">
        <v>185</v>
      </c>
      <c r="G499" t="s">
        <v>183</v>
      </c>
      <c r="H499" t="s">
        <v>1233</v>
      </c>
    </row>
    <row r="500" spans="1:8" outlineLevel="2" x14ac:dyDescent="0.3">
      <c r="A500" s="6">
        <v>7</v>
      </c>
      <c r="B500" t="s">
        <v>175</v>
      </c>
      <c r="C500" s="9" t="s">
        <v>1807</v>
      </c>
      <c r="D500" s="9">
        <v>40</v>
      </c>
      <c r="E500" s="9" t="s">
        <v>1808</v>
      </c>
      <c r="F500" t="s">
        <v>186</v>
      </c>
      <c r="G500" t="s">
        <v>183</v>
      </c>
      <c r="H500" t="s">
        <v>1234</v>
      </c>
    </row>
    <row r="501" spans="1:8" outlineLevel="2" x14ac:dyDescent="0.3">
      <c r="A501" s="6">
        <v>7</v>
      </c>
      <c r="B501" t="s">
        <v>175</v>
      </c>
      <c r="C501" s="9" t="s">
        <v>1807</v>
      </c>
      <c r="D501" s="9">
        <v>40</v>
      </c>
      <c r="E501" s="9" t="s">
        <v>1808</v>
      </c>
      <c r="F501" t="s">
        <v>187</v>
      </c>
      <c r="G501" t="s">
        <v>183</v>
      </c>
      <c r="H501" t="s">
        <v>1235</v>
      </c>
    </row>
    <row r="502" spans="1:8" outlineLevel="2" x14ac:dyDescent="0.3">
      <c r="A502" s="6">
        <v>7</v>
      </c>
      <c r="B502" t="s">
        <v>175</v>
      </c>
      <c r="C502" s="9" t="s">
        <v>1807</v>
      </c>
      <c r="D502" s="9">
        <v>60</v>
      </c>
      <c r="E502" s="9" t="s">
        <v>1808</v>
      </c>
      <c r="F502" t="s">
        <v>188</v>
      </c>
      <c r="G502" t="s">
        <v>183</v>
      </c>
      <c r="H502" t="s">
        <v>1237</v>
      </c>
    </row>
    <row r="503" spans="1:8" outlineLevel="2" x14ac:dyDescent="0.3">
      <c r="A503" s="6">
        <v>7</v>
      </c>
      <c r="B503" t="s">
        <v>175</v>
      </c>
      <c r="C503" s="9" t="s">
        <v>932</v>
      </c>
      <c r="D503" s="9">
        <v>31</v>
      </c>
      <c r="E503" s="9" t="s">
        <v>1804</v>
      </c>
      <c r="F503" t="s">
        <v>189</v>
      </c>
      <c r="G503" t="s">
        <v>190</v>
      </c>
      <c r="H503" t="s">
        <v>1251</v>
      </c>
    </row>
    <row r="504" spans="1:8" outlineLevel="2" x14ac:dyDescent="0.3">
      <c r="A504" s="6">
        <v>7</v>
      </c>
      <c r="B504" t="s">
        <v>175</v>
      </c>
      <c r="C504" s="9" t="s">
        <v>932</v>
      </c>
      <c r="D504" s="9">
        <v>30</v>
      </c>
      <c r="E504" s="9" t="s">
        <v>1804</v>
      </c>
      <c r="F504" t="s">
        <v>192</v>
      </c>
      <c r="G504" t="s">
        <v>193</v>
      </c>
      <c r="H504" t="s">
        <v>1252</v>
      </c>
    </row>
    <row r="505" spans="1:8" outlineLevel="2" x14ac:dyDescent="0.3">
      <c r="A505" s="6">
        <v>7</v>
      </c>
      <c r="B505" t="s">
        <v>175</v>
      </c>
      <c r="C505" s="9" t="s">
        <v>1807</v>
      </c>
      <c r="D505" s="9">
        <v>1230</v>
      </c>
      <c r="E505" s="9" t="s">
        <v>1808</v>
      </c>
      <c r="F505" t="s">
        <v>10</v>
      </c>
      <c r="G505" t="s">
        <v>526</v>
      </c>
      <c r="H505" t="s">
        <v>1812</v>
      </c>
    </row>
    <row r="506" spans="1:8" outlineLevel="2" x14ac:dyDescent="0.3">
      <c r="A506" s="6">
        <v>7</v>
      </c>
      <c r="B506" t="s">
        <v>175</v>
      </c>
      <c r="C506" s="9" t="s">
        <v>932</v>
      </c>
      <c r="D506" s="9">
        <v>24</v>
      </c>
      <c r="E506" s="9" t="s">
        <v>1804</v>
      </c>
      <c r="F506" t="s">
        <v>195</v>
      </c>
      <c r="G506" t="s">
        <v>196</v>
      </c>
      <c r="H506" t="s">
        <v>1263</v>
      </c>
    </row>
    <row r="507" spans="1:8" outlineLevel="2" x14ac:dyDescent="0.3">
      <c r="A507" s="6">
        <v>7</v>
      </c>
      <c r="B507" t="s">
        <v>175</v>
      </c>
      <c r="C507" s="9" t="s">
        <v>932</v>
      </c>
      <c r="D507" s="9">
        <v>37</v>
      </c>
      <c r="E507" s="9" t="s">
        <v>1804</v>
      </c>
      <c r="F507" t="s">
        <v>198</v>
      </c>
      <c r="G507" t="s">
        <v>196</v>
      </c>
      <c r="H507" t="s">
        <v>1267</v>
      </c>
    </row>
    <row r="508" spans="1:8" outlineLevel="2" x14ac:dyDescent="0.3">
      <c r="A508" s="6">
        <v>7</v>
      </c>
      <c r="B508" t="s">
        <v>175</v>
      </c>
      <c r="C508" s="9" t="s">
        <v>1807</v>
      </c>
      <c r="D508" s="9">
        <v>1300</v>
      </c>
      <c r="E508" s="9" t="s">
        <v>1808</v>
      </c>
      <c r="F508" t="s">
        <v>199</v>
      </c>
      <c r="G508" t="s">
        <v>200</v>
      </c>
      <c r="H508" t="s">
        <v>1271</v>
      </c>
    </row>
    <row r="509" spans="1:8" outlineLevel="2" x14ac:dyDescent="0.3">
      <c r="A509" s="6">
        <v>7</v>
      </c>
      <c r="B509" t="s">
        <v>175</v>
      </c>
      <c r="C509" s="9" t="s">
        <v>932</v>
      </c>
      <c r="D509" s="9">
        <v>44</v>
      </c>
      <c r="E509" s="9" t="s">
        <v>1804</v>
      </c>
      <c r="F509" t="s">
        <v>202</v>
      </c>
      <c r="G509" t="s">
        <v>200</v>
      </c>
      <c r="H509" t="s">
        <v>1272</v>
      </c>
    </row>
    <row r="510" spans="1:8" outlineLevel="2" x14ac:dyDescent="0.3">
      <c r="A510" s="6">
        <v>7</v>
      </c>
      <c r="B510" t="s">
        <v>175</v>
      </c>
      <c r="C510" s="9" t="s">
        <v>1807</v>
      </c>
      <c r="D510" s="9">
        <v>1050</v>
      </c>
      <c r="E510" s="9" t="s">
        <v>1808</v>
      </c>
      <c r="F510" t="s">
        <v>203</v>
      </c>
      <c r="G510" t="s">
        <v>12</v>
      </c>
      <c r="H510" t="s">
        <v>1821</v>
      </c>
    </row>
    <row r="511" spans="1:8" outlineLevel="2" x14ac:dyDescent="0.3">
      <c r="A511" s="6">
        <v>7</v>
      </c>
      <c r="B511" t="s">
        <v>175</v>
      </c>
      <c r="C511" s="9" t="s">
        <v>932</v>
      </c>
      <c r="D511" s="9">
        <v>42</v>
      </c>
      <c r="E511" s="9" t="s">
        <v>1804</v>
      </c>
      <c r="F511" t="s">
        <v>14</v>
      </c>
      <c r="G511" t="s">
        <v>15</v>
      </c>
      <c r="H511" t="s">
        <v>1290</v>
      </c>
    </row>
    <row r="512" spans="1:8" outlineLevel="2" x14ac:dyDescent="0.3">
      <c r="A512" s="6">
        <v>7</v>
      </c>
      <c r="B512" t="s">
        <v>175</v>
      </c>
      <c r="C512" s="9" t="s">
        <v>932</v>
      </c>
      <c r="D512" s="9">
        <v>12</v>
      </c>
      <c r="E512" s="9" t="s">
        <v>1804</v>
      </c>
      <c r="F512" t="s">
        <v>204</v>
      </c>
      <c r="G512" t="s">
        <v>15</v>
      </c>
      <c r="H512" t="s">
        <v>1292</v>
      </c>
    </row>
    <row r="513" spans="1:8" outlineLevel="2" x14ac:dyDescent="0.3">
      <c r="A513" s="6">
        <v>7</v>
      </c>
      <c r="B513" t="s">
        <v>175</v>
      </c>
      <c r="C513" s="9" t="s">
        <v>1807</v>
      </c>
      <c r="D513" s="9">
        <v>1100</v>
      </c>
      <c r="E513" s="9" t="s">
        <v>1808</v>
      </c>
      <c r="F513" t="s">
        <v>205</v>
      </c>
      <c r="G513" t="s">
        <v>15</v>
      </c>
      <c r="H513" t="s">
        <v>1290</v>
      </c>
    </row>
    <row r="514" spans="1:8" outlineLevel="2" x14ac:dyDescent="0.3">
      <c r="A514" s="6">
        <v>7</v>
      </c>
      <c r="B514" t="s">
        <v>175</v>
      </c>
      <c r="C514" s="9" t="s">
        <v>932</v>
      </c>
      <c r="D514" s="9">
        <v>43</v>
      </c>
      <c r="E514" s="9" t="s">
        <v>1804</v>
      </c>
      <c r="F514" t="s">
        <v>206</v>
      </c>
      <c r="G514" t="s">
        <v>92</v>
      </c>
      <c r="H514" t="s">
        <v>1296</v>
      </c>
    </row>
    <row r="515" spans="1:8" outlineLevel="2" x14ac:dyDescent="0.3">
      <c r="A515" s="6">
        <v>7</v>
      </c>
      <c r="B515" t="s">
        <v>175</v>
      </c>
      <c r="C515" s="9" t="s">
        <v>1807</v>
      </c>
      <c r="D515" s="9">
        <v>1330</v>
      </c>
      <c r="E515" s="9" t="s">
        <v>1808</v>
      </c>
      <c r="F515" t="s">
        <v>207</v>
      </c>
      <c r="G515" t="s">
        <v>19</v>
      </c>
      <c r="H515" t="s">
        <v>1301</v>
      </c>
    </row>
    <row r="516" spans="1:8" outlineLevel="2" x14ac:dyDescent="0.3">
      <c r="A516" s="6">
        <v>7</v>
      </c>
      <c r="B516" t="s">
        <v>175</v>
      </c>
      <c r="C516" s="9" t="s">
        <v>932</v>
      </c>
      <c r="D516" s="9">
        <v>31</v>
      </c>
      <c r="E516" s="9" t="s">
        <v>1804</v>
      </c>
      <c r="F516" t="s">
        <v>208</v>
      </c>
      <c r="G516" t="s">
        <v>209</v>
      </c>
      <c r="H516" t="s">
        <v>1325</v>
      </c>
    </row>
    <row r="517" spans="1:8" outlineLevel="2" x14ac:dyDescent="0.3">
      <c r="A517" s="6">
        <v>7</v>
      </c>
      <c r="B517" t="s">
        <v>175</v>
      </c>
      <c r="C517" s="9" t="s">
        <v>1807</v>
      </c>
      <c r="D517" s="9">
        <v>750</v>
      </c>
      <c r="E517" s="9" t="s">
        <v>1808</v>
      </c>
      <c r="F517" t="s">
        <v>210</v>
      </c>
      <c r="G517" t="s">
        <v>212</v>
      </c>
      <c r="H517" t="s">
        <v>1331</v>
      </c>
    </row>
    <row r="518" spans="1:8" outlineLevel="2" x14ac:dyDescent="0.3">
      <c r="A518" s="6">
        <v>7</v>
      </c>
      <c r="B518" t="s">
        <v>175</v>
      </c>
      <c r="C518" s="9" t="s">
        <v>1807</v>
      </c>
      <c r="D518" s="9">
        <v>750</v>
      </c>
      <c r="E518" s="9" t="s">
        <v>1808</v>
      </c>
      <c r="F518" t="s">
        <v>211</v>
      </c>
      <c r="G518" t="s">
        <v>212</v>
      </c>
      <c r="H518" t="s">
        <v>1331</v>
      </c>
    </row>
    <row r="519" spans="1:8" outlineLevel="2" x14ac:dyDescent="0.3">
      <c r="A519" s="6">
        <v>7</v>
      </c>
      <c r="B519" t="s">
        <v>175</v>
      </c>
      <c r="C519" s="9" t="s">
        <v>1807</v>
      </c>
      <c r="D519" s="9">
        <v>1350</v>
      </c>
      <c r="E519" s="9" t="s">
        <v>1808</v>
      </c>
      <c r="F519" t="s">
        <v>24</v>
      </c>
      <c r="G519" t="s">
        <v>414</v>
      </c>
      <c r="H519" t="s">
        <v>1332</v>
      </c>
    </row>
    <row r="520" spans="1:8" outlineLevel="2" x14ac:dyDescent="0.3">
      <c r="A520" s="6">
        <v>7</v>
      </c>
      <c r="B520" t="s">
        <v>175</v>
      </c>
      <c r="C520" s="9" t="s">
        <v>1807</v>
      </c>
      <c r="D520" s="9">
        <v>165</v>
      </c>
      <c r="E520" s="9" t="s">
        <v>1808</v>
      </c>
      <c r="F520" t="s">
        <v>152</v>
      </c>
      <c r="G520" t="s">
        <v>26</v>
      </c>
      <c r="H520" t="s">
        <v>1335</v>
      </c>
    </row>
    <row r="521" spans="1:8" outlineLevel="2" x14ac:dyDescent="0.3">
      <c r="A521" s="6">
        <v>7</v>
      </c>
      <c r="B521" t="s">
        <v>175</v>
      </c>
      <c r="C521" s="9" t="s">
        <v>932</v>
      </c>
      <c r="D521" s="9">
        <v>12</v>
      </c>
      <c r="E521" s="9" t="s">
        <v>1804</v>
      </c>
      <c r="F521" t="s">
        <v>214</v>
      </c>
      <c r="G521" t="s">
        <v>215</v>
      </c>
      <c r="H521" t="s">
        <v>1029</v>
      </c>
    </row>
    <row r="522" spans="1:8" outlineLevel="2" x14ac:dyDescent="0.3">
      <c r="A522" s="6">
        <v>7</v>
      </c>
      <c r="B522" t="s">
        <v>175</v>
      </c>
      <c r="C522" s="9" t="s">
        <v>932</v>
      </c>
      <c r="D522" s="9">
        <v>18</v>
      </c>
      <c r="E522" s="9" t="s">
        <v>1804</v>
      </c>
      <c r="F522" t="s">
        <v>217</v>
      </c>
      <c r="G522" t="s">
        <v>168</v>
      </c>
      <c r="H522" t="s">
        <v>1442</v>
      </c>
    </row>
    <row r="523" spans="1:8" outlineLevel="2" x14ac:dyDescent="0.3">
      <c r="A523" s="6">
        <v>7</v>
      </c>
      <c r="B523" t="s">
        <v>175</v>
      </c>
      <c r="C523" s="9" t="s">
        <v>932</v>
      </c>
      <c r="D523" s="9">
        <v>27</v>
      </c>
      <c r="E523" s="9" t="s">
        <v>1804</v>
      </c>
      <c r="F523" t="s">
        <v>218</v>
      </c>
      <c r="G523" t="s">
        <v>168</v>
      </c>
      <c r="H523" t="s">
        <v>1443</v>
      </c>
    </row>
    <row r="524" spans="1:8" outlineLevel="2" x14ac:dyDescent="0.3">
      <c r="A524" s="6">
        <v>7</v>
      </c>
      <c r="B524" t="s">
        <v>175</v>
      </c>
      <c r="C524" s="9" t="s">
        <v>932</v>
      </c>
      <c r="D524" s="9">
        <v>32</v>
      </c>
      <c r="E524" s="9" t="s">
        <v>1804</v>
      </c>
      <c r="F524" t="s">
        <v>219</v>
      </c>
      <c r="G524" t="s">
        <v>32</v>
      </c>
      <c r="H524" t="s">
        <v>1484</v>
      </c>
    </row>
    <row r="525" spans="1:8" outlineLevel="2" x14ac:dyDescent="0.3">
      <c r="A525" s="6">
        <v>7</v>
      </c>
      <c r="B525" t="s">
        <v>175</v>
      </c>
      <c r="C525" s="9" t="s">
        <v>932</v>
      </c>
      <c r="D525" s="9">
        <v>21</v>
      </c>
      <c r="E525" s="9" t="s">
        <v>1804</v>
      </c>
      <c r="F525" t="s">
        <v>34</v>
      </c>
      <c r="G525" t="s">
        <v>32</v>
      </c>
      <c r="H525" t="s">
        <v>1485</v>
      </c>
    </row>
    <row r="526" spans="1:8" outlineLevel="2" x14ac:dyDescent="0.3">
      <c r="A526" s="6">
        <v>7</v>
      </c>
      <c r="B526" t="s">
        <v>175</v>
      </c>
      <c r="C526" s="9" t="s">
        <v>932</v>
      </c>
      <c r="D526" s="9">
        <v>34</v>
      </c>
      <c r="E526" s="9" t="s">
        <v>1804</v>
      </c>
      <c r="F526" t="s">
        <v>220</v>
      </c>
      <c r="G526" t="s">
        <v>32</v>
      </c>
      <c r="H526" t="s">
        <v>1488</v>
      </c>
    </row>
    <row r="527" spans="1:8" outlineLevel="2" x14ac:dyDescent="0.3">
      <c r="A527" s="6">
        <v>7</v>
      </c>
      <c r="B527" t="s">
        <v>175</v>
      </c>
      <c r="C527" s="9" t="s">
        <v>932</v>
      </c>
      <c r="D527" s="9">
        <v>32</v>
      </c>
      <c r="E527" s="9" t="s">
        <v>1804</v>
      </c>
      <c r="F527" t="s">
        <v>221</v>
      </c>
      <c r="G527" t="s">
        <v>32</v>
      </c>
      <c r="H527" t="s">
        <v>1490</v>
      </c>
    </row>
    <row r="528" spans="1:8" outlineLevel="2" x14ac:dyDescent="0.3">
      <c r="A528" s="6">
        <v>7</v>
      </c>
      <c r="B528" t="s">
        <v>175</v>
      </c>
      <c r="C528" s="9" t="s">
        <v>932</v>
      </c>
      <c r="D528" s="9">
        <v>32</v>
      </c>
      <c r="E528" s="9" t="s">
        <v>1804</v>
      </c>
      <c r="F528" t="s">
        <v>222</v>
      </c>
      <c r="G528" t="s">
        <v>32</v>
      </c>
      <c r="H528" t="s">
        <v>1491</v>
      </c>
    </row>
    <row r="529" spans="1:8" outlineLevel="2" x14ac:dyDescent="0.3">
      <c r="A529" s="6">
        <v>7</v>
      </c>
      <c r="B529" t="s">
        <v>175</v>
      </c>
      <c r="C529" s="9" t="s">
        <v>932</v>
      </c>
      <c r="D529" s="9">
        <v>21</v>
      </c>
      <c r="E529" s="9" t="s">
        <v>1804</v>
      </c>
      <c r="F529" t="s">
        <v>36</v>
      </c>
      <c r="G529" t="s">
        <v>32</v>
      </c>
      <c r="H529" t="s">
        <v>1492</v>
      </c>
    </row>
    <row r="530" spans="1:8" outlineLevel="2" x14ac:dyDescent="0.3">
      <c r="A530" s="6">
        <v>7</v>
      </c>
      <c r="B530" t="s">
        <v>175</v>
      </c>
      <c r="C530" s="9" t="s">
        <v>932</v>
      </c>
      <c r="D530" s="9">
        <v>21</v>
      </c>
      <c r="E530" s="9" t="s">
        <v>1804</v>
      </c>
      <c r="F530" t="s">
        <v>223</v>
      </c>
      <c r="G530" t="s">
        <v>224</v>
      </c>
      <c r="H530" t="s">
        <v>1510</v>
      </c>
    </row>
    <row r="531" spans="1:8" outlineLevel="2" x14ac:dyDescent="0.3">
      <c r="A531" s="6">
        <v>7</v>
      </c>
      <c r="B531" t="s">
        <v>175</v>
      </c>
      <c r="C531" s="9" t="s">
        <v>932</v>
      </c>
      <c r="D531" s="9">
        <v>12</v>
      </c>
      <c r="E531" s="9" t="s">
        <v>1804</v>
      </c>
      <c r="F531" t="s">
        <v>153</v>
      </c>
      <c r="G531" t="s">
        <v>108</v>
      </c>
      <c r="H531" t="s">
        <v>1150</v>
      </c>
    </row>
    <row r="532" spans="1:8" outlineLevel="2" x14ac:dyDescent="0.3">
      <c r="A532" s="6">
        <v>7</v>
      </c>
      <c r="B532" t="s">
        <v>175</v>
      </c>
      <c r="C532" s="9" t="s">
        <v>932</v>
      </c>
      <c r="D532" s="9">
        <v>18</v>
      </c>
      <c r="E532" s="9" t="s">
        <v>1804</v>
      </c>
      <c r="F532" t="s">
        <v>154</v>
      </c>
      <c r="G532" t="s">
        <v>108</v>
      </c>
      <c r="H532" t="s">
        <v>1151</v>
      </c>
    </row>
    <row r="533" spans="1:8" outlineLevel="2" x14ac:dyDescent="0.3">
      <c r="A533" s="6">
        <v>7</v>
      </c>
      <c r="B533" t="s">
        <v>175</v>
      </c>
      <c r="C533" s="9" t="s">
        <v>932</v>
      </c>
      <c r="D533" s="9">
        <v>27</v>
      </c>
      <c r="E533" s="9" t="s">
        <v>1804</v>
      </c>
      <c r="F533" t="s">
        <v>37</v>
      </c>
      <c r="G533" t="s">
        <v>38</v>
      </c>
      <c r="H533" t="s">
        <v>1164</v>
      </c>
    </row>
    <row r="534" spans="1:8" outlineLevel="2" x14ac:dyDescent="0.3">
      <c r="A534" s="6">
        <v>7</v>
      </c>
      <c r="B534" t="s">
        <v>175</v>
      </c>
      <c r="C534" s="9" t="s">
        <v>932</v>
      </c>
      <c r="D534" s="9">
        <v>12</v>
      </c>
      <c r="E534" s="9" t="s">
        <v>1804</v>
      </c>
      <c r="F534" t="s">
        <v>226</v>
      </c>
      <c r="G534" t="s">
        <v>38</v>
      </c>
      <c r="H534" t="s">
        <v>1165</v>
      </c>
    </row>
    <row r="535" spans="1:8" outlineLevel="2" x14ac:dyDescent="0.3">
      <c r="A535" s="6">
        <v>7</v>
      </c>
      <c r="B535" t="s">
        <v>175</v>
      </c>
      <c r="C535" s="9" t="s">
        <v>932</v>
      </c>
      <c r="D535" s="9">
        <v>18</v>
      </c>
      <c r="E535" s="9" t="s">
        <v>1804</v>
      </c>
      <c r="F535" t="s">
        <v>227</v>
      </c>
      <c r="G535" t="s">
        <v>41</v>
      </c>
      <c r="H535" t="s">
        <v>1167</v>
      </c>
    </row>
    <row r="536" spans="1:8" outlineLevel="2" x14ac:dyDescent="0.3">
      <c r="A536" s="6">
        <v>7</v>
      </c>
      <c r="B536" t="s">
        <v>175</v>
      </c>
      <c r="C536" s="9" t="s">
        <v>932</v>
      </c>
      <c r="D536" s="9">
        <v>12</v>
      </c>
      <c r="E536" s="9" t="s">
        <v>1804</v>
      </c>
      <c r="F536" t="s">
        <v>228</v>
      </c>
      <c r="G536" t="s">
        <v>41</v>
      </c>
      <c r="H536" t="s">
        <v>1168</v>
      </c>
    </row>
    <row r="537" spans="1:8" outlineLevel="2" x14ac:dyDescent="0.3">
      <c r="A537" s="6">
        <v>7</v>
      </c>
      <c r="B537" t="s">
        <v>175</v>
      </c>
      <c r="C537" s="9" t="s">
        <v>932</v>
      </c>
      <c r="D537" s="9">
        <v>27</v>
      </c>
      <c r="E537" s="9" t="s">
        <v>1804</v>
      </c>
      <c r="F537" t="s">
        <v>40</v>
      </c>
      <c r="G537" t="s">
        <v>41</v>
      </c>
      <c r="H537" t="s">
        <v>1169</v>
      </c>
    </row>
    <row r="538" spans="1:8" outlineLevel="2" x14ac:dyDescent="0.3">
      <c r="A538" s="6">
        <v>7</v>
      </c>
      <c r="B538" t="s">
        <v>175</v>
      </c>
      <c r="C538" s="9" t="s">
        <v>932</v>
      </c>
      <c r="D538" s="9">
        <v>18</v>
      </c>
      <c r="E538" s="9" t="s">
        <v>1804</v>
      </c>
      <c r="F538" t="s">
        <v>229</v>
      </c>
      <c r="G538" t="s">
        <v>230</v>
      </c>
      <c r="H538" t="s">
        <v>1170</v>
      </c>
    </row>
    <row r="539" spans="1:8" outlineLevel="2" x14ac:dyDescent="0.3">
      <c r="A539" s="6">
        <v>7</v>
      </c>
      <c r="B539" t="s">
        <v>175</v>
      </c>
      <c r="C539" s="9" t="s">
        <v>932</v>
      </c>
      <c r="D539" s="9">
        <v>24</v>
      </c>
      <c r="E539" s="9" t="s">
        <v>1804</v>
      </c>
      <c r="F539" t="s">
        <v>232</v>
      </c>
      <c r="G539" t="s">
        <v>144</v>
      </c>
      <c r="H539" t="s">
        <v>1171</v>
      </c>
    </row>
    <row r="540" spans="1:8" outlineLevel="2" x14ac:dyDescent="0.3">
      <c r="A540" s="6">
        <v>7</v>
      </c>
      <c r="B540" t="s">
        <v>175</v>
      </c>
      <c r="C540" s="9" t="s">
        <v>932</v>
      </c>
      <c r="D540" s="9">
        <v>12</v>
      </c>
      <c r="E540" s="9" t="s">
        <v>1804</v>
      </c>
      <c r="F540" t="s">
        <v>233</v>
      </c>
      <c r="G540" t="s">
        <v>112</v>
      </c>
      <c r="H540" t="s">
        <v>1146</v>
      </c>
    </row>
    <row r="541" spans="1:8" outlineLevel="2" x14ac:dyDescent="0.3">
      <c r="A541" s="6">
        <v>7</v>
      </c>
      <c r="B541" t="s">
        <v>175</v>
      </c>
      <c r="C541" s="9" t="s">
        <v>932</v>
      </c>
      <c r="D541" s="9">
        <v>12</v>
      </c>
      <c r="E541" s="9" t="s">
        <v>1804</v>
      </c>
      <c r="F541" t="s">
        <v>234</v>
      </c>
      <c r="G541" t="s">
        <v>235</v>
      </c>
      <c r="H541" t="s">
        <v>1047</v>
      </c>
    </row>
    <row r="542" spans="1:8" outlineLevel="2" x14ac:dyDescent="0.3">
      <c r="A542" s="6">
        <v>7</v>
      </c>
      <c r="B542" t="s">
        <v>175</v>
      </c>
      <c r="C542" s="9" t="s">
        <v>932</v>
      </c>
      <c r="D542" s="9">
        <v>15</v>
      </c>
      <c r="E542" s="9" t="s">
        <v>1804</v>
      </c>
      <c r="F542" t="s">
        <v>43</v>
      </c>
      <c r="G542" t="s">
        <v>44</v>
      </c>
      <c r="H542" t="s">
        <v>1050</v>
      </c>
    </row>
    <row r="543" spans="1:8" outlineLevel="2" x14ac:dyDescent="0.3">
      <c r="A543" s="6">
        <v>7</v>
      </c>
      <c r="B543" t="s">
        <v>175</v>
      </c>
      <c r="C543" s="9" t="s">
        <v>932</v>
      </c>
      <c r="D543" s="9">
        <v>24</v>
      </c>
      <c r="E543" s="9" t="s">
        <v>1804</v>
      </c>
      <c r="F543" t="s">
        <v>237</v>
      </c>
      <c r="G543" t="s">
        <v>238</v>
      </c>
      <c r="H543" t="s">
        <v>1065</v>
      </c>
    </row>
    <row r="544" spans="1:8" outlineLevel="2" x14ac:dyDescent="0.3">
      <c r="A544" s="6">
        <v>7</v>
      </c>
      <c r="B544" t="s">
        <v>175</v>
      </c>
      <c r="C544" s="9" t="s">
        <v>1807</v>
      </c>
      <c r="D544" s="9">
        <v>1200</v>
      </c>
      <c r="E544" s="9" t="s">
        <v>1808</v>
      </c>
      <c r="F544" t="s">
        <v>240</v>
      </c>
      <c r="G544" t="s">
        <v>241</v>
      </c>
      <c r="H544" t="s">
        <v>1427</v>
      </c>
    </row>
    <row r="545" spans="1:8" outlineLevel="2" x14ac:dyDescent="0.3">
      <c r="A545" s="6">
        <v>7</v>
      </c>
      <c r="B545" t="s">
        <v>175</v>
      </c>
      <c r="C545" s="9" t="s">
        <v>1807</v>
      </c>
      <c r="D545" s="9">
        <v>260</v>
      </c>
      <c r="E545" s="9" t="s">
        <v>1808</v>
      </c>
      <c r="F545" t="s">
        <v>243</v>
      </c>
      <c r="G545" t="s">
        <v>244</v>
      </c>
      <c r="H545" t="s">
        <v>1429</v>
      </c>
    </row>
    <row r="546" spans="1:8" outlineLevel="2" x14ac:dyDescent="0.3">
      <c r="A546" s="6">
        <v>7</v>
      </c>
      <c r="B546" t="s">
        <v>175</v>
      </c>
      <c r="C546" s="9" t="s">
        <v>932</v>
      </c>
      <c r="D546" s="9">
        <v>35</v>
      </c>
      <c r="E546" s="9" t="s">
        <v>1804</v>
      </c>
      <c r="F546" t="s">
        <v>46</v>
      </c>
      <c r="G546" t="s">
        <v>47</v>
      </c>
      <c r="H546" t="s">
        <v>1409</v>
      </c>
    </row>
    <row r="547" spans="1:8" outlineLevel="2" x14ac:dyDescent="0.3">
      <c r="A547" s="6">
        <v>7</v>
      </c>
      <c r="B547" t="s">
        <v>175</v>
      </c>
      <c r="C547" s="9" t="s">
        <v>932</v>
      </c>
      <c r="D547" s="9">
        <v>18</v>
      </c>
      <c r="E547" s="9" t="s">
        <v>1804</v>
      </c>
      <c r="F547" t="s">
        <v>246</v>
      </c>
      <c r="G547" t="s">
        <v>51</v>
      </c>
      <c r="H547" t="s">
        <v>1596</v>
      </c>
    </row>
    <row r="548" spans="1:8" outlineLevel="2" x14ac:dyDescent="0.3">
      <c r="A548" s="6">
        <v>7</v>
      </c>
      <c r="B548" t="s">
        <v>175</v>
      </c>
      <c r="C548" s="9" t="s">
        <v>932</v>
      </c>
      <c r="D548" s="9">
        <v>30</v>
      </c>
      <c r="E548" s="9" t="s">
        <v>1804</v>
      </c>
      <c r="F548" t="s">
        <v>247</v>
      </c>
      <c r="G548" t="s">
        <v>51</v>
      </c>
      <c r="H548" t="s">
        <v>1599</v>
      </c>
    </row>
    <row r="549" spans="1:8" outlineLevel="2" x14ac:dyDescent="0.3">
      <c r="A549" s="6">
        <v>7</v>
      </c>
      <c r="B549" t="s">
        <v>175</v>
      </c>
      <c r="C549" s="9" t="s">
        <v>932</v>
      </c>
      <c r="D549" s="9">
        <v>12</v>
      </c>
      <c r="E549" s="9" t="s">
        <v>1804</v>
      </c>
      <c r="F549" t="s">
        <v>56</v>
      </c>
      <c r="G549" t="s">
        <v>57</v>
      </c>
      <c r="H549" t="s">
        <v>1623</v>
      </c>
    </row>
    <row r="550" spans="1:8" outlineLevel="2" x14ac:dyDescent="0.3">
      <c r="A550" s="6">
        <v>7</v>
      </c>
      <c r="B550" t="s">
        <v>175</v>
      </c>
      <c r="C550" s="9" t="s">
        <v>1807</v>
      </c>
      <c r="D550" s="9">
        <v>750</v>
      </c>
      <c r="E550" s="9" t="s">
        <v>1808</v>
      </c>
      <c r="F550" t="s">
        <v>248</v>
      </c>
      <c r="G550" t="s">
        <v>249</v>
      </c>
      <c r="H550" t="s">
        <v>979</v>
      </c>
    </row>
    <row r="551" spans="1:8" outlineLevel="2" x14ac:dyDescent="0.3">
      <c r="A551" s="6">
        <v>7</v>
      </c>
      <c r="B551" t="s">
        <v>175</v>
      </c>
      <c r="C551" s="9" t="s">
        <v>1807</v>
      </c>
      <c r="D551" s="9">
        <v>1350</v>
      </c>
      <c r="E551" s="9" t="s">
        <v>1808</v>
      </c>
      <c r="F551" t="s">
        <v>251</v>
      </c>
      <c r="G551" t="s">
        <v>249</v>
      </c>
      <c r="H551" t="s">
        <v>980</v>
      </c>
    </row>
    <row r="552" spans="1:8" outlineLevel="2" x14ac:dyDescent="0.3">
      <c r="A552" s="6">
        <v>7</v>
      </c>
      <c r="B552" t="s">
        <v>175</v>
      </c>
      <c r="C552" s="9" t="s">
        <v>932</v>
      </c>
      <c r="D552" s="9">
        <v>12</v>
      </c>
      <c r="E552" s="9" t="s">
        <v>1804</v>
      </c>
      <c r="F552" t="s">
        <v>252</v>
      </c>
      <c r="G552" t="s">
        <v>253</v>
      </c>
      <c r="H552" t="s">
        <v>1635</v>
      </c>
    </row>
    <row r="553" spans="1:8" outlineLevel="2" x14ac:dyDescent="0.3">
      <c r="A553" s="6">
        <v>7</v>
      </c>
      <c r="B553" t="s">
        <v>175</v>
      </c>
      <c r="C553" s="9" t="s">
        <v>976</v>
      </c>
      <c r="D553" s="9">
        <v>68</v>
      </c>
      <c r="E553" s="9" t="s">
        <v>1804</v>
      </c>
      <c r="F553" t="s">
        <v>255</v>
      </c>
      <c r="G553" t="s">
        <v>256</v>
      </c>
      <c r="H553" t="s">
        <v>1715</v>
      </c>
    </row>
    <row r="554" spans="1:8" outlineLevel="2" x14ac:dyDescent="0.3">
      <c r="A554" s="6">
        <v>7</v>
      </c>
      <c r="B554" t="s">
        <v>175</v>
      </c>
      <c r="C554" s="9" t="s">
        <v>932</v>
      </c>
      <c r="D554" s="9">
        <v>24</v>
      </c>
      <c r="E554" s="9" t="s">
        <v>1804</v>
      </c>
      <c r="F554" t="s">
        <v>258</v>
      </c>
      <c r="G554" t="s">
        <v>256</v>
      </c>
      <c r="H554" t="s">
        <v>1716</v>
      </c>
    </row>
    <row r="555" spans="1:8" outlineLevel="2" x14ac:dyDescent="0.3">
      <c r="A555" s="6">
        <v>7</v>
      </c>
      <c r="B555" t="s">
        <v>175</v>
      </c>
      <c r="C555" s="9" t="s">
        <v>932</v>
      </c>
      <c r="D555" s="9">
        <v>22</v>
      </c>
      <c r="E555" s="9" t="s">
        <v>1804</v>
      </c>
      <c r="F555" t="s">
        <v>259</v>
      </c>
      <c r="G555" t="s">
        <v>260</v>
      </c>
      <c r="H555" t="s">
        <v>986</v>
      </c>
    </row>
    <row r="556" spans="1:8" outlineLevel="2" x14ac:dyDescent="0.3">
      <c r="A556" s="6">
        <v>7</v>
      </c>
      <c r="B556" t="s">
        <v>175</v>
      </c>
      <c r="C556" s="9" t="s">
        <v>932</v>
      </c>
      <c r="D556" s="9">
        <v>14</v>
      </c>
      <c r="E556" s="9" t="s">
        <v>1804</v>
      </c>
      <c r="F556" t="s">
        <v>262</v>
      </c>
      <c r="G556" t="s">
        <v>263</v>
      </c>
      <c r="H556" t="s">
        <v>989</v>
      </c>
    </row>
    <row r="557" spans="1:8" outlineLevel="2" x14ac:dyDescent="0.3">
      <c r="A557" s="6">
        <v>7</v>
      </c>
      <c r="B557" t="s">
        <v>175</v>
      </c>
      <c r="C557" s="9" t="s">
        <v>932</v>
      </c>
      <c r="D557" s="9">
        <v>19</v>
      </c>
      <c r="E557" s="9" t="s">
        <v>1804</v>
      </c>
      <c r="F557" t="s">
        <v>265</v>
      </c>
      <c r="G557" t="s">
        <v>266</v>
      </c>
      <c r="H557" t="s">
        <v>1337</v>
      </c>
    </row>
    <row r="558" spans="1:8" outlineLevel="2" x14ac:dyDescent="0.3">
      <c r="A558" s="6">
        <v>7</v>
      </c>
      <c r="B558" t="s">
        <v>175</v>
      </c>
      <c r="C558" s="9" t="s">
        <v>932</v>
      </c>
      <c r="D558" s="9">
        <v>37</v>
      </c>
      <c r="E558" s="9" t="s">
        <v>1804</v>
      </c>
      <c r="F558" t="s">
        <v>268</v>
      </c>
      <c r="G558" t="s">
        <v>269</v>
      </c>
      <c r="H558" t="s">
        <v>1645</v>
      </c>
    </row>
    <row r="559" spans="1:8" outlineLevel="2" x14ac:dyDescent="0.3">
      <c r="A559" s="6">
        <v>7</v>
      </c>
      <c r="B559" t="s">
        <v>175</v>
      </c>
      <c r="C559" s="9" t="s">
        <v>932</v>
      </c>
      <c r="D559" s="9">
        <v>26</v>
      </c>
      <c r="E559" s="9" t="s">
        <v>1804</v>
      </c>
      <c r="F559" t="s">
        <v>271</v>
      </c>
      <c r="G559" t="s">
        <v>269</v>
      </c>
      <c r="H559" t="s">
        <v>1646</v>
      </c>
    </row>
    <row r="560" spans="1:8" outlineLevel="2" x14ac:dyDescent="0.3">
      <c r="A560" s="6">
        <v>7</v>
      </c>
      <c r="B560" t="s">
        <v>175</v>
      </c>
      <c r="C560" s="9" t="s">
        <v>1807</v>
      </c>
      <c r="D560" s="9">
        <v>1200</v>
      </c>
      <c r="E560" s="9" t="s">
        <v>1808</v>
      </c>
      <c r="F560" t="s">
        <v>272</v>
      </c>
      <c r="G560" t="s">
        <v>273</v>
      </c>
      <c r="H560" t="s">
        <v>997</v>
      </c>
    </row>
    <row r="561" spans="1:8" outlineLevel="2" x14ac:dyDescent="0.3">
      <c r="A561" s="6">
        <v>7</v>
      </c>
      <c r="B561" t="s">
        <v>175</v>
      </c>
      <c r="C561" s="9" t="s">
        <v>1807</v>
      </c>
      <c r="D561" s="9">
        <v>1350</v>
      </c>
      <c r="E561" s="9" t="s">
        <v>1808</v>
      </c>
      <c r="F561" t="s">
        <v>275</v>
      </c>
      <c r="G561" t="s">
        <v>276</v>
      </c>
      <c r="H561" t="s">
        <v>1012</v>
      </c>
    </row>
    <row r="562" spans="1:8" outlineLevel="2" x14ac:dyDescent="0.3">
      <c r="A562" s="6">
        <v>7</v>
      </c>
      <c r="B562" t="s">
        <v>175</v>
      </c>
      <c r="C562" s="9" t="s">
        <v>1807</v>
      </c>
      <c r="D562" s="9">
        <v>750</v>
      </c>
      <c r="E562" s="9" t="s">
        <v>1808</v>
      </c>
      <c r="F562" t="s">
        <v>278</v>
      </c>
      <c r="G562" t="s">
        <v>276</v>
      </c>
      <c r="H562" t="s">
        <v>1013</v>
      </c>
    </row>
    <row r="563" spans="1:8" outlineLevel="2" x14ac:dyDescent="0.3">
      <c r="A563" s="6">
        <v>7</v>
      </c>
      <c r="B563" t="s">
        <v>175</v>
      </c>
      <c r="C563" s="9" t="s">
        <v>1807</v>
      </c>
      <c r="D563" s="9">
        <v>1400</v>
      </c>
      <c r="E563" s="9" t="s">
        <v>1808</v>
      </c>
      <c r="F563" t="s">
        <v>279</v>
      </c>
      <c r="G563" t="s">
        <v>447</v>
      </c>
      <c r="H563" t="s">
        <v>1822</v>
      </c>
    </row>
    <row r="564" spans="1:8" outlineLevel="2" x14ac:dyDescent="0.3">
      <c r="A564" s="6">
        <v>7</v>
      </c>
      <c r="B564" t="s">
        <v>175</v>
      </c>
      <c r="C564" s="9" t="s">
        <v>1807</v>
      </c>
      <c r="D564" s="9">
        <v>1800</v>
      </c>
      <c r="E564" s="9" t="s">
        <v>1808</v>
      </c>
      <c r="F564" t="s">
        <v>280</v>
      </c>
      <c r="G564" t="s">
        <v>157</v>
      </c>
      <c r="H564" t="s">
        <v>1823</v>
      </c>
    </row>
    <row r="565" spans="1:8" outlineLevel="2" x14ac:dyDescent="0.3">
      <c r="A565" s="6">
        <v>7</v>
      </c>
      <c r="B565" t="s">
        <v>175</v>
      </c>
      <c r="C565" s="9" t="s">
        <v>1807</v>
      </c>
      <c r="D565" s="9">
        <v>1440</v>
      </c>
      <c r="E565" s="9" t="s">
        <v>1808</v>
      </c>
      <c r="F565" t="s">
        <v>281</v>
      </c>
      <c r="G565" t="s">
        <v>283</v>
      </c>
      <c r="H565" t="s">
        <v>1824</v>
      </c>
    </row>
    <row r="566" spans="1:8" outlineLevel="2" x14ac:dyDescent="0.3">
      <c r="A566" s="6">
        <v>7</v>
      </c>
      <c r="B566" t="s">
        <v>175</v>
      </c>
      <c r="C566" s="9" t="s">
        <v>1807</v>
      </c>
      <c r="D566" s="9">
        <v>1350</v>
      </c>
      <c r="E566" s="9" t="s">
        <v>1808</v>
      </c>
      <c r="F566" t="s">
        <v>282</v>
      </c>
      <c r="G566" t="s">
        <v>283</v>
      </c>
      <c r="H566" t="s">
        <v>1758</v>
      </c>
    </row>
    <row r="567" spans="1:8" outlineLevel="2" x14ac:dyDescent="0.3">
      <c r="A567" s="6">
        <v>7</v>
      </c>
      <c r="B567" t="s">
        <v>175</v>
      </c>
      <c r="C567" s="9" t="s">
        <v>1807</v>
      </c>
      <c r="D567" s="9">
        <v>1350</v>
      </c>
      <c r="E567" s="9" t="s">
        <v>1808</v>
      </c>
      <c r="F567" t="s">
        <v>285</v>
      </c>
      <c r="G567" t="s">
        <v>286</v>
      </c>
      <c r="H567" t="s">
        <v>1759</v>
      </c>
    </row>
    <row r="568" spans="1:8" outlineLevel="2" x14ac:dyDescent="0.3">
      <c r="A568" s="6">
        <v>7</v>
      </c>
      <c r="B568" t="s">
        <v>175</v>
      </c>
      <c r="C568" s="9" t="s">
        <v>1807</v>
      </c>
      <c r="D568" s="9">
        <v>1050</v>
      </c>
      <c r="E568" s="9" t="s">
        <v>1808</v>
      </c>
      <c r="F568" t="s">
        <v>288</v>
      </c>
      <c r="G568" t="s">
        <v>289</v>
      </c>
      <c r="H568" t="s">
        <v>1764</v>
      </c>
    </row>
    <row r="569" spans="1:8" outlineLevel="2" x14ac:dyDescent="0.3">
      <c r="A569" s="6">
        <v>7</v>
      </c>
      <c r="B569" t="s">
        <v>175</v>
      </c>
      <c r="C569" s="9" t="s">
        <v>1807</v>
      </c>
      <c r="D569" s="9">
        <v>1050</v>
      </c>
      <c r="E569" s="9" t="s">
        <v>1808</v>
      </c>
      <c r="F569" t="s">
        <v>291</v>
      </c>
      <c r="G569" t="s">
        <v>292</v>
      </c>
      <c r="H569" t="s">
        <v>1678</v>
      </c>
    </row>
    <row r="570" spans="1:8" outlineLevel="2" x14ac:dyDescent="0.3">
      <c r="A570" s="6">
        <v>7</v>
      </c>
      <c r="B570" t="s">
        <v>175</v>
      </c>
      <c r="C570" s="9" t="s">
        <v>932</v>
      </c>
      <c r="D570" s="9">
        <v>12</v>
      </c>
      <c r="E570" s="9" t="s">
        <v>1804</v>
      </c>
      <c r="F570" t="s">
        <v>294</v>
      </c>
      <c r="G570" t="s">
        <v>295</v>
      </c>
      <c r="H570" t="s">
        <v>1680</v>
      </c>
    </row>
    <row r="571" spans="1:8" outlineLevel="2" x14ac:dyDescent="0.3">
      <c r="A571" s="6">
        <v>7</v>
      </c>
      <c r="B571" t="s">
        <v>175</v>
      </c>
      <c r="C571" s="9" t="s">
        <v>932</v>
      </c>
      <c r="D571" s="9">
        <v>24</v>
      </c>
      <c r="E571" s="9" t="s">
        <v>1804</v>
      </c>
      <c r="F571" t="s">
        <v>297</v>
      </c>
      <c r="G571" t="s">
        <v>298</v>
      </c>
      <c r="H571" t="s">
        <v>1771</v>
      </c>
    </row>
    <row r="572" spans="1:8" outlineLevel="2" x14ac:dyDescent="0.3">
      <c r="A572" s="6">
        <v>7</v>
      </c>
      <c r="B572" t="s">
        <v>175</v>
      </c>
      <c r="C572" s="9" t="s">
        <v>932</v>
      </c>
      <c r="D572" s="9">
        <v>12</v>
      </c>
      <c r="E572" s="9" t="s">
        <v>1804</v>
      </c>
      <c r="F572" t="s">
        <v>300</v>
      </c>
      <c r="G572" t="s">
        <v>301</v>
      </c>
      <c r="H572" t="s">
        <v>1776</v>
      </c>
    </row>
    <row r="573" spans="1:8" outlineLevel="2" x14ac:dyDescent="0.3">
      <c r="A573" s="6">
        <v>7</v>
      </c>
      <c r="B573" t="s">
        <v>175</v>
      </c>
      <c r="C573" s="9" t="s">
        <v>932</v>
      </c>
      <c r="D573" s="9">
        <v>24</v>
      </c>
      <c r="E573" s="9" t="s">
        <v>1804</v>
      </c>
      <c r="F573" t="s">
        <v>303</v>
      </c>
      <c r="G573" t="s">
        <v>301</v>
      </c>
      <c r="H573" t="s">
        <v>1758</v>
      </c>
    </row>
    <row r="574" spans="1:8" outlineLevel="2" x14ac:dyDescent="0.3">
      <c r="A574" s="6">
        <v>7</v>
      </c>
      <c r="B574" t="s">
        <v>175</v>
      </c>
      <c r="C574" s="9" t="s">
        <v>1807</v>
      </c>
      <c r="D574" s="9">
        <v>320</v>
      </c>
      <c r="E574" s="9" t="s">
        <v>1808</v>
      </c>
      <c r="F574" t="s">
        <v>304</v>
      </c>
      <c r="G574" t="s">
        <v>305</v>
      </c>
      <c r="H574" t="s">
        <v>1785</v>
      </c>
    </row>
    <row r="575" spans="1:8" outlineLevel="2" x14ac:dyDescent="0.3">
      <c r="A575" s="6">
        <v>7</v>
      </c>
      <c r="B575" t="s">
        <v>175</v>
      </c>
      <c r="C575" s="9" t="s">
        <v>932</v>
      </c>
      <c r="D575" s="9">
        <v>17</v>
      </c>
      <c r="E575" s="9" t="s">
        <v>1804</v>
      </c>
      <c r="F575" t="s">
        <v>307</v>
      </c>
      <c r="G575" t="s">
        <v>122</v>
      </c>
      <c r="H575" t="s">
        <v>1098</v>
      </c>
    </row>
    <row r="576" spans="1:8" outlineLevel="2" x14ac:dyDescent="0.3">
      <c r="A576" s="6">
        <v>7</v>
      </c>
      <c r="B576" t="s">
        <v>175</v>
      </c>
      <c r="C576" s="9" t="s">
        <v>1807</v>
      </c>
      <c r="D576" s="9">
        <v>600</v>
      </c>
      <c r="E576" s="9" t="s">
        <v>1808</v>
      </c>
      <c r="F576" t="s">
        <v>308</v>
      </c>
      <c r="G576" t="s">
        <v>309</v>
      </c>
      <c r="H576" t="s">
        <v>1788</v>
      </c>
    </row>
    <row r="577" spans="1:8" outlineLevel="2" x14ac:dyDescent="0.3">
      <c r="A577" s="6">
        <v>7</v>
      </c>
      <c r="B577" t="s">
        <v>175</v>
      </c>
      <c r="C577" s="9" t="s">
        <v>932</v>
      </c>
      <c r="D577" s="9">
        <v>18</v>
      </c>
      <c r="E577" s="9" t="s">
        <v>1804</v>
      </c>
      <c r="F577" t="s">
        <v>65</v>
      </c>
      <c r="G577" t="s">
        <v>66</v>
      </c>
      <c r="H577" t="s">
        <v>1791</v>
      </c>
    </row>
    <row r="578" spans="1:8" outlineLevel="2" x14ac:dyDescent="0.3">
      <c r="A578" s="6">
        <v>7</v>
      </c>
      <c r="B578" t="s">
        <v>175</v>
      </c>
      <c r="C578" s="9" t="s">
        <v>932</v>
      </c>
      <c r="D578" s="9">
        <v>14</v>
      </c>
      <c r="E578" s="9" t="s">
        <v>1804</v>
      </c>
      <c r="F578" t="s">
        <v>311</v>
      </c>
      <c r="G578" t="s">
        <v>312</v>
      </c>
      <c r="H578" t="s">
        <v>951</v>
      </c>
    </row>
    <row r="579" spans="1:8" outlineLevel="2" x14ac:dyDescent="0.3">
      <c r="A579" s="6">
        <v>7</v>
      </c>
      <c r="B579" t="s">
        <v>175</v>
      </c>
      <c r="C579" s="9" t="s">
        <v>932</v>
      </c>
      <c r="D579" s="9">
        <v>30</v>
      </c>
      <c r="E579" s="9" t="s">
        <v>1804</v>
      </c>
      <c r="F579" t="s">
        <v>314</v>
      </c>
      <c r="G579" t="s">
        <v>312</v>
      </c>
      <c r="H579" t="s">
        <v>953</v>
      </c>
    </row>
    <row r="580" spans="1:8" outlineLevel="2" x14ac:dyDescent="0.3">
      <c r="A580" s="6">
        <v>7</v>
      </c>
      <c r="B580" t="s">
        <v>175</v>
      </c>
      <c r="C580" s="9" t="s">
        <v>1807</v>
      </c>
      <c r="D580" s="9">
        <v>420</v>
      </c>
      <c r="E580" s="9" t="s">
        <v>1808</v>
      </c>
      <c r="F580" t="s">
        <v>68</v>
      </c>
      <c r="G580" t="s">
        <v>69</v>
      </c>
      <c r="H580" t="s">
        <v>1551</v>
      </c>
    </row>
    <row r="581" spans="1:8" outlineLevel="2" x14ac:dyDescent="0.3">
      <c r="A581" s="6">
        <v>7</v>
      </c>
      <c r="B581" t="s">
        <v>175</v>
      </c>
      <c r="C581" s="9" t="s">
        <v>932</v>
      </c>
      <c r="D581" s="9">
        <v>24</v>
      </c>
      <c r="E581" s="9" t="s">
        <v>1804</v>
      </c>
      <c r="F581" t="s">
        <v>316</v>
      </c>
      <c r="G581" t="s">
        <v>129</v>
      </c>
      <c r="H581" t="s">
        <v>1562</v>
      </c>
    </row>
    <row r="582" spans="1:8" outlineLevel="2" x14ac:dyDescent="0.3">
      <c r="A582" s="6">
        <v>7</v>
      </c>
      <c r="B582" t="s">
        <v>175</v>
      </c>
      <c r="C582" s="9" t="s">
        <v>1807</v>
      </c>
      <c r="D582" s="9">
        <v>770</v>
      </c>
      <c r="E582" s="9" t="s">
        <v>1808</v>
      </c>
      <c r="F582" t="s">
        <v>71</v>
      </c>
      <c r="G582" t="s">
        <v>72</v>
      </c>
      <c r="H582" t="s">
        <v>1565</v>
      </c>
    </row>
    <row r="583" spans="1:8" outlineLevel="2" x14ac:dyDescent="0.3">
      <c r="A583" s="6">
        <v>7</v>
      </c>
      <c r="B583" t="s">
        <v>175</v>
      </c>
      <c r="C583" s="9" t="s">
        <v>1807</v>
      </c>
      <c r="D583" s="9">
        <v>518</v>
      </c>
      <c r="E583" s="9" t="s">
        <v>1808</v>
      </c>
      <c r="F583" t="s">
        <v>74</v>
      </c>
      <c r="G583" t="s">
        <v>72</v>
      </c>
      <c r="H583" t="s">
        <v>1566</v>
      </c>
    </row>
    <row r="584" spans="1:8" outlineLevel="2" x14ac:dyDescent="0.3">
      <c r="A584" s="6">
        <v>7</v>
      </c>
      <c r="B584" t="s">
        <v>175</v>
      </c>
      <c r="C584" s="9" t="s">
        <v>932</v>
      </c>
      <c r="D584" s="9">
        <v>15</v>
      </c>
      <c r="E584" s="9" t="s">
        <v>1804</v>
      </c>
      <c r="F584" t="s">
        <v>317</v>
      </c>
      <c r="G584" t="s">
        <v>1825</v>
      </c>
      <c r="H584" t="s">
        <v>1826</v>
      </c>
    </row>
    <row r="585" spans="1:8" outlineLevel="2" x14ac:dyDescent="0.3">
      <c r="A585" s="6">
        <v>7</v>
      </c>
      <c r="B585" t="s">
        <v>175</v>
      </c>
      <c r="C585" s="9" t="s">
        <v>1807</v>
      </c>
      <c r="D585" s="9">
        <v>538</v>
      </c>
      <c r="E585" s="9" t="s">
        <v>1808</v>
      </c>
      <c r="F585" t="s">
        <v>75</v>
      </c>
      <c r="G585" t="s">
        <v>76</v>
      </c>
      <c r="H585" t="s">
        <v>1549</v>
      </c>
    </row>
    <row r="586" spans="1:8" outlineLevel="2" x14ac:dyDescent="0.3">
      <c r="A586" s="6">
        <v>7</v>
      </c>
      <c r="B586" t="s">
        <v>175</v>
      </c>
      <c r="C586" s="9" t="s">
        <v>1807</v>
      </c>
      <c r="D586" s="9">
        <v>398</v>
      </c>
      <c r="E586" s="9" t="s">
        <v>1808</v>
      </c>
      <c r="F586" t="s">
        <v>318</v>
      </c>
      <c r="G586" t="s">
        <v>76</v>
      </c>
      <c r="H586" t="s">
        <v>1578</v>
      </c>
    </row>
    <row r="587" spans="1:8" outlineLevel="2" x14ac:dyDescent="0.3">
      <c r="A587" s="6">
        <v>7</v>
      </c>
      <c r="B587" t="s">
        <v>175</v>
      </c>
      <c r="C587" s="9" t="s">
        <v>932</v>
      </c>
      <c r="D587" s="9">
        <v>24</v>
      </c>
      <c r="E587" s="9" t="s">
        <v>1804</v>
      </c>
      <c r="F587" t="s">
        <v>319</v>
      </c>
      <c r="G587" t="s">
        <v>320</v>
      </c>
      <c r="H587" t="s">
        <v>1245</v>
      </c>
    </row>
    <row r="588" spans="1:8" outlineLevel="2" x14ac:dyDescent="0.3">
      <c r="A588" s="6">
        <v>7</v>
      </c>
      <c r="B588" t="s">
        <v>175</v>
      </c>
      <c r="C588" s="9" t="s">
        <v>932</v>
      </c>
      <c r="D588" s="9">
        <v>24</v>
      </c>
      <c r="E588" s="9" t="s">
        <v>1804</v>
      </c>
      <c r="F588" t="s">
        <v>322</v>
      </c>
      <c r="G588" t="s">
        <v>320</v>
      </c>
      <c r="H588" t="s">
        <v>1246</v>
      </c>
    </row>
    <row r="589" spans="1:8" outlineLevel="2" x14ac:dyDescent="0.3">
      <c r="A589" s="6">
        <v>7</v>
      </c>
      <c r="B589" t="s">
        <v>175</v>
      </c>
      <c r="C589" s="9" t="s">
        <v>963</v>
      </c>
      <c r="D589" s="9">
        <v>64</v>
      </c>
      <c r="E589" s="9" t="s">
        <v>1804</v>
      </c>
      <c r="F589" t="s">
        <v>166</v>
      </c>
      <c r="G589" t="s">
        <v>80</v>
      </c>
      <c r="H589" t="s">
        <v>1416</v>
      </c>
    </row>
    <row r="590" spans="1:8" outlineLevel="2" x14ac:dyDescent="0.3">
      <c r="A590" s="6">
        <v>7</v>
      </c>
      <c r="B590" t="s">
        <v>175</v>
      </c>
      <c r="C590" s="9" t="s">
        <v>963</v>
      </c>
      <c r="D590" s="9">
        <v>72</v>
      </c>
      <c r="E590" s="9" t="s">
        <v>1804</v>
      </c>
      <c r="F590" t="s">
        <v>323</v>
      </c>
      <c r="G590" t="s">
        <v>190</v>
      </c>
      <c r="H590" t="s">
        <v>1338</v>
      </c>
    </row>
    <row r="591" spans="1:8" outlineLevel="2" x14ac:dyDescent="0.3">
      <c r="A591" s="6">
        <v>7</v>
      </c>
      <c r="B591" t="s">
        <v>175</v>
      </c>
      <c r="C591" s="9" t="s">
        <v>963</v>
      </c>
      <c r="D591" s="9">
        <v>61</v>
      </c>
      <c r="E591" s="9" t="s">
        <v>1804</v>
      </c>
      <c r="F591" t="s">
        <v>324</v>
      </c>
      <c r="G591" t="s">
        <v>193</v>
      </c>
      <c r="H591" t="s">
        <v>1339</v>
      </c>
    </row>
    <row r="592" spans="1:8" outlineLevel="2" x14ac:dyDescent="0.3">
      <c r="A592" s="6">
        <v>7</v>
      </c>
      <c r="B592" t="s">
        <v>175</v>
      </c>
      <c r="C592" s="9" t="s">
        <v>963</v>
      </c>
      <c r="D592" s="9">
        <v>64</v>
      </c>
      <c r="E592" s="9" t="s">
        <v>1804</v>
      </c>
      <c r="F592" t="s">
        <v>82</v>
      </c>
      <c r="G592" t="s">
        <v>83</v>
      </c>
      <c r="H592" t="s">
        <v>1340</v>
      </c>
    </row>
    <row r="593" spans="1:8" outlineLevel="2" x14ac:dyDescent="0.3">
      <c r="A593" s="6">
        <v>7</v>
      </c>
      <c r="B593" t="s">
        <v>175</v>
      </c>
      <c r="C593" s="9" t="s">
        <v>963</v>
      </c>
      <c r="D593" s="9">
        <v>88</v>
      </c>
      <c r="E593" s="9" t="s">
        <v>1804</v>
      </c>
      <c r="F593" t="s">
        <v>84</v>
      </c>
      <c r="G593" t="s">
        <v>85</v>
      </c>
      <c r="H593" t="s">
        <v>1342</v>
      </c>
    </row>
    <row r="594" spans="1:8" outlineLevel="2" x14ac:dyDescent="0.3">
      <c r="A594" s="6">
        <v>7</v>
      </c>
      <c r="B594" t="s">
        <v>175</v>
      </c>
      <c r="C594" s="9" t="s">
        <v>963</v>
      </c>
      <c r="D594" s="9">
        <v>70</v>
      </c>
      <c r="E594" s="9" t="s">
        <v>1804</v>
      </c>
      <c r="F594" t="s">
        <v>325</v>
      </c>
      <c r="G594" t="s">
        <v>196</v>
      </c>
      <c r="H594" t="s">
        <v>1344</v>
      </c>
    </row>
    <row r="595" spans="1:8" outlineLevel="2" x14ac:dyDescent="0.3">
      <c r="A595" s="6">
        <v>7</v>
      </c>
      <c r="B595" t="s">
        <v>175</v>
      </c>
      <c r="C595" s="9" t="s">
        <v>963</v>
      </c>
      <c r="D595" s="9">
        <v>65</v>
      </c>
      <c r="E595" s="9" t="s">
        <v>1804</v>
      </c>
      <c r="F595" t="s">
        <v>326</v>
      </c>
      <c r="G595" t="s">
        <v>200</v>
      </c>
      <c r="H595" t="s">
        <v>1346</v>
      </c>
    </row>
    <row r="596" spans="1:8" outlineLevel="2" x14ac:dyDescent="0.3">
      <c r="A596" s="6">
        <v>7</v>
      </c>
      <c r="B596" t="s">
        <v>175</v>
      </c>
      <c r="C596" s="9" t="s">
        <v>963</v>
      </c>
      <c r="D596" s="9">
        <v>70</v>
      </c>
      <c r="E596" s="9" t="s">
        <v>1804</v>
      </c>
      <c r="F596" t="s">
        <v>327</v>
      </c>
      <c r="G596" t="s">
        <v>459</v>
      </c>
      <c r="H596" t="s">
        <v>1347</v>
      </c>
    </row>
    <row r="597" spans="1:8" outlineLevel="2" x14ac:dyDescent="0.3">
      <c r="A597" s="6">
        <v>7</v>
      </c>
      <c r="B597" t="s">
        <v>175</v>
      </c>
      <c r="C597" s="9" t="s">
        <v>963</v>
      </c>
      <c r="D597" s="9">
        <v>74</v>
      </c>
      <c r="E597" s="9" t="s">
        <v>1804</v>
      </c>
      <c r="F597" t="s">
        <v>87</v>
      </c>
      <c r="G597" t="s">
        <v>88</v>
      </c>
      <c r="H597" t="s">
        <v>1349</v>
      </c>
    </row>
    <row r="598" spans="1:8" outlineLevel="2" x14ac:dyDescent="0.3">
      <c r="A598" s="6">
        <v>7</v>
      </c>
      <c r="B598" t="s">
        <v>175</v>
      </c>
      <c r="C598" s="9" t="s">
        <v>963</v>
      </c>
      <c r="D598" s="9">
        <v>77</v>
      </c>
      <c r="E598" s="9" t="s">
        <v>1804</v>
      </c>
      <c r="F598" t="s">
        <v>328</v>
      </c>
      <c r="G598" t="s">
        <v>329</v>
      </c>
      <c r="H598" t="s">
        <v>1350</v>
      </c>
    </row>
    <row r="599" spans="1:8" outlineLevel="2" x14ac:dyDescent="0.3">
      <c r="A599" s="6">
        <v>7</v>
      </c>
      <c r="B599" t="s">
        <v>175</v>
      </c>
      <c r="C599" s="9" t="s">
        <v>963</v>
      </c>
      <c r="D599" s="9">
        <v>73</v>
      </c>
      <c r="E599" s="9" t="s">
        <v>1804</v>
      </c>
      <c r="F599" t="s">
        <v>90</v>
      </c>
      <c r="G599" t="s">
        <v>15</v>
      </c>
      <c r="H599" t="s">
        <v>1351</v>
      </c>
    </row>
    <row r="600" spans="1:8" outlineLevel="2" x14ac:dyDescent="0.3">
      <c r="A600" s="6">
        <v>7</v>
      </c>
      <c r="B600" t="s">
        <v>175</v>
      </c>
      <c r="C600" s="9" t="s">
        <v>963</v>
      </c>
      <c r="D600" s="9">
        <v>77</v>
      </c>
      <c r="E600" s="9" t="s">
        <v>1804</v>
      </c>
      <c r="F600" t="s">
        <v>91</v>
      </c>
      <c r="G600" t="s">
        <v>92</v>
      </c>
      <c r="H600" t="s">
        <v>1353</v>
      </c>
    </row>
    <row r="601" spans="1:8" outlineLevel="2" x14ac:dyDescent="0.3">
      <c r="A601" s="6">
        <v>7</v>
      </c>
      <c r="B601" t="s">
        <v>175</v>
      </c>
      <c r="C601" s="9" t="s">
        <v>963</v>
      </c>
      <c r="D601" s="9">
        <v>77</v>
      </c>
      <c r="E601" s="9" t="s">
        <v>1804</v>
      </c>
      <c r="F601" t="s">
        <v>331</v>
      </c>
      <c r="G601" t="s">
        <v>92</v>
      </c>
      <c r="H601" t="s">
        <v>1354</v>
      </c>
    </row>
    <row r="602" spans="1:8" outlineLevel="2" x14ac:dyDescent="0.3">
      <c r="A602" s="6">
        <v>7</v>
      </c>
      <c r="B602" t="s">
        <v>175</v>
      </c>
      <c r="C602" s="9" t="s">
        <v>963</v>
      </c>
      <c r="D602" s="9">
        <v>76</v>
      </c>
      <c r="E602" s="9" t="s">
        <v>1804</v>
      </c>
      <c r="F602" t="s">
        <v>94</v>
      </c>
      <c r="G602" t="s">
        <v>95</v>
      </c>
      <c r="H602" t="s">
        <v>1355</v>
      </c>
    </row>
    <row r="603" spans="1:8" outlineLevel="2" x14ac:dyDescent="0.3">
      <c r="A603" s="6">
        <v>7</v>
      </c>
      <c r="B603" t="s">
        <v>175</v>
      </c>
      <c r="C603" s="9" t="s">
        <v>963</v>
      </c>
      <c r="D603" s="9">
        <v>76</v>
      </c>
      <c r="E603" s="9" t="s">
        <v>1804</v>
      </c>
      <c r="F603" t="s">
        <v>332</v>
      </c>
      <c r="G603" t="s">
        <v>333</v>
      </c>
      <c r="H603" t="s">
        <v>1358</v>
      </c>
    </row>
    <row r="604" spans="1:8" outlineLevel="2" x14ac:dyDescent="0.3">
      <c r="A604" s="6">
        <v>7</v>
      </c>
      <c r="B604" t="s">
        <v>175</v>
      </c>
      <c r="C604" s="9" t="s">
        <v>963</v>
      </c>
      <c r="D604" s="9">
        <v>76</v>
      </c>
      <c r="E604" s="9" t="s">
        <v>1804</v>
      </c>
      <c r="F604" t="s">
        <v>335</v>
      </c>
      <c r="G604" t="s">
        <v>336</v>
      </c>
      <c r="H604" t="s">
        <v>1359</v>
      </c>
    </row>
    <row r="605" spans="1:8" outlineLevel="2" x14ac:dyDescent="0.3">
      <c r="A605" s="6">
        <v>7</v>
      </c>
      <c r="B605" t="s">
        <v>175</v>
      </c>
      <c r="C605" s="9" t="s">
        <v>963</v>
      </c>
      <c r="D605" s="9">
        <v>72</v>
      </c>
      <c r="E605" s="9" t="s">
        <v>1804</v>
      </c>
      <c r="F605" t="s">
        <v>338</v>
      </c>
      <c r="G605" t="s">
        <v>339</v>
      </c>
      <c r="H605" t="s">
        <v>1362</v>
      </c>
    </row>
    <row r="606" spans="1:8" outlineLevel="2" x14ac:dyDescent="0.3">
      <c r="A606" s="6">
        <v>7</v>
      </c>
      <c r="B606" t="s">
        <v>175</v>
      </c>
      <c r="C606" s="9" t="s">
        <v>963</v>
      </c>
      <c r="D606" s="9">
        <v>60</v>
      </c>
      <c r="E606" s="9" t="s">
        <v>1804</v>
      </c>
      <c r="F606" t="s">
        <v>341</v>
      </c>
      <c r="G606" t="s">
        <v>209</v>
      </c>
      <c r="H606" t="s">
        <v>1363</v>
      </c>
    </row>
    <row r="607" spans="1:8" outlineLevel="2" x14ac:dyDescent="0.3">
      <c r="A607" s="6">
        <v>7</v>
      </c>
      <c r="B607" t="s">
        <v>175</v>
      </c>
      <c r="C607" s="9" t="s">
        <v>963</v>
      </c>
      <c r="D607" s="9">
        <v>72</v>
      </c>
      <c r="E607" s="9" t="s">
        <v>1804</v>
      </c>
      <c r="F607" t="s">
        <v>101</v>
      </c>
      <c r="G607" t="s">
        <v>102</v>
      </c>
      <c r="H607" t="s">
        <v>1365</v>
      </c>
    </row>
    <row r="608" spans="1:8" outlineLevel="2" x14ac:dyDescent="0.3">
      <c r="A608" s="6">
        <v>7</v>
      </c>
      <c r="B608" t="s">
        <v>175</v>
      </c>
      <c r="C608" s="9" t="s">
        <v>963</v>
      </c>
      <c r="D608" s="9">
        <v>60</v>
      </c>
      <c r="E608" s="9" t="s">
        <v>1804</v>
      </c>
      <c r="F608" t="s">
        <v>342</v>
      </c>
      <c r="G608" t="s">
        <v>343</v>
      </c>
      <c r="H608" t="s">
        <v>1191</v>
      </c>
    </row>
    <row r="609" spans="1:8" outlineLevel="2" x14ac:dyDescent="0.3">
      <c r="A609" s="6">
        <v>7</v>
      </c>
      <c r="B609" t="s">
        <v>175</v>
      </c>
      <c r="C609" s="9" t="s">
        <v>963</v>
      </c>
      <c r="D609" s="9">
        <v>75</v>
      </c>
      <c r="E609" s="9" t="s">
        <v>1804</v>
      </c>
      <c r="F609" t="s">
        <v>345</v>
      </c>
      <c r="G609" t="s">
        <v>215</v>
      </c>
      <c r="H609" t="s">
        <v>1115</v>
      </c>
    </row>
    <row r="610" spans="1:8" outlineLevel="2" x14ac:dyDescent="0.3">
      <c r="A610" s="6">
        <v>7</v>
      </c>
      <c r="B610" t="s">
        <v>175</v>
      </c>
      <c r="C610" s="9" t="s">
        <v>963</v>
      </c>
      <c r="D610" s="9">
        <v>60</v>
      </c>
      <c r="E610" s="9" t="s">
        <v>1804</v>
      </c>
      <c r="F610" t="s">
        <v>346</v>
      </c>
      <c r="G610" t="s">
        <v>347</v>
      </c>
      <c r="H610" t="s">
        <v>1532</v>
      </c>
    </row>
    <row r="611" spans="1:8" outlineLevel="2" x14ac:dyDescent="0.3">
      <c r="A611" s="6">
        <v>7</v>
      </c>
      <c r="B611" t="s">
        <v>175</v>
      </c>
      <c r="C611" s="9" t="s">
        <v>963</v>
      </c>
      <c r="D611" s="9">
        <v>63</v>
      </c>
      <c r="E611" s="9" t="s">
        <v>1804</v>
      </c>
      <c r="F611" t="s">
        <v>348</v>
      </c>
      <c r="G611" t="s">
        <v>168</v>
      </c>
      <c r="H611" t="s">
        <v>1533</v>
      </c>
    </row>
    <row r="612" spans="1:8" outlineLevel="2" x14ac:dyDescent="0.3">
      <c r="A612" s="6">
        <v>7</v>
      </c>
      <c r="B612" t="s">
        <v>175</v>
      </c>
      <c r="C612" s="9" t="s">
        <v>963</v>
      </c>
      <c r="D612" s="9">
        <v>60</v>
      </c>
      <c r="E612" s="9" t="s">
        <v>1804</v>
      </c>
      <c r="F612" t="s">
        <v>167</v>
      </c>
      <c r="G612" t="s">
        <v>168</v>
      </c>
      <c r="H612" t="s">
        <v>1533</v>
      </c>
    </row>
    <row r="613" spans="1:8" outlineLevel="2" x14ac:dyDescent="0.3">
      <c r="A613" s="6">
        <v>7</v>
      </c>
      <c r="B613" t="s">
        <v>175</v>
      </c>
      <c r="C613" s="9" t="s">
        <v>963</v>
      </c>
      <c r="D613" s="9">
        <v>63</v>
      </c>
      <c r="E613" s="9" t="s">
        <v>1804</v>
      </c>
      <c r="F613" t="s">
        <v>349</v>
      </c>
      <c r="G613" t="s">
        <v>32</v>
      </c>
      <c r="H613" t="s">
        <v>1537</v>
      </c>
    </row>
    <row r="614" spans="1:8" outlineLevel="2" x14ac:dyDescent="0.3">
      <c r="A614" s="6">
        <v>7</v>
      </c>
      <c r="B614" t="s">
        <v>175</v>
      </c>
      <c r="C614" s="9" t="s">
        <v>963</v>
      </c>
      <c r="D614" s="9">
        <v>63</v>
      </c>
      <c r="E614" s="9" t="s">
        <v>1804</v>
      </c>
      <c r="F614" t="s">
        <v>350</v>
      </c>
      <c r="G614" t="s">
        <v>504</v>
      </c>
      <c r="H614" t="s">
        <v>1538</v>
      </c>
    </row>
    <row r="615" spans="1:8" outlineLevel="2" x14ac:dyDescent="0.3">
      <c r="A615" s="6">
        <v>7</v>
      </c>
      <c r="B615" t="s">
        <v>175</v>
      </c>
      <c r="C615" s="9" t="s">
        <v>963</v>
      </c>
      <c r="D615" s="9">
        <v>60</v>
      </c>
      <c r="E615" s="9" t="s">
        <v>1804</v>
      </c>
      <c r="F615" t="s">
        <v>107</v>
      </c>
      <c r="G615" t="s">
        <v>108</v>
      </c>
      <c r="H615" t="s">
        <v>1140</v>
      </c>
    </row>
    <row r="616" spans="1:8" outlineLevel="2" x14ac:dyDescent="0.3">
      <c r="A616" s="6">
        <v>7</v>
      </c>
      <c r="B616" t="s">
        <v>175</v>
      </c>
      <c r="C616" s="9" t="s">
        <v>963</v>
      </c>
      <c r="D616" s="9">
        <v>60</v>
      </c>
      <c r="E616" s="9" t="s">
        <v>1804</v>
      </c>
      <c r="F616" t="s">
        <v>351</v>
      </c>
      <c r="G616" t="s">
        <v>38</v>
      </c>
      <c r="H616" t="s">
        <v>1142</v>
      </c>
    </row>
    <row r="617" spans="1:8" outlineLevel="2" x14ac:dyDescent="0.3">
      <c r="A617" s="6">
        <v>7</v>
      </c>
      <c r="B617" t="s">
        <v>175</v>
      </c>
      <c r="C617" s="9" t="s">
        <v>963</v>
      </c>
      <c r="D617" s="9">
        <v>64</v>
      </c>
      <c r="E617" s="9" t="s">
        <v>1804</v>
      </c>
      <c r="F617" t="s">
        <v>352</v>
      </c>
      <c r="G617" t="s">
        <v>41</v>
      </c>
      <c r="H617" t="s">
        <v>1144</v>
      </c>
    </row>
    <row r="618" spans="1:8" outlineLevel="2" x14ac:dyDescent="0.3">
      <c r="A618" s="6">
        <v>7</v>
      </c>
      <c r="B618" t="s">
        <v>175</v>
      </c>
      <c r="C618" s="9" t="s">
        <v>963</v>
      </c>
      <c r="D618" s="9">
        <v>60</v>
      </c>
      <c r="E618" s="9" t="s">
        <v>1804</v>
      </c>
      <c r="F618" t="s">
        <v>110</v>
      </c>
      <c r="G618" t="s">
        <v>41</v>
      </c>
      <c r="H618" t="s">
        <v>1144</v>
      </c>
    </row>
    <row r="619" spans="1:8" outlineLevel="2" x14ac:dyDescent="0.3">
      <c r="A619" s="6">
        <v>7</v>
      </c>
      <c r="B619" t="s">
        <v>175</v>
      </c>
      <c r="C619" s="9" t="s">
        <v>963</v>
      </c>
      <c r="D619" s="9">
        <v>66</v>
      </c>
      <c r="E619" s="9" t="s">
        <v>1804</v>
      </c>
      <c r="F619" t="s">
        <v>353</v>
      </c>
      <c r="G619" t="s">
        <v>354</v>
      </c>
      <c r="H619" t="s">
        <v>1020</v>
      </c>
    </row>
    <row r="620" spans="1:8" outlineLevel="2" x14ac:dyDescent="0.3">
      <c r="A620" s="6">
        <v>7</v>
      </c>
      <c r="B620" t="s">
        <v>175</v>
      </c>
      <c r="C620" s="9" t="s">
        <v>963</v>
      </c>
      <c r="D620" s="9">
        <v>64</v>
      </c>
      <c r="E620" s="9" t="s">
        <v>1804</v>
      </c>
      <c r="F620" t="s">
        <v>356</v>
      </c>
      <c r="G620" t="s">
        <v>115</v>
      </c>
      <c r="H620" t="s">
        <v>1121</v>
      </c>
    </row>
    <row r="621" spans="1:8" outlineLevel="2" x14ac:dyDescent="0.3">
      <c r="A621" s="6">
        <v>7</v>
      </c>
      <c r="B621" t="s">
        <v>175</v>
      </c>
      <c r="C621" s="9" t="s">
        <v>963</v>
      </c>
      <c r="D621" s="9">
        <v>64</v>
      </c>
      <c r="E621" s="9" t="s">
        <v>1804</v>
      </c>
      <c r="F621" t="s">
        <v>173</v>
      </c>
      <c r="G621" t="s">
        <v>118</v>
      </c>
      <c r="H621" t="s">
        <v>1419</v>
      </c>
    </row>
    <row r="622" spans="1:8" outlineLevel="2" x14ac:dyDescent="0.3">
      <c r="A622" s="6">
        <v>7</v>
      </c>
      <c r="B622" t="s">
        <v>175</v>
      </c>
      <c r="C622" s="9" t="s">
        <v>963</v>
      </c>
      <c r="D622" s="9">
        <v>60</v>
      </c>
      <c r="E622" s="9" t="s">
        <v>1804</v>
      </c>
      <c r="F622" t="s">
        <v>120</v>
      </c>
      <c r="G622" t="s">
        <v>51</v>
      </c>
      <c r="H622" t="s">
        <v>1590</v>
      </c>
    </row>
    <row r="623" spans="1:8" outlineLevel="2" x14ac:dyDescent="0.3">
      <c r="A623" s="6">
        <v>7</v>
      </c>
      <c r="B623" t="s">
        <v>175</v>
      </c>
      <c r="C623" s="9" t="s">
        <v>963</v>
      </c>
      <c r="D623" s="9">
        <v>61</v>
      </c>
      <c r="E623" s="9" t="s">
        <v>1804</v>
      </c>
      <c r="F623" t="s">
        <v>357</v>
      </c>
      <c r="G623" t="s">
        <v>616</v>
      </c>
      <c r="H623" t="s">
        <v>1827</v>
      </c>
    </row>
    <row r="624" spans="1:8" outlineLevel="2" x14ac:dyDescent="0.3">
      <c r="A624" s="6">
        <v>7</v>
      </c>
      <c r="B624" t="s">
        <v>175</v>
      </c>
      <c r="C624" s="9" t="s">
        <v>963</v>
      </c>
      <c r="D624" s="9">
        <v>60</v>
      </c>
      <c r="E624" s="9" t="s">
        <v>1804</v>
      </c>
      <c r="F624" t="s">
        <v>358</v>
      </c>
      <c r="G624" t="s">
        <v>359</v>
      </c>
      <c r="H624" t="s">
        <v>1021</v>
      </c>
    </row>
    <row r="625" spans="1:8" outlineLevel="2" x14ac:dyDescent="0.3">
      <c r="A625" s="6">
        <v>7</v>
      </c>
      <c r="B625" t="s">
        <v>175</v>
      </c>
      <c r="C625" s="9" t="s">
        <v>963</v>
      </c>
      <c r="D625" s="9">
        <v>60</v>
      </c>
      <c r="E625" s="9" t="s">
        <v>1804</v>
      </c>
      <c r="F625" t="s">
        <v>361</v>
      </c>
      <c r="G625" t="s">
        <v>283</v>
      </c>
      <c r="H625" t="s">
        <v>1793</v>
      </c>
    </row>
    <row r="626" spans="1:8" outlineLevel="2" x14ac:dyDescent="0.3">
      <c r="A626" s="6">
        <v>7</v>
      </c>
      <c r="B626" t="s">
        <v>175</v>
      </c>
      <c r="C626" s="9" t="s">
        <v>963</v>
      </c>
      <c r="D626" s="9">
        <v>64</v>
      </c>
      <c r="E626" s="9" t="s">
        <v>1804</v>
      </c>
      <c r="F626" t="s">
        <v>362</v>
      </c>
      <c r="G626" t="s">
        <v>298</v>
      </c>
      <c r="H626" t="s">
        <v>1794</v>
      </c>
    </row>
    <row r="627" spans="1:8" outlineLevel="2" x14ac:dyDescent="0.3">
      <c r="A627" s="6">
        <v>7</v>
      </c>
      <c r="B627" t="s">
        <v>175</v>
      </c>
      <c r="C627" s="9" t="s">
        <v>963</v>
      </c>
      <c r="D627" s="9">
        <v>64</v>
      </c>
      <c r="E627" s="9" t="s">
        <v>1804</v>
      </c>
      <c r="F627" t="s">
        <v>363</v>
      </c>
      <c r="G627" t="s">
        <v>301</v>
      </c>
      <c r="H627" t="s">
        <v>1797</v>
      </c>
    </row>
    <row r="628" spans="1:8" outlineLevel="2" x14ac:dyDescent="0.3">
      <c r="A628" s="6">
        <v>7</v>
      </c>
      <c r="B628" t="s">
        <v>175</v>
      </c>
      <c r="C628" s="9" t="s">
        <v>963</v>
      </c>
      <c r="D628" s="9">
        <v>83</v>
      </c>
      <c r="E628" s="9" t="s">
        <v>1804</v>
      </c>
      <c r="F628" t="s">
        <v>364</v>
      </c>
      <c r="G628" t="s">
        <v>301</v>
      </c>
      <c r="H628" t="s">
        <v>1795</v>
      </c>
    </row>
    <row r="629" spans="1:8" outlineLevel="2" x14ac:dyDescent="0.3">
      <c r="A629" s="6">
        <v>7</v>
      </c>
      <c r="B629" t="s">
        <v>175</v>
      </c>
      <c r="C629" s="9" t="s">
        <v>963</v>
      </c>
      <c r="D629" s="9">
        <v>60</v>
      </c>
      <c r="E629" s="9" t="s">
        <v>1804</v>
      </c>
      <c r="F629" t="s">
        <v>365</v>
      </c>
      <c r="G629" t="s">
        <v>301</v>
      </c>
      <c r="H629" t="s">
        <v>1796</v>
      </c>
    </row>
    <row r="630" spans="1:8" outlineLevel="2" x14ac:dyDescent="0.3">
      <c r="A630" s="6">
        <v>7</v>
      </c>
      <c r="B630" t="s">
        <v>175</v>
      </c>
      <c r="C630" s="9" t="s">
        <v>963</v>
      </c>
      <c r="D630" s="9">
        <v>60</v>
      </c>
      <c r="E630" s="9" t="s">
        <v>1804</v>
      </c>
      <c r="F630" t="s">
        <v>366</v>
      </c>
      <c r="G630" t="s">
        <v>301</v>
      </c>
      <c r="H630" t="s">
        <v>1797</v>
      </c>
    </row>
    <row r="631" spans="1:8" outlineLevel="2" x14ac:dyDescent="0.3">
      <c r="A631" s="6">
        <v>7</v>
      </c>
      <c r="B631" t="s">
        <v>175</v>
      </c>
      <c r="C631" s="9" t="s">
        <v>963</v>
      </c>
      <c r="D631" s="9">
        <v>64</v>
      </c>
      <c r="E631" s="9" t="s">
        <v>1804</v>
      </c>
      <c r="F631" t="s">
        <v>121</v>
      </c>
      <c r="G631" t="s">
        <v>122</v>
      </c>
      <c r="H631" t="s">
        <v>1125</v>
      </c>
    </row>
    <row r="632" spans="1:8" outlineLevel="2" x14ac:dyDescent="0.3">
      <c r="A632" s="6">
        <v>7</v>
      </c>
      <c r="B632" t="s">
        <v>175</v>
      </c>
      <c r="C632" s="9" t="s">
        <v>963</v>
      </c>
      <c r="D632" s="9">
        <v>60</v>
      </c>
      <c r="E632" s="9" t="s">
        <v>1804</v>
      </c>
      <c r="F632" t="s">
        <v>367</v>
      </c>
      <c r="G632" t="s">
        <v>368</v>
      </c>
      <c r="H632" t="s">
        <v>1688</v>
      </c>
    </row>
    <row r="633" spans="1:8" outlineLevel="2" x14ac:dyDescent="0.3">
      <c r="A633" s="6">
        <v>7</v>
      </c>
      <c r="B633" t="s">
        <v>175</v>
      </c>
      <c r="C633" s="9" t="s">
        <v>963</v>
      </c>
      <c r="D633" s="9">
        <v>64</v>
      </c>
      <c r="E633" s="9" t="s">
        <v>1804</v>
      </c>
      <c r="F633" t="s">
        <v>370</v>
      </c>
      <c r="G633" t="s">
        <v>66</v>
      </c>
      <c r="H633" t="s">
        <v>1799</v>
      </c>
    </row>
    <row r="634" spans="1:8" outlineLevel="2" x14ac:dyDescent="0.3">
      <c r="A634" s="6">
        <v>7</v>
      </c>
      <c r="B634" t="s">
        <v>175</v>
      </c>
      <c r="C634" s="9" t="s">
        <v>963</v>
      </c>
      <c r="D634" s="9">
        <v>60</v>
      </c>
      <c r="E634" s="9" t="s">
        <v>1804</v>
      </c>
      <c r="F634" t="s">
        <v>371</v>
      </c>
      <c r="G634" t="s">
        <v>66</v>
      </c>
      <c r="H634" t="s">
        <v>1799</v>
      </c>
    </row>
    <row r="635" spans="1:8" outlineLevel="2" x14ac:dyDescent="0.3">
      <c r="A635" s="6">
        <v>7</v>
      </c>
      <c r="B635" t="s">
        <v>175</v>
      </c>
      <c r="C635" s="9" t="s">
        <v>963</v>
      </c>
      <c r="D635" s="9">
        <v>64</v>
      </c>
      <c r="E635" s="9" t="s">
        <v>1804</v>
      </c>
      <c r="F635" t="s">
        <v>372</v>
      </c>
      <c r="G635" t="s">
        <v>312</v>
      </c>
      <c r="H635" t="s">
        <v>973</v>
      </c>
    </row>
    <row r="636" spans="1:8" outlineLevel="2" x14ac:dyDescent="0.3">
      <c r="A636" s="6">
        <v>7</v>
      </c>
      <c r="B636" t="s">
        <v>175</v>
      </c>
      <c r="C636" s="9" t="s">
        <v>963</v>
      </c>
      <c r="D636" s="9">
        <v>72</v>
      </c>
      <c r="E636" s="9" t="s">
        <v>1804</v>
      </c>
      <c r="F636" t="s">
        <v>373</v>
      </c>
      <c r="G636" t="s">
        <v>832</v>
      </c>
      <c r="H636" t="s">
        <v>1828</v>
      </c>
    </row>
    <row r="637" spans="1:8" outlineLevel="2" x14ac:dyDescent="0.3">
      <c r="A637" s="6">
        <v>7</v>
      </c>
      <c r="B637" t="s">
        <v>175</v>
      </c>
      <c r="C637" s="9" t="s">
        <v>963</v>
      </c>
      <c r="D637" s="9">
        <v>64</v>
      </c>
      <c r="E637" s="9" t="s">
        <v>1804</v>
      </c>
      <c r="F637" t="s">
        <v>125</v>
      </c>
      <c r="G637" t="s">
        <v>126</v>
      </c>
      <c r="H637" t="s">
        <v>1581</v>
      </c>
    </row>
    <row r="638" spans="1:8" outlineLevel="2" x14ac:dyDescent="0.3">
      <c r="A638" s="6">
        <v>7</v>
      </c>
      <c r="B638" t="s">
        <v>175</v>
      </c>
      <c r="C638" s="9" t="s">
        <v>963</v>
      </c>
      <c r="D638" s="9">
        <v>64</v>
      </c>
      <c r="E638" s="9" t="s">
        <v>1804</v>
      </c>
      <c r="F638" t="s">
        <v>374</v>
      </c>
      <c r="G638" t="s">
        <v>129</v>
      </c>
      <c r="H638" t="s">
        <v>1582</v>
      </c>
    </row>
    <row r="639" spans="1:8" outlineLevel="2" x14ac:dyDescent="0.3">
      <c r="A639" s="6">
        <v>7</v>
      </c>
      <c r="B639" t="s">
        <v>175</v>
      </c>
      <c r="C639" s="9" t="s">
        <v>963</v>
      </c>
      <c r="D639" s="9">
        <v>60</v>
      </c>
      <c r="E639" s="9" t="s">
        <v>1804</v>
      </c>
      <c r="F639" t="s">
        <v>128</v>
      </c>
      <c r="G639" t="s">
        <v>129</v>
      </c>
      <c r="H639" t="s">
        <v>1582</v>
      </c>
    </row>
    <row r="640" spans="1:8" outlineLevel="2" x14ac:dyDescent="0.3">
      <c r="A640" s="6">
        <v>7</v>
      </c>
      <c r="B640" t="s">
        <v>175</v>
      </c>
      <c r="C640" s="9" t="s">
        <v>963</v>
      </c>
      <c r="D640" s="9">
        <v>60</v>
      </c>
      <c r="E640" s="9" t="s">
        <v>1804</v>
      </c>
      <c r="F640" t="s">
        <v>375</v>
      </c>
      <c r="G640" t="s">
        <v>376</v>
      </c>
      <c r="H640" t="s">
        <v>1586</v>
      </c>
    </row>
    <row r="641" spans="1:8" outlineLevel="2" x14ac:dyDescent="0.3">
      <c r="A641" s="6">
        <v>7</v>
      </c>
      <c r="B641" t="s">
        <v>175</v>
      </c>
      <c r="C641" s="9" t="s">
        <v>963</v>
      </c>
      <c r="D641" s="9">
        <v>60</v>
      </c>
      <c r="E641" s="9" t="s">
        <v>1804</v>
      </c>
      <c r="F641" t="s">
        <v>378</v>
      </c>
      <c r="G641" t="s">
        <v>320</v>
      </c>
      <c r="H641" t="s">
        <v>1247</v>
      </c>
    </row>
    <row r="642" spans="1:8" outlineLevel="1" x14ac:dyDescent="0.3">
      <c r="A642" s="16" t="s">
        <v>2193</v>
      </c>
      <c r="H642">
        <f>SUBTOTAL(3,H493:H641)</f>
        <v>149</v>
      </c>
    </row>
    <row r="643" spans="1:8" outlineLevel="2" x14ac:dyDescent="0.3">
      <c r="A643" s="6">
        <v>8</v>
      </c>
      <c r="B643" t="s">
        <v>132</v>
      </c>
      <c r="C643" s="9" t="s">
        <v>932</v>
      </c>
      <c r="D643" s="9">
        <v>15</v>
      </c>
      <c r="E643" s="9" t="s">
        <v>1804</v>
      </c>
      <c r="F643" t="s">
        <v>133</v>
      </c>
      <c r="G643" t="s">
        <v>134</v>
      </c>
      <c r="H643" t="s">
        <v>947</v>
      </c>
    </row>
    <row r="644" spans="1:8" outlineLevel="2" x14ac:dyDescent="0.3">
      <c r="A644" s="6">
        <v>8</v>
      </c>
      <c r="B644" t="s">
        <v>132</v>
      </c>
      <c r="C644" s="9" t="s">
        <v>932</v>
      </c>
      <c r="D644" s="9">
        <v>30</v>
      </c>
      <c r="E644" s="9" t="s">
        <v>1804</v>
      </c>
      <c r="F644" t="s">
        <v>136</v>
      </c>
      <c r="G644" t="s">
        <v>134</v>
      </c>
      <c r="H644" t="s">
        <v>948</v>
      </c>
    </row>
    <row r="645" spans="1:8" outlineLevel="2" x14ac:dyDescent="0.3">
      <c r="A645" s="6">
        <v>8</v>
      </c>
      <c r="B645" t="s">
        <v>132</v>
      </c>
      <c r="C645" s="9" t="s">
        <v>976</v>
      </c>
      <c r="D645" s="9">
        <v>62</v>
      </c>
      <c r="E645" s="9" t="s">
        <v>1804</v>
      </c>
      <c r="F645" t="s">
        <v>137</v>
      </c>
      <c r="G645" t="s">
        <v>138</v>
      </c>
      <c r="H645" t="s">
        <v>1367</v>
      </c>
    </row>
    <row r="646" spans="1:8" outlineLevel="2" x14ac:dyDescent="0.3">
      <c r="A646" s="6">
        <v>8</v>
      </c>
      <c r="B646" t="s">
        <v>132</v>
      </c>
      <c r="C646" s="9" t="s">
        <v>932</v>
      </c>
      <c r="D646" s="9">
        <v>14</v>
      </c>
      <c r="E646" s="9" t="s">
        <v>1804</v>
      </c>
      <c r="F646" t="s">
        <v>140</v>
      </c>
      <c r="G646" t="s">
        <v>138</v>
      </c>
      <c r="H646" t="s">
        <v>1368</v>
      </c>
    </row>
    <row r="647" spans="1:8" outlineLevel="2" x14ac:dyDescent="0.3">
      <c r="A647" s="6">
        <v>8</v>
      </c>
      <c r="B647" t="s">
        <v>132</v>
      </c>
      <c r="C647" s="9" t="s">
        <v>932</v>
      </c>
      <c r="D647" s="9">
        <v>15</v>
      </c>
      <c r="E647" s="9" t="s">
        <v>1804</v>
      </c>
      <c r="F647" t="s">
        <v>141</v>
      </c>
      <c r="G647" t="s">
        <v>138</v>
      </c>
      <c r="H647" t="s">
        <v>1371</v>
      </c>
    </row>
    <row r="648" spans="1:8" outlineLevel="2" x14ac:dyDescent="0.3">
      <c r="A648" s="6">
        <v>8</v>
      </c>
      <c r="B648" t="s">
        <v>132</v>
      </c>
      <c r="C648" s="9" t="s">
        <v>932</v>
      </c>
      <c r="D648" s="9">
        <v>17</v>
      </c>
      <c r="E648" s="9" t="s">
        <v>1804</v>
      </c>
      <c r="F648" t="s">
        <v>142</v>
      </c>
      <c r="G648" t="s">
        <v>138</v>
      </c>
      <c r="H648" t="s">
        <v>1372</v>
      </c>
    </row>
    <row r="649" spans="1:8" outlineLevel="2" x14ac:dyDescent="0.3">
      <c r="A649" s="6">
        <v>8</v>
      </c>
      <c r="B649" t="s">
        <v>132</v>
      </c>
      <c r="C649" s="9" t="s">
        <v>932</v>
      </c>
      <c r="D649" s="9">
        <v>12</v>
      </c>
      <c r="E649" s="9" t="s">
        <v>1804</v>
      </c>
      <c r="F649" t="s">
        <v>143</v>
      </c>
      <c r="G649" t="s">
        <v>144</v>
      </c>
      <c r="H649" t="s">
        <v>1694</v>
      </c>
    </row>
    <row r="650" spans="1:8" outlineLevel="2" x14ac:dyDescent="0.3">
      <c r="A650" s="6">
        <v>8</v>
      </c>
      <c r="B650" t="s">
        <v>132</v>
      </c>
      <c r="C650" s="9" t="s">
        <v>932</v>
      </c>
      <c r="D650" s="9">
        <v>30</v>
      </c>
      <c r="E650" s="9" t="s">
        <v>1804</v>
      </c>
      <c r="F650" t="s">
        <v>146</v>
      </c>
      <c r="G650" t="s">
        <v>147</v>
      </c>
      <c r="H650" t="s">
        <v>1377</v>
      </c>
    </row>
    <row r="651" spans="1:8" outlineLevel="2" x14ac:dyDescent="0.3">
      <c r="A651" s="6">
        <v>8</v>
      </c>
      <c r="B651" t="s">
        <v>132</v>
      </c>
      <c r="C651" s="9" t="s">
        <v>932</v>
      </c>
      <c r="D651" s="9">
        <v>15</v>
      </c>
      <c r="E651" s="9" t="s">
        <v>1804</v>
      </c>
      <c r="F651" t="s">
        <v>149</v>
      </c>
      <c r="G651" t="s">
        <v>147</v>
      </c>
      <c r="H651" t="s">
        <v>1378</v>
      </c>
    </row>
    <row r="652" spans="1:8" outlineLevel="2" x14ac:dyDescent="0.3">
      <c r="A652" s="6">
        <v>8</v>
      </c>
      <c r="B652" t="s">
        <v>132</v>
      </c>
      <c r="C652" s="9" t="s">
        <v>932</v>
      </c>
      <c r="D652" s="9">
        <v>13</v>
      </c>
      <c r="E652" s="9" t="s">
        <v>1804</v>
      </c>
      <c r="F652" t="s">
        <v>150</v>
      </c>
      <c r="G652" t="s">
        <v>147</v>
      </c>
      <c r="H652" t="s">
        <v>1379</v>
      </c>
    </row>
    <row r="653" spans="1:8" outlineLevel="2" x14ac:dyDescent="0.3">
      <c r="A653" s="6">
        <v>8</v>
      </c>
      <c r="B653" t="s">
        <v>132</v>
      </c>
      <c r="C653" s="9" t="s">
        <v>932</v>
      </c>
      <c r="D653" s="9">
        <v>19</v>
      </c>
      <c r="E653" s="9" t="s">
        <v>1804</v>
      </c>
      <c r="F653" t="s">
        <v>151</v>
      </c>
      <c r="G653" t="s">
        <v>147</v>
      </c>
      <c r="H653" t="s">
        <v>1380</v>
      </c>
    </row>
    <row r="654" spans="1:8" outlineLevel="2" x14ac:dyDescent="0.3">
      <c r="A654" s="6">
        <v>8</v>
      </c>
      <c r="B654" t="s">
        <v>132</v>
      </c>
      <c r="C654" s="9" t="s">
        <v>1266</v>
      </c>
      <c r="D654" s="9">
        <v>12</v>
      </c>
      <c r="E654" s="9" t="s">
        <v>1804</v>
      </c>
      <c r="F654" t="s">
        <v>17</v>
      </c>
      <c r="G654" t="s">
        <v>15</v>
      </c>
      <c r="H654" t="s">
        <v>1291</v>
      </c>
    </row>
    <row r="655" spans="1:8" outlineLevel="2" x14ac:dyDescent="0.3">
      <c r="A655" s="6">
        <v>8</v>
      </c>
      <c r="B655" t="s">
        <v>132</v>
      </c>
      <c r="C655" s="9" t="s">
        <v>1807</v>
      </c>
      <c r="D655" s="9">
        <v>165</v>
      </c>
      <c r="E655" s="9" t="s">
        <v>1808</v>
      </c>
      <c r="F655" t="s">
        <v>152</v>
      </c>
      <c r="G655" t="s">
        <v>26</v>
      </c>
      <c r="H655" t="s">
        <v>1335</v>
      </c>
    </row>
    <row r="656" spans="1:8" outlineLevel="2" x14ac:dyDescent="0.3">
      <c r="A656" s="6">
        <v>8</v>
      </c>
      <c r="B656" t="s">
        <v>132</v>
      </c>
      <c r="C656" s="9" t="s">
        <v>932</v>
      </c>
      <c r="D656" s="9">
        <v>12</v>
      </c>
      <c r="E656" s="9" t="s">
        <v>1804</v>
      </c>
      <c r="F656" t="s">
        <v>153</v>
      </c>
      <c r="G656" t="s">
        <v>108</v>
      </c>
      <c r="H656" t="s">
        <v>1150</v>
      </c>
    </row>
    <row r="657" spans="1:8" outlineLevel="2" x14ac:dyDescent="0.3">
      <c r="A657" s="6">
        <v>8</v>
      </c>
      <c r="B657" t="s">
        <v>132</v>
      </c>
      <c r="C657" s="9" t="s">
        <v>932</v>
      </c>
      <c r="D657" s="9">
        <v>18</v>
      </c>
      <c r="E657" s="9" t="s">
        <v>1804</v>
      </c>
      <c r="F657" t="s">
        <v>154</v>
      </c>
      <c r="G657" t="s">
        <v>108</v>
      </c>
      <c r="H657" t="s">
        <v>1151</v>
      </c>
    </row>
    <row r="658" spans="1:8" outlineLevel="2" x14ac:dyDescent="0.3">
      <c r="A658" s="6">
        <v>8</v>
      </c>
      <c r="B658" t="s">
        <v>132</v>
      </c>
      <c r="C658" s="9" t="s">
        <v>932</v>
      </c>
      <c r="D658" s="9">
        <v>35</v>
      </c>
      <c r="E658" s="9" t="s">
        <v>1804</v>
      </c>
      <c r="F658" t="s">
        <v>46</v>
      </c>
      <c r="G658" t="s">
        <v>47</v>
      </c>
      <c r="H658" t="s">
        <v>1409</v>
      </c>
    </row>
    <row r="659" spans="1:8" outlineLevel="2" x14ac:dyDescent="0.3">
      <c r="A659" s="6">
        <v>8</v>
      </c>
      <c r="B659" t="s">
        <v>132</v>
      </c>
      <c r="C659" s="9" t="s">
        <v>932</v>
      </c>
      <c r="D659" s="9">
        <v>12</v>
      </c>
      <c r="E659" s="9" t="s">
        <v>1804</v>
      </c>
      <c r="F659" t="s">
        <v>49</v>
      </c>
      <c r="G659" t="s">
        <v>47</v>
      </c>
      <c r="H659" t="s">
        <v>1410</v>
      </c>
    </row>
    <row r="660" spans="1:8" outlineLevel="2" x14ac:dyDescent="0.3">
      <c r="A660" s="6">
        <v>8</v>
      </c>
      <c r="B660" t="s">
        <v>132</v>
      </c>
      <c r="C660" s="9" t="s">
        <v>932</v>
      </c>
      <c r="D660" s="9">
        <v>18</v>
      </c>
      <c r="E660" s="9" t="s">
        <v>1804</v>
      </c>
      <c r="F660" t="s">
        <v>155</v>
      </c>
      <c r="G660" t="s">
        <v>118</v>
      </c>
      <c r="H660" t="s">
        <v>1415</v>
      </c>
    </row>
    <row r="661" spans="1:8" outlineLevel="2" x14ac:dyDescent="0.3">
      <c r="A661" s="6">
        <v>8</v>
      </c>
      <c r="B661" t="s">
        <v>132</v>
      </c>
      <c r="C661" s="9" t="s">
        <v>976</v>
      </c>
      <c r="D661" s="9">
        <v>66</v>
      </c>
      <c r="E661" s="9" t="s">
        <v>1804</v>
      </c>
      <c r="F661" t="s">
        <v>156</v>
      </c>
      <c r="G661" t="s">
        <v>157</v>
      </c>
      <c r="H661" t="s">
        <v>1746</v>
      </c>
    </row>
    <row r="662" spans="1:8" outlineLevel="2" x14ac:dyDescent="0.3">
      <c r="A662" s="6">
        <v>8</v>
      </c>
      <c r="B662" t="s">
        <v>132</v>
      </c>
      <c r="C662" s="9" t="s">
        <v>932</v>
      </c>
      <c r="D662" s="9">
        <v>34</v>
      </c>
      <c r="E662" s="9" t="s">
        <v>1804</v>
      </c>
      <c r="F662" t="s">
        <v>159</v>
      </c>
      <c r="G662" t="s">
        <v>157</v>
      </c>
      <c r="H662" t="s">
        <v>1749</v>
      </c>
    </row>
    <row r="663" spans="1:8" outlineLevel="2" x14ac:dyDescent="0.3">
      <c r="A663" s="6">
        <v>8</v>
      </c>
      <c r="B663" t="s">
        <v>132</v>
      </c>
      <c r="C663" s="9" t="s">
        <v>932</v>
      </c>
      <c r="D663" s="9">
        <v>16</v>
      </c>
      <c r="E663" s="9" t="s">
        <v>1804</v>
      </c>
      <c r="F663" t="s">
        <v>160</v>
      </c>
      <c r="G663" t="s">
        <v>157</v>
      </c>
      <c r="H663" t="s">
        <v>1753</v>
      </c>
    </row>
    <row r="664" spans="1:8" outlineLevel="2" x14ac:dyDescent="0.3">
      <c r="A664" s="6">
        <v>8</v>
      </c>
      <c r="B664" t="s">
        <v>132</v>
      </c>
      <c r="C664" s="9" t="s">
        <v>1807</v>
      </c>
      <c r="D664" s="9">
        <v>420</v>
      </c>
      <c r="E664" s="9" t="s">
        <v>1808</v>
      </c>
      <c r="F664" t="s">
        <v>68</v>
      </c>
      <c r="G664" t="s">
        <v>69</v>
      </c>
      <c r="H664" t="s">
        <v>1551</v>
      </c>
    </row>
    <row r="665" spans="1:8" outlineLevel="2" x14ac:dyDescent="0.3">
      <c r="A665" s="6">
        <v>8</v>
      </c>
      <c r="B665" t="s">
        <v>132</v>
      </c>
      <c r="C665" s="9" t="s">
        <v>1807</v>
      </c>
      <c r="D665" s="9">
        <v>770</v>
      </c>
      <c r="E665" s="9" t="s">
        <v>1808</v>
      </c>
      <c r="F665" t="s">
        <v>71</v>
      </c>
      <c r="G665" t="s">
        <v>72</v>
      </c>
      <c r="H665" t="s">
        <v>1565</v>
      </c>
    </row>
    <row r="666" spans="1:8" outlineLevel="2" x14ac:dyDescent="0.3">
      <c r="A666" s="6">
        <v>8</v>
      </c>
      <c r="B666" t="s">
        <v>132</v>
      </c>
      <c r="C666" s="9" t="s">
        <v>1807</v>
      </c>
      <c r="D666" s="9">
        <v>518</v>
      </c>
      <c r="E666" s="9" t="s">
        <v>1808</v>
      </c>
      <c r="F666" t="s">
        <v>74</v>
      </c>
      <c r="G666" t="s">
        <v>72</v>
      </c>
      <c r="H666" t="s">
        <v>1566</v>
      </c>
    </row>
    <row r="667" spans="1:8" outlineLevel="2" x14ac:dyDescent="0.3">
      <c r="A667" s="6">
        <v>8</v>
      </c>
      <c r="B667" t="s">
        <v>132</v>
      </c>
      <c r="C667" s="9" t="s">
        <v>963</v>
      </c>
      <c r="D667" s="9">
        <v>62</v>
      </c>
      <c r="E667" s="9" t="s">
        <v>1804</v>
      </c>
      <c r="F667" t="s">
        <v>165</v>
      </c>
      <c r="G667" t="s">
        <v>134</v>
      </c>
      <c r="H667" t="s">
        <v>971</v>
      </c>
    </row>
    <row r="668" spans="1:8" outlineLevel="2" x14ac:dyDescent="0.3">
      <c r="A668" s="6">
        <v>8</v>
      </c>
      <c r="B668" t="s">
        <v>132</v>
      </c>
      <c r="C668" s="9" t="s">
        <v>963</v>
      </c>
      <c r="D668" s="9">
        <v>64</v>
      </c>
      <c r="E668" s="9" t="s">
        <v>1804</v>
      </c>
      <c r="F668" t="s">
        <v>166</v>
      </c>
      <c r="G668" t="s">
        <v>80</v>
      </c>
      <c r="H668" t="s">
        <v>1416</v>
      </c>
    </row>
    <row r="669" spans="1:8" outlineLevel="2" x14ac:dyDescent="0.3">
      <c r="A669" s="6">
        <v>8</v>
      </c>
      <c r="B669" t="s">
        <v>132</v>
      </c>
      <c r="C669" s="9" t="s">
        <v>963</v>
      </c>
      <c r="D669" s="9">
        <v>60</v>
      </c>
      <c r="E669" s="9" t="s">
        <v>1804</v>
      </c>
      <c r="F669" t="s">
        <v>79</v>
      </c>
      <c r="G669" t="s">
        <v>80</v>
      </c>
      <c r="H669" t="s">
        <v>1416</v>
      </c>
    </row>
    <row r="670" spans="1:8" outlineLevel="2" x14ac:dyDescent="0.3">
      <c r="A670" s="6">
        <v>8</v>
      </c>
      <c r="B670" t="s">
        <v>132</v>
      </c>
      <c r="C670" s="9" t="s">
        <v>963</v>
      </c>
      <c r="D670" s="9">
        <v>73</v>
      </c>
      <c r="E670" s="9" t="s">
        <v>1804</v>
      </c>
      <c r="F670" t="s">
        <v>90</v>
      </c>
      <c r="G670" t="s">
        <v>15</v>
      </c>
      <c r="H670" t="s">
        <v>1351</v>
      </c>
    </row>
    <row r="671" spans="1:8" outlineLevel="2" x14ac:dyDescent="0.3">
      <c r="A671" s="6">
        <v>8</v>
      </c>
      <c r="B671" t="s">
        <v>132</v>
      </c>
      <c r="C671" s="9" t="s">
        <v>963</v>
      </c>
      <c r="D671" s="9">
        <v>72</v>
      </c>
      <c r="E671" s="9" t="s">
        <v>1804</v>
      </c>
      <c r="F671" t="s">
        <v>101</v>
      </c>
      <c r="G671" t="s">
        <v>102</v>
      </c>
      <c r="H671" t="s">
        <v>1365</v>
      </c>
    </row>
    <row r="672" spans="1:8" outlineLevel="2" x14ac:dyDescent="0.3">
      <c r="A672" s="6">
        <v>8</v>
      </c>
      <c r="B672" t="s">
        <v>132</v>
      </c>
      <c r="C672" s="9" t="s">
        <v>963</v>
      </c>
      <c r="D672" s="9">
        <v>60</v>
      </c>
      <c r="E672" s="9" t="s">
        <v>1804</v>
      </c>
      <c r="F672" t="s">
        <v>167</v>
      </c>
      <c r="G672" t="s">
        <v>168</v>
      </c>
      <c r="H672" t="s">
        <v>1533</v>
      </c>
    </row>
    <row r="673" spans="1:8" outlineLevel="2" x14ac:dyDescent="0.3">
      <c r="A673" s="6">
        <v>8</v>
      </c>
      <c r="B673" t="s">
        <v>132</v>
      </c>
      <c r="C673" s="9" t="s">
        <v>963</v>
      </c>
      <c r="D673" s="9">
        <v>60</v>
      </c>
      <c r="E673" s="9" t="s">
        <v>1804</v>
      </c>
      <c r="F673" t="s">
        <v>170</v>
      </c>
      <c r="G673" t="s">
        <v>171</v>
      </c>
      <c r="H673" t="s">
        <v>1535</v>
      </c>
    </row>
    <row r="674" spans="1:8" outlineLevel="2" x14ac:dyDescent="0.3">
      <c r="A674" s="6">
        <v>8</v>
      </c>
      <c r="B674" t="s">
        <v>132</v>
      </c>
      <c r="C674" s="9" t="s">
        <v>963</v>
      </c>
      <c r="D674" s="9">
        <v>60</v>
      </c>
      <c r="E674" s="9" t="s">
        <v>1804</v>
      </c>
      <c r="F674" t="s">
        <v>107</v>
      </c>
      <c r="G674" t="s">
        <v>108</v>
      </c>
      <c r="H674" t="s">
        <v>1140</v>
      </c>
    </row>
    <row r="675" spans="1:8" outlineLevel="2" x14ac:dyDescent="0.3">
      <c r="A675" s="6">
        <v>8</v>
      </c>
      <c r="B675" t="s">
        <v>132</v>
      </c>
      <c r="C675" s="9" t="s">
        <v>963</v>
      </c>
      <c r="D675" s="9">
        <v>64</v>
      </c>
      <c r="E675" s="9" t="s">
        <v>1804</v>
      </c>
      <c r="F675" t="s">
        <v>173</v>
      </c>
      <c r="G675" t="s">
        <v>118</v>
      </c>
      <c r="H675" t="s">
        <v>1419</v>
      </c>
    </row>
    <row r="676" spans="1:8" outlineLevel="2" x14ac:dyDescent="0.3">
      <c r="A676" s="6">
        <v>8</v>
      </c>
      <c r="B676" t="s">
        <v>132</v>
      </c>
      <c r="C676" s="9" t="s">
        <v>963</v>
      </c>
      <c r="D676" s="9">
        <v>60</v>
      </c>
      <c r="E676" s="9" t="s">
        <v>1804</v>
      </c>
      <c r="F676" t="s">
        <v>117</v>
      </c>
      <c r="G676" t="s">
        <v>118</v>
      </c>
      <c r="H676" t="s">
        <v>1419</v>
      </c>
    </row>
    <row r="677" spans="1:8" outlineLevel="2" x14ac:dyDescent="0.3">
      <c r="A677" s="6">
        <v>8</v>
      </c>
      <c r="B677" t="s">
        <v>132</v>
      </c>
      <c r="C677" s="9" t="s">
        <v>963</v>
      </c>
      <c r="D677" s="9">
        <v>60</v>
      </c>
      <c r="E677" s="9" t="s">
        <v>1804</v>
      </c>
      <c r="F677" t="s">
        <v>120</v>
      </c>
      <c r="G677" t="s">
        <v>51</v>
      </c>
      <c r="H677" t="s">
        <v>1590</v>
      </c>
    </row>
    <row r="678" spans="1:8" outlineLevel="1" x14ac:dyDescent="0.3">
      <c r="A678" s="16" t="s">
        <v>2194</v>
      </c>
      <c r="H678">
        <f>SUBTOTAL(3,H643:H677)</f>
        <v>35</v>
      </c>
    </row>
    <row r="679" spans="1:8" outlineLevel="2" x14ac:dyDescent="0.3">
      <c r="A679" s="6">
        <v>9</v>
      </c>
      <c r="B679" t="s">
        <v>9</v>
      </c>
      <c r="C679" s="9" t="s">
        <v>1807</v>
      </c>
      <c r="D679" s="9">
        <v>1230</v>
      </c>
      <c r="E679" s="9" t="s">
        <v>1808</v>
      </c>
      <c r="F679" t="s">
        <v>10</v>
      </c>
      <c r="G679" t="s">
        <v>526</v>
      </c>
      <c r="H679" t="s">
        <v>1812</v>
      </c>
    </row>
    <row r="680" spans="1:8" outlineLevel="2" x14ac:dyDescent="0.3">
      <c r="A680" s="6">
        <v>9</v>
      </c>
      <c r="B680" t="s">
        <v>9</v>
      </c>
      <c r="C680" s="9" t="s">
        <v>1266</v>
      </c>
      <c r="D680" s="9">
        <v>40</v>
      </c>
      <c r="E680" s="9" t="s">
        <v>1804</v>
      </c>
      <c r="F680" t="s">
        <v>11</v>
      </c>
      <c r="G680" t="s">
        <v>12</v>
      </c>
      <c r="H680" t="s">
        <v>1277</v>
      </c>
    </row>
    <row r="681" spans="1:8" outlineLevel="2" x14ac:dyDescent="0.3">
      <c r="A681" s="6">
        <v>9</v>
      </c>
      <c r="B681" t="s">
        <v>9</v>
      </c>
      <c r="C681" s="9" t="s">
        <v>932</v>
      </c>
      <c r="D681" s="9">
        <v>42</v>
      </c>
      <c r="E681" s="9" t="s">
        <v>1804</v>
      </c>
      <c r="F681" t="s">
        <v>14</v>
      </c>
      <c r="G681" t="s">
        <v>15</v>
      </c>
      <c r="H681" t="s">
        <v>1290</v>
      </c>
    </row>
    <row r="682" spans="1:8" outlineLevel="2" x14ac:dyDescent="0.3">
      <c r="A682" s="6">
        <v>9</v>
      </c>
      <c r="B682" t="s">
        <v>9</v>
      </c>
      <c r="C682" s="9" t="s">
        <v>1266</v>
      </c>
      <c r="D682" s="9">
        <v>12</v>
      </c>
      <c r="E682" s="9" t="s">
        <v>1804</v>
      </c>
      <c r="F682" t="s">
        <v>17</v>
      </c>
      <c r="G682" t="s">
        <v>15</v>
      </c>
      <c r="H682" t="s">
        <v>1291</v>
      </c>
    </row>
    <row r="683" spans="1:8" outlineLevel="2" x14ac:dyDescent="0.3">
      <c r="A683" s="6">
        <v>9</v>
      </c>
      <c r="B683" t="s">
        <v>9</v>
      </c>
      <c r="C683" s="9" t="s">
        <v>932</v>
      </c>
      <c r="D683" s="9">
        <v>49</v>
      </c>
      <c r="E683" s="9" t="s">
        <v>1804</v>
      </c>
      <c r="F683" t="s">
        <v>18</v>
      </c>
      <c r="G683" t="s">
        <v>19</v>
      </c>
      <c r="H683" t="s">
        <v>1300</v>
      </c>
    </row>
    <row r="684" spans="1:8" outlineLevel="2" x14ac:dyDescent="0.3">
      <c r="A684" s="6">
        <v>9</v>
      </c>
      <c r="B684" t="s">
        <v>9</v>
      </c>
      <c r="C684" s="9" t="s">
        <v>932</v>
      </c>
      <c r="D684" s="9">
        <v>59</v>
      </c>
      <c r="E684" s="9" t="s">
        <v>1804</v>
      </c>
      <c r="F684" t="s">
        <v>21</v>
      </c>
      <c r="G684" t="s">
        <v>19</v>
      </c>
      <c r="H684" t="s">
        <v>1302</v>
      </c>
    </row>
    <row r="685" spans="1:8" outlineLevel="2" x14ac:dyDescent="0.3">
      <c r="A685" s="6">
        <v>9</v>
      </c>
      <c r="B685" t="s">
        <v>9</v>
      </c>
      <c r="C685" s="9" t="s">
        <v>1807</v>
      </c>
      <c r="D685" s="9">
        <v>1350</v>
      </c>
      <c r="E685" s="9" t="s">
        <v>1808</v>
      </c>
      <c r="F685" t="s">
        <v>24</v>
      </c>
      <c r="G685" t="s">
        <v>414</v>
      </c>
      <c r="H685" t="s">
        <v>1332</v>
      </c>
    </row>
    <row r="686" spans="1:8" outlineLevel="2" x14ac:dyDescent="0.3">
      <c r="A686" s="6">
        <v>9</v>
      </c>
      <c r="B686" t="s">
        <v>9</v>
      </c>
      <c r="C686" s="9" t="s">
        <v>1807</v>
      </c>
      <c r="D686" s="9">
        <v>120</v>
      </c>
      <c r="E686" s="9" t="s">
        <v>1808</v>
      </c>
      <c r="F686" t="s">
        <v>25</v>
      </c>
      <c r="G686" t="s">
        <v>26</v>
      </c>
      <c r="H686" t="s">
        <v>1333</v>
      </c>
    </row>
    <row r="687" spans="1:8" outlineLevel="2" x14ac:dyDescent="0.3">
      <c r="A687" s="6">
        <v>9</v>
      </c>
      <c r="B687" t="s">
        <v>9</v>
      </c>
      <c r="C687" s="9" t="s">
        <v>932</v>
      </c>
      <c r="D687" s="9">
        <v>36</v>
      </c>
      <c r="E687" s="9" t="s">
        <v>1804</v>
      </c>
      <c r="F687" t="s">
        <v>28</v>
      </c>
      <c r="G687" t="s">
        <v>29</v>
      </c>
      <c r="H687" t="s">
        <v>1180</v>
      </c>
    </row>
    <row r="688" spans="1:8" outlineLevel="2" x14ac:dyDescent="0.3">
      <c r="A688" s="6">
        <v>9</v>
      </c>
      <c r="B688" t="s">
        <v>9</v>
      </c>
      <c r="C688" s="9" t="s">
        <v>932</v>
      </c>
      <c r="D688" s="9">
        <v>24</v>
      </c>
      <c r="E688" s="9" t="s">
        <v>1804</v>
      </c>
      <c r="F688" t="s">
        <v>31</v>
      </c>
      <c r="G688" t="s">
        <v>32</v>
      </c>
      <c r="H688" t="s">
        <v>1483</v>
      </c>
    </row>
    <row r="689" spans="1:8" outlineLevel="2" x14ac:dyDescent="0.3">
      <c r="A689" s="6">
        <v>9</v>
      </c>
      <c r="B689" t="s">
        <v>9</v>
      </c>
      <c r="C689" s="9" t="s">
        <v>932</v>
      </c>
      <c r="D689" s="9">
        <v>21</v>
      </c>
      <c r="E689" s="9" t="s">
        <v>1804</v>
      </c>
      <c r="F689" t="s">
        <v>34</v>
      </c>
      <c r="G689" t="s">
        <v>32</v>
      </c>
      <c r="H689" t="s">
        <v>1485</v>
      </c>
    </row>
    <row r="690" spans="1:8" outlineLevel="2" x14ac:dyDescent="0.3">
      <c r="A690" s="6">
        <v>9</v>
      </c>
      <c r="B690" t="s">
        <v>9</v>
      </c>
      <c r="C690" s="9" t="s">
        <v>932</v>
      </c>
      <c r="D690" s="9">
        <v>30</v>
      </c>
      <c r="E690" s="9" t="s">
        <v>1804</v>
      </c>
      <c r="F690" t="s">
        <v>35</v>
      </c>
      <c r="G690" t="s">
        <v>32</v>
      </c>
      <c r="H690" t="s">
        <v>1489</v>
      </c>
    </row>
    <row r="691" spans="1:8" outlineLevel="2" x14ac:dyDescent="0.3">
      <c r="A691" s="6">
        <v>9</v>
      </c>
      <c r="B691" t="s">
        <v>9</v>
      </c>
      <c r="C691" s="9" t="s">
        <v>932</v>
      </c>
      <c r="D691" s="9">
        <v>21</v>
      </c>
      <c r="E691" s="9" t="s">
        <v>1804</v>
      </c>
      <c r="F691" t="s">
        <v>36</v>
      </c>
      <c r="G691" t="s">
        <v>32</v>
      </c>
      <c r="H691" t="s">
        <v>1492</v>
      </c>
    </row>
    <row r="692" spans="1:8" outlineLevel="2" x14ac:dyDescent="0.3">
      <c r="A692" s="6">
        <v>9</v>
      </c>
      <c r="B692" t="s">
        <v>9</v>
      </c>
      <c r="C692" s="9" t="s">
        <v>932</v>
      </c>
      <c r="D692" s="9">
        <v>27</v>
      </c>
      <c r="E692" s="9" t="s">
        <v>1804</v>
      </c>
      <c r="F692" t="s">
        <v>37</v>
      </c>
      <c r="G692" t="s">
        <v>38</v>
      </c>
      <c r="H692" t="s">
        <v>1164</v>
      </c>
    </row>
    <row r="693" spans="1:8" outlineLevel="2" x14ac:dyDescent="0.3">
      <c r="A693" s="6">
        <v>9</v>
      </c>
      <c r="B693" t="s">
        <v>9</v>
      </c>
      <c r="C693" s="9" t="s">
        <v>932</v>
      </c>
      <c r="D693" s="9">
        <v>27</v>
      </c>
      <c r="E693" s="9" t="s">
        <v>1804</v>
      </c>
      <c r="F693" t="s">
        <v>40</v>
      </c>
      <c r="G693" t="s">
        <v>41</v>
      </c>
      <c r="H693" t="s">
        <v>1169</v>
      </c>
    </row>
    <row r="694" spans="1:8" outlineLevel="2" x14ac:dyDescent="0.3">
      <c r="A694" s="6">
        <v>9</v>
      </c>
      <c r="B694" t="s">
        <v>9</v>
      </c>
      <c r="C694" s="9" t="s">
        <v>932</v>
      </c>
      <c r="D694" s="9">
        <v>15</v>
      </c>
      <c r="E694" s="9" t="s">
        <v>1804</v>
      </c>
      <c r="F694" t="s">
        <v>43</v>
      </c>
      <c r="G694" t="s">
        <v>44</v>
      </c>
      <c r="H694" t="s">
        <v>1050</v>
      </c>
    </row>
    <row r="695" spans="1:8" outlineLevel="2" x14ac:dyDescent="0.3">
      <c r="A695" s="6">
        <v>9</v>
      </c>
      <c r="B695" t="s">
        <v>9</v>
      </c>
      <c r="C695" s="9" t="s">
        <v>932</v>
      </c>
      <c r="D695" s="9">
        <v>35</v>
      </c>
      <c r="E695" s="9" t="s">
        <v>1804</v>
      </c>
      <c r="F695" t="s">
        <v>46</v>
      </c>
      <c r="G695" t="s">
        <v>47</v>
      </c>
      <c r="H695" t="s">
        <v>1409</v>
      </c>
    </row>
    <row r="696" spans="1:8" outlineLevel="2" x14ac:dyDescent="0.3">
      <c r="A696" s="6">
        <v>9</v>
      </c>
      <c r="B696" t="s">
        <v>9</v>
      </c>
      <c r="C696" s="9" t="s">
        <v>932</v>
      </c>
      <c r="D696" s="9">
        <v>12</v>
      </c>
      <c r="E696" s="9" t="s">
        <v>1804</v>
      </c>
      <c r="F696" t="s">
        <v>49</v>
      </c>
      <c r="G696" t="s">
        <v>47</v>
      </c>
      <c r="H696" t="s">
        <v>1410</v>
      </c>
    </row>
    <row r="697" spans="1:8" outlineLevel="2" x14ac:dyDescent="0.3">
      <c r="A697" s="6">
        <v>9</v>
      </c>
      <c r="B697" t="s">
        <v>9</v>
      </c>
      <c r="C697" s="9" t="s">
        <v>932</v>
      </c>
      <c r="D697" s="9">
        <v>12</v>
      </c>
      <c r="E697" s="9" t="s">
        <v>1804</v>
      </c>
      <c r="F697" t="s">
        <v>50</v>
      </c>
      <c r="G697" t="s">
        <v>51</v>
      </c>
      <c r="H697" t="s">
        <v>1598</v>
      </c>
    </row>
    <row r="698" spans="1:8" outlineLevel="2" x14ac:dyDescent="0.3">
      <c r="A698" s="6">
        <v>9</v>
      </c>
      <c r="B698" t="s">
        <v>9</v>
      </c>
      <c r="C698" s="9" t="s">
        <v>932</v>
      </c>
      <c r="D698" s="9">
        <v>12</v>
      </c>
      <c r="E698" s="9" t="s">
        <v>1804</v>
      </c>
      <c r="F698" t="s">
        <v>53</v>
      </c>
      <c r="G698" t="s">
        <v>54</v>
      </c>
      <c r="H698" t="s">
        <v>1603</v>
      </c>
    </row>
    <row r="699" spans="1:8" outlineLevel="2" x14ac:dyDescent="0.3">
      <c r="A699" s="6">
        <v>9</v>
      </c>
      <c r="B699" t="s">
        <v>9</v>
      </c>
      <c r="C699" s="9" t="s">
        <v>932</v>
      </c>
      <c r="D699" s="9">
        <v>12</v>
      </c>
      <c r="E699" s="9" t="s">
        <v>1804</v>
      </c>
      <c r="F699" t="s">
        <v>56</v>
      </c>
      <c r="G699" t="s">
        <v>57</v>
      </c>
      <c r="H699" t="s">
        <v>1623</v>
      </c>
    </row>
    <row r="700" spans="1:8" outlineLevel="2" x14ac:dyDescent="0.3">
      <c r="A700" s="6">
        <v>9</v>
      </c>
      <c r="B700" t="s">
        <v>9</v>
      </c>
      <c r="C700" s="9" t="s">
        <v>932</v>
      </c>
      <c r="D700" s="9">
        <v>15</v>
      </c>
      <c r="E700" s="9" t="s">
        <v>1804</v>
      </c>
      <c r="F700" t="s">
        <v>59</v>
      </c>
      <c r="G700" t="s">
        <v>60</v>
      </c>
      <c r="H700" t="s">
        <v>1078</v>
      </c>
    </row>
    <row r="701" spans="1:8" outlineLevel="2" x14ac:dyDescent="0.3">
      <c r="A701" s="6">
        <v>9</v>
      </c>
      <c r="B701" t="s">
        <v>9</v>
      </c>
      <c r="C701" s="9" t="s">
        <v>932</v>
      </c>
      <c r="D701" s="9">
        <v>15</v>
      </c>
      <c r="E701" s="9" t="s">
        <v>1804</v>
      </c>
      <c r="F701" t="s">
        <v>62</v>
      </c>
      <c r="G701" t="s">
        <v>63</v>
      </c>
      <c r="H701" t="s">
        <v>1103</v>
      </c>
    </row>
    <row r="702" spans="1:8" outlineLevel="2" x14ac:dyDescent="0.3">
      <c r="A702" s="6">
        <v>9</v>
      </c>
      <c r="B702" t="s">
        <v>9</v>
      </c>
      <c r="C702" s="9" t="s">
        <v>932</v>
      </c>
      <c r="D702" s="9">
        <v>18</v>
      </c>
      <c r="E702" s="9" t="s">
        <v>1804</v>
      </c>
      <c r="F702" t="s">
        <v>65</v>
      </c>
      <c r="G702" t="s">
        <v>66</v>
      </c>
      <c r="H702" t="s">
        <v>1791</v>
      </c>
    </row>
    <row r="703" spans="1:8" outlineLevel="2" x14ac:dyDescent="0.3">
      <c r="A703" s="6">
        <v>9</v>
      </c>
      <c r="B703" t="s">
        <v>9</v>
      </c>
      <c r="C703" s="9" t="s">
        <v>1807</v>
      </c>
      <c r="D703" s="9">
        <v>420</v>
      </c>
      <c r="E703" s="9" t="s">
        <v>1808</v>
      </c>
      <c r="F703" t="s">
        <v>68</v>
      </c>
      <c r="G703" t="s">
        <v>69</v>
      </c>
      <c r="H703" t="s">
        <v>1551</v>
      </c>
    </row>
    <row r="704" spans="1:8" outlineLevel="2" x14ac:dyDescent="0.3">
      <c r="A704" s="6">
        <v>9</v>
      </c>
      <c r="B704" t="s">
        <v>9</v>
      </c>
      <c r="C704" s="9" t="s">
        <v>1807</v>
      </c>
      <c r="D704" s="9">
        <v>770</v>
      </c>
      <c r="E704" s="9" t="s">
        <v>1808</v>
      </c>
      <c r="F704" t="s">
        <v>71</v>
      </c>
      <c r="G704" t="s">
        <v>72</v>
      </c>
      <c r="H704" t="s">
        <v>1565</v>
      </c>
    </row>
    <row r="705" spans="1:8" outlineLevel="2" x14ac:dyDescent="0.3">
      <c r="A705" s="6">
        <v>9</v>
      </c>
      <c r="B705" t="s">
        <v>9</v>
      </c>
      <c r="C705" s="9" t="s">
        <v>1807</v>
      </c>
      <c r="D705" s="9">
        <v>518</v>
      </c>
      <c r="E705" s="9" t="s">
        <v>1808</v>
      </c>
      <c r="F705" t="s">
        <v>74</v>
      </c>
      <c r="G705" t="s">
        <v>72</v>
      </c>
      <c r="H705" t="s">
        <v>1566</v>
      </c>
    </row>
    <row r="706" spans="1:8" outlineLevel="2" x14ac:dyDescent="0.3">
      <c r="A706" s="6">
        <v>9</v>
      </c>
      <c r="B706" t="s">
        <v>9</v>
      </c>
      <c r="C706" s="9" t="s">
        <v>1807</v>
      </c>
      <c r="D706" s="9">
        <v>538</v>
      </c>
      <c r="E706" s="9" t="s">
        <v>1808</v>
      </c>
      <c r="F706" t="s">
        <v>75</v>
      </c>
      <c r="G706" t="s">
        <v>76</v>
      </c>
      <c r="H706" t="s">
        <v>1549</v>
      </c>
    </row>
    <row r="707" spans="1:8" outlineLevel="2" x14ac:dyDescent="0.3">
      <c r="A707" s="6">
        <v>9</v>
      </c>
      <c r="B707" t="s">
        <v>9</v>
      </c>
      <c r="C707" s="9" t="s">
        <v>963</v>
      </c>
      <c r="D707" s="9">
        <v>60</v>
      </c>
      <c r="E707" s="9" t="s">
        <v>1804</v>
      </c>
      <c r="F707" t="s">
        <v>79</v>
      </c>
      <c r="G707" t="s">
        <v>80</v>
      </c>
      <c r="H707" t="s">
        <v>1416</v>
      </c>
    </row>
    <row r="708" spans="1:8" outlineLevel="2" x14ac:dyDescent="0.3">
      <c r="A708" s="6">
        <v>9</v>
      </c>
      <c r="B708" t="s">
        <v>9</v>
      </c>
      <c r="C708" s="9" t="s">
        <v>963</v>
      </c>
      <c r="D708" s="9">
        <v>64</v>
      </c>
      <c r="E708" s="9" t="s">
        <v>1804</v>
      </c>
      <c r="F708" t="s">
        <v>82</v>
      </c>
      <c r="G708" t="s">
        <v>83</v>
      </c>
      <c r="H708" t="s">
        <v>1340</v>
      </c>
    </row>
    <row r="709" spans="1:8" outlineLevel="2" x14ac:dyDescent="0.3">
      <c r="A709" s="6">
        <v>9</v>
      </c>
      <c r="B709" t="s">
        <v>9</v>
      </c>
      <c r="C709" s="9" t="s">
        <v>963</v>
      </c>
      <c r="D709" s="9">
        <v>88</v>
      </c>
      <c r="E709" s="9" t="s">
        <v>1804</v>
      </c>
      <c r="F709" t="s">
        <v>84</v>
      </c>
      <c r="G709" t="s">
        <v>85</v>
      </c>
      <c r="H709" t="s">
        <v>1342</v>
      </c>
    </row>
    <row r="710" spans="1:8" outlineLevel="2" x14ac:dyDescent="0.3">
      <c r="A710" s="6">
        <v>9</v>
      </c>
      <c r="B710" t="s">
        <v>9</v>
      </c>
      <c r="C710" s="9" t="s">
        <v>963</v>
      </c>
      <c r="D710" s="9">
        <v>74</v>
      </c>
      <c r="E710" s="9" t="s">
        <v>1804</v>
      </c>
      <c r="F710" t="s">
        <v>87</v>
      </c>
      <c r="G710" t="s">
        <v>88</v>
      </c>
      <c r="H710" t="s">
        <v>1349</v>
      </c>
    </row>
    <row r="711" spans="1:8" outlineLevel="2" x14ac:dyDescent="0.3">
      <c r="A711" s="6">
        <v>9</v>
      </c>
      <c r="B711" t="s">
        <v>9</v>
      </c>
      <c r="C711" s="9" t="s">
        <v>963</v>
      </c>
      <c r="D711" s="9">
        <v>73</v>
      </c>
      <c r="E711" s="9" t="s">
        <v>1804</v>
      </c>
      <c r="F711" t="s">
        <v>90</v>
      </c>
      <c r="G711" t="s">
        <v>15</v>
      </c>
      <c r="H711" t="s">
        <v>1351</v>
      </c>
    </row>
    <row r="712" spans="1:8" outlineLevel="2" x14ac:dyDescent="0.3">
      <c r="A712" s="6">
        <v>9</v>
      </c>
      <c r="B712" t="s">
        <v>9</v>
      </c>
      <c r="C712" s="9" t="s">
        <v>963</v>
      </c>
      <c r="D712" s="9">
        <v>77</v>
      </c>
      <c r="E712" s="9" t="s">
        <v>1804</v>
      </c>
      <c r="F712" t="s">
        <v>91</v>
      </c>
      <c r="G712" t="s">
        <v>92</v>
      </c>
      <c r="H712" t="s">
        <v>1353</v>
      </c>
    </row>
    <row r="713" spans="1:8" outlineLevel="2" x14ac:dyDescent="0.3">
      <c r="A713" s="6">
        <v>9</v>
      </c>
      <c r="B713" t="s">
        <v>9</v>
      </c>
      <c r="C713" s="9" t="s">
        <v>963</v>
      </c>
      <c r="D713" s="9">
        <v>76</v>
      </c>
      <c r="E713" s="9" t="s">
        <v>1804</v>
      </c>
      <c r="F713" t="s">
        <v>94</v>
      </c>
      <c r="G713" t="s">
        <v>95</v>
      </c>
      <c r="H713" t="s">
        <v>1355</v>
      </c>
    </row>
    <row r="714" spans="1:8" outlineLevel="2" x14ac:dyDescent="0.3">
      <c r="A714" s="6">
        <v>9</v>
      </c>
      <c r="B714" t="s">
        <v>9</v>
      </c>
      <c r="C714" s="9" t="s">
        <v>963</v>
      </c>
      <c r="D714" s="9">
        <v>74</v>
      </c>
      <c r="E714" s="9" t="s">
        <v>1804</v>
      </c>
      <c r="F714" t="s">
        <v>97</v>
      </c>
      <c r="G714" t="s">
        <v>19</v>
      </c>
      <c r="H714" t="s">
        <v>1356</v>
      </c>
    </row>
    <row r="715" spans="1:8" outlineLevel="2" x14ac:dyDescent="0.3">
      <c r="A715" s="6">
        <v>9</v>
      </c>
      <c r="B715" t="s">
        <v>9</v>
      </c>
      <c r="C715" s="9" t="s">
        <v>963</v>
      </c>
      <c r="D715" s="9">
        <v>77</v>
      </c>
      <c r="E715" s="9" t="s">
        <v>1804</v>
      </c>
      <c r="F715" t="s">
        <v>98</v>
      </c>
      <c r="G715" t="s">
        <v>99</v>
      </c>
      <c r="H715" t="s">
        <v>1357</v>
      </c>
    </row>
    <row r="716" spans="1:8" outlineLevel="2" x14ac:dyDescent="0.3">
      <c r="A716" s="6">
        <v>9</v>
      </c>
      <c r="B716" t="s">
        <v>9</v>
      </c>
      <c r="C716" s="9" t="s">
        <v>963</v>
      </c>
      <c r="D716" s="9">
        <v>72</v>
      </c>
      <c r="E716" s="9" t="s">
        <v>1804</v>
      </c>
      <c r="F716" t="s">
        <v>101</v>
      </c>
      <c r="G716" t="s">
        <v>102</v>
      </c>
      <c r="H716" t="s">
        <v>1365</v>
      </c>
    </row>
    <row r="717" spans="1:8" outlineLevel="2" x14ac:dyDescent="0.3">
      <c r="A717" s="6">
        <v>9</v>
      </c>
      <c r="B717" t="s">
        <v>9</v>
      </c>
      <c r="C717" s="9" t="s">
        <v>963</v>
      </c>
      <c r="D717" s="9">
        <v>63</v>
      </c>
      <c r="E717" s="9" t="s">
        <v>1804</v>
      </c>
      <c r="F717" t="s">
        <v>104</v>
      </c>
      <c r="G717" t="s">
        <v>401</v>
      </c>
      <c r="H717" t="s">
        <v>1185</v>
      </c>
    </row>
    <row r="718" spans="1:8" outlineLevel="2" x14ac:dyDescent="0.3">
      <c r="A718" s="6">
        <v>9</v>
      </c>
      <c r="B718" t="s">
        <v>9</v>
      </c>
      <c r="C718" s="9" t="s">
        <v>963</v>
      </c>
      <c r="D718" s="9">
        <v>63</v>
      </c>
      <c r="E718" s="9" t="s">
        <v>1804</v>
      </c>
      <c r="F718" t="s">
        <v>105</v>
      </c>
      <c r="G718" t="s">
        <v>171</v>
      </c>
      <c r="H718" t="s">
        <v>1535</v>
      </c>
    </row>
    <row r="719" spans="1:8" outlineLevel="2" x14ac:dyDescent="0.3">
      <c r="A719" s="6">
        <v>9</v>
      </c>
      <c r="B719" t="s">
        <v>9</v>
      </c>
      <c r="C719" s="9" t="s">
        <v>963</v>
      </c>
      <c r="D719" s="9">
        <v>60</v>
      </c>
      <c r="E719" s="9" t="s">
        <v>1804</v>
      </c>
      <c r="F719" t="s">
        <v>106</v>
      </c>
      <c r="G719" t="s">
        <v>32</v>
      </c>
      <c r="H719" t="s">
        <v>1537</v>
      </c>
    </row>
    <row r="720" spans="1:8" outlineLevel="2" x14ac:dyDescent="0.3">
      <c r="A720" s="6">
        <v>9</v>
      </c>
      <c r="B720" t="s">
        <v>9</v>
      </c>
      <c r="C720" s="9" t="s">
        <v>963</v>
      </c>
      <c r="D720" s="9">
        <v>60</v>
      </c>
      <c r="E720" s="9" t="s">
        <v>1804</v>
      </c>
      <c r="F720" t="s">
        <v>107</v>
      </c>
      <c r="G720" t="s">
        <v>108</v>
      </c>
      <c r="H720" t="s">
        <v>1140</v>
      </c>
    </row>
    <row r="721" spans="1:8" outlineLevel="2" x14ac:dyDescent="0.3">
      <c r="A721" s="6">
        <v>9</v>
      </c>
      <c r="B721" t="s">
        <v>9</v>
      </c>
      <c r="C721" s="9" t="s">
        <v>963</v>
      </c>
      <c r="D721" s="9">
        <v>60</v>
      </c>
      <c r="E721" s="9" t="s">
        <v>1804</v>
      </c>
      <c r="F721" t="s">
        <v>110</v>
      </c>
      <c r="G721" t="s">
        <v>41</v>
      </c>
      <c r="H721" t="s">
        <v>1144</v>
      </c>
    </row>
    <row r="722" spans="1:8" outlineLevel="2" x14ac:dyDescent="0.3">
      <c r="A722" s="6">
        <v>9</v>
      </c>
      <c r="B722" t="s">
        <v>9</v>
      </c>
      <c r="C722" s="9" t="s">
        <v>963</v>
      </c>
      <c r="D722" s="9">
        <v>60</v>
      </c>
      <c r="E722" s="9" t="s">
        <v>1804</v>
      </c>
      <c r="F722" t="s">
        <v>111</v>
      </c>
      <c r="G722" t="s">
        <v>112</v>
      </c>
      <c r="H722" t="s">
        <v>1146</v>
      </c>
    </row>
    <row r="723" spans="1:8" outlineLevel="2" x14ac:dyDescent="0.3">
      <c r="A723" s="6">
        <v>9</v>
      </c>
      <c r="B723" t="s">
        <v>9</v>
      </c>
      <c r="C723" s="9" t="s">
        <v>963</v>
      </c>
      <c r="D723" s="9">
        <v>60</v>
      </c>
      <c r="E723" s="9" t="s">
        <v>1804</v>
      </c>
      <c r="F723" t="s">
        <v>114</v>
      </c>
      <c r="G723" t="s">
        <v>115</v>
      </c>
      <c r="H723" t="s">
        <v>1121</v>
      </c>
    </row>
    <row r="724" spans="1:8" outlineLevel="2" x14ac:dyDescent="0.3">
      <c r="A724" s="6">
        <v>9</v>
      </c>
      <c r="B724" t="s">
        <v>9</v>
      </c>
      <c r="C724" s="9" t="s">
        <v>963</v>
      </c>
      <c r="D724" s="9">
        <v>60</v>
      </c>
      <c r="E724" s="9" t="s">
        <v>1804</v>
      </c>
      <c r="F724" t="s">
        <v>117</v>
      </c>
      <c r="G724" t="s">
        <v>118</v>
      </c>
      <c r="H724" t="s">
        <v>1419</v>
      </c>
    </row>
    <row r="725" spans="1:8" outlineLevel="2" x14ac:dyDescent="0.3">
      <c r="A725" s="6">
        <v>9</v>
      </c>
      <c r="B725" t="s">
        <v>9</v>
      </c>
      <c r="C725" s="9" t="s">
        <v>963</v>
      </c>
      <c r="D725" s="9">
        <v>60</v>
      </c>
      <c r="E725" s="9" t="s">
        <v>1804</v>
      </c>
      <c r="F725" t="s">
        <v>120</v>
      </c>
      <c r="G725" t="s">
        <v>51</v>
      </c>
      <c r="H725" t="s">
        <v>1590</v>
      </c>
    </row>
    <row r="726" spans="1:8" outlineLevel="2" x14ac:dyDescent="0.3">
      <c r="A726" s="6">
        <v>9</v>
      </c>
      <c r="B726" t="s">
        <v>9</v>
      </c>
      <c r="C726" s="9" t="s">
        <v>963</v>
      </c>
      <c r="D726" s="9">
        <v>64</v>
      </c>
      <c r="E726" s="9" t="s">
        <v>1804</v>
      </c>
      <c r="F726" t="s">
        <v>121</v>
      </c>
      <c r="G726" t="s">
        <v>122</v>
      </c>
      <c r="H726" t="s">
        <v>1125</v>
      </c>
    </row>
    <row r="727" spans="1:8" outlineLevel="2" x14ac:dyDescent="0.3">
      <c r="A727" s="6">
        <v>9</v>
      </c>
      <c r="B727" t="s">
        <v>9</v>
      </c>
      <c r="C727" s="9" t="s">
        <v>963</v>
      </c>
      <c r="D727" s="9">
        <v>63</v>
      </c>
      <c r="E727" s="9" t="s">
        <v>1804</v>
      </c>
      <c r="F727" t="s">
        <v>124</v>
      </c>
      <c r="G727" t="s">
        <v>572</v>
      </c>
      <c r="H727" t="s">
        <v>1024</v>
      </c>
    </row>
    <row r="728" spans="1:8" outlineLevel="2" x14ac:dyDescent="0.3">
      <c r="A728" s="6">
        <v>9</v>
      </c>
      <c r="B728" t="s">
        <v>9</v>
      </c>
      <c r="C728" s="9" t="s">
        <v>963</v>
      </c>
      <c r="D728" s="9">
        <v>64</v>
      </c>
      <c r="E728" s="9" t="s">
        <v>1804</v>
      </c>
      <c r="F728" t="s">
        <v>125</v>
      </c>
      <c r="G728" t="s">
        <v>126</v>
      </c>
      <c r="H728" t="s">
        <v>1581</v>
      </c>
    </row>
    <row r="729" spans="1:8" outlineLevel="2" x14ac:dyDescent="0.3">
      <c r="A729" s="6">
        <v>9</v>
      </c>
      <c r="B729" t="s">
        <v>9</v>
      </c>
      <c r="C729" s="9" t="s">
        <v>963</v>
      </c>
      <c r="D729" s="9">
        <v>60</v>
      </c>
      <c r="E729" s="9" t="s">
        <v>1804</v>
      </c>
      <c r="F729" t="s">
        <v>128</v>
      </c>
      <c r="G729" t="s">
        <v>129</v>
      </c>
      <c r="H729" t="s">
        <v>1582</v>
      </c>
    </row>
    <row r="730" spans="1:8" outlineLevel="2" x14ac:dyDescent="0.3">
      <c r="A730" s="6">
        <v>9</v>
      </c>
      <c r="B730" t="s">
        <v>9</v>
      </c>
      <c r="C730" s="9" t="s">
        <v>963</v>
      </c>
      <c r="D730" s="9">
        <v>60</v>
      </c>
      <c r="E730" s="9" t="s">
        <v>1804</v>
      </c>
      <c r="F730" t="s">
        <v>131</v>
      </c>
      <c r="G730" t="s">
        <v>376</v>
      </c>
      <c r="H730" t="s">
        <v>1818</v>
      </c>
    </row>
    <row r="731" spans="1:8" outlineLevel="1" x14ac:dyDescent="0.3">
      <c r="A731" s="16" t="s">
        <v>2195</v>
      </c>
      <c r="H731">
        <f>SUBTOTAL(3,H679:H730)</f>
        <v>52</v>
      </c>
    </row>
    <row r="732" spans="1:8" outlineLevel="2" x14ac:dyDescent="0.3">
      <c r="A732" s="6">
        <v>10</v>
      </c>
      <c r="B732" t="s">
        <v>886</v>
      </c>
      <c r="C732" s="9" t="s">
        <v>932</v>
      </c>
      <c r="D732" s="9">
        <v>26</v>
      </c>
      <c r="E732" s="9" t="s">
        <v>1804</v>
      </c>
      <c r="F732" t="s">
        <v>859</v>
      </c>
      <c r="G732" t="s">
        <v>860</v>
      </c>
      <c r="H732" t="s">
        <v>935</v>
      </c>
    </row>
    <row r="733" spans="1:8" outlineLevel="2" x14ac:dyDescent="0.3">
      <c r="A733" s="6">
        <v>10</v>
      </c>
      <c r="B733" t="s">
        <v>886</v>
      </c>
      <c r="C733" s="9" t="s">
        <v>932</v>
      </c>
      <c r="D733" s="9">
        <v>30</v>
      </c>
      <c r="E733" s="9" t="s">
        <v>1804</v>
      </c>
      <c r="F733" t="s">
        <v>176</v>
      </c>
      <c r="G733" t="s">
        <v>177</v>
      </c>
      <c r="H733" t="s">
        <v>1381</v>
      </c>
    </row>
    <row r="734" spans="1:8" outlineLevel="2" x14ac:dyDescent="0.3">
      <c r="A734" s="6">
        <v>10</v>
      </c>
      <c r="B734" t="s">
        <v>886</v>
      </c>
      <c r="C734" s="9" t="s">
        <v>932</v>
      </c>
      <c r="D734" s="9">
        <v>18</v>
      </c>
      <c r="E734" s="9" t="s">
        <v>1804</v>
      </c>
      <c r="F734" t="s">
        <v>535</v>
      </c>
      <c r="G734" t="s">
        <v>177</v>
      </c>
      <c r="H734" t="s">
        <v>1383</v>
      </c>
    </row>
    <row r="735" spans="1:8" outlineLevel="2" x14ac:dyDescent="0.3">
      <c r="A735" s="6">
        <v>10</v>
      </c>
      <c r="B735" t="s">
        <v>886</v>
      </c>
      <c r="C735" s="9" t="s">
        <v>932</v>
      </c>
      <c r="D735" s="9">
        <v>24</v>
      </c>
      <c r="E735" s="9" t="s">
        <v>1804</v>
      </c>
      <c r="F735" t="s">
        <v>536</v>
      </c>
      <c r="G735" t="s">
        <v>537</v>
      </c>
      <c r="H735" t="s">
        <v>1384</v>
      </c>
    </row>
    <row r="736" spans="1:8" outlineLevel="2" x14ac:dyDescent="0.3">
      <c r="A736" s="6">
        <v>10</v>
      </c>
      <c r="B736" t="s">
        <v>886</v>
      </c>
      <c r="C736" s="9" t="s">
        <v>1807</v>
      </c>
      <c r="D736" s="9">
        <v>1230</v>
      </c>
      <c r="E736" s="9" t="s">
        <v>1808</v>
      </c>
      <c r="F736" t="s">
        <v>10</v>
      </c>
      <c r="G736" t="s">
        <v>526</v>
      </c>
      <c r="H736" t="s">
        <v>1812</v>
      </c>
    </row>
    <row r="737" spans="1:8" outlineLevel="2" x14ac:dyDescent="0.3">
      <c r="A737" s="6">
        <v>10</v>
      </c>
      <c r="B737" t="s">
        <v>886</v>
      </c>
      <c r="C737" s="9" t="s">
        <v>932</v>
      </c>
      <c r="D737" s="9">
        <v>37</v>
      </c>
      <c r="E737" s="9" t="s">
        <v>1804</v>
      </c>
      <c r="F737" t="s">
        <v>198</v>
      </c>
      <c r="G737" t="s">
        <v>196</v>
      </c>
      <c r="H737" t="s">
        <v>1267</v>
      </c>
    </row>
    <row r="738" spans="1:8" outlineLevel="2" x14ac:dyDescent="0.3">
      <c r="A738" s="6">
        <v>10</v>
      </c>
      <c r="B738" t="s">
        <v>886</v>
      </c>
      <c r="C738" s="9" t="s">
        <v>932</v>
      </c>
      <c r="D738" s="9">
        <v>30</v>
      </c>
      <c r="E738" s="9" t="s">
        <v>1804</v>
      </c>
      <c r="F738" t="s">
        <v>887</v>
      </c>
      <c r="G738" t="s">
        <v>888</v>
      </c>
      <c r="H738" t="s">
        <v>1270</v>
      </c>
    </row>
    <row r="739" spans="1:8" outlineLevel="2" x14ac:dyDescent="0.3">
      <c r="A739" s="6">
        <v>10</v>
      </c>
      <c r="B739" t="s">
        <v>886</v>
      </c>
      <c r="C739" s="9" t="s">
        <v>932</v>
      </c>
      <c r="D739" s="9">
        <v>42</v>
      </c>
      <c r="E739" s="9" t="s">
        <v>1804</v>
      </c>
      <c r="F739" t="s">
        <v>14</v>
      </c>
      <c r="G739" t="s">
        <v>15</v>
      </c>
      <c r="H739" t="s">
        <v>1290</v>
      </c>
    </row>
    <row r="740" spans="1:8" outlineLevel="2" x14ac:dyDescent="0.3">
      <c r="A740" s="6">
        <v>10</v>
      </c>
      <c r="B740" t="s">
        <v>886</v>
      </c>
      <c r="C740" s="9" t="s">
        <v>932</v>
      </c>
      <c r="D740" s="9">
        <v>12</v>
      </c>
      <c r="E740" s="9" t="s">
        <v>1804</v>
      </c>
      <c r="F740" t="s">
        <v>204</v>
      </c>
      <c r="G740" t="s">
        <v>15</v>
      </c>
      <c r="H740" t="s">
        <v>1292</v>
      </c>
    </row>
    <row r="741" spans="1:8" outlineLevel="2" x14ac:dyDescent="0.3">
      <c r="A741" s="6">
        <v>10</v>
      </c>
      <c r="B741" t="s">
        <v>886</v>
      </c>
      <c r="C741" s="9" t="s">
        <v>932</v>
      </c>
      <c r="D741" s="9">
        <v>43</v>
      </c>
      <c r="E741" s="9" t="s">
        <v>1804</v>
      </c>
      <c r="F741" t="s">
        <v>206</v>
      </c>
      <c r="G741" t="s">
        <v>92</v>
      </c>
      <c r="H741" t="s">
        <v>1296</v>
      </c>
    </row>
    <row r="742" spans="1:8" outlineLevel="2" x14ac:dyDescent="0.3">
      <c r="A742" s="6">
        <v>10</v>
      </c>
      <c r="B742" t="s">
        <v>886</v>
      </c>
      <c r="C742" s="9" t="s">
        <v>932</v>
      </c>
      <c r="D742" s="9">
        <v>24</v>
      </c>
      <c r="E742" s="9" t="s">
        <v>1804</v>
      </c>
      <c r="F742" t="s">
        <v>891</v>
      </c>
      <c r="G742" t="s">
        <v>892</v>
      </c>
      <c r="H742" t="s">
        <v>1312</v>
      </c>
    </row>
    <row r="743" spans="1:8" outlineLevel="2" x14ac:dyDescent="0.3">
      <c r="A743" s="6">
        <v>10</v>
      </c>
      <c r="B743" t="s">
        <v>886</v>
      </c>
      <c r="C743" s="9" t="s">
        <v>932</v>
      </c>
      <c r="D743" s="9">
        <v>48</v>
      </c>
      <c r="E743" s="9" t="s">
        <v>1804</v>
      </c>
      <c r="F743" t="s">
        <v>895</v>
      </c>
      <c r="G743" t="s">
        <v>339</v>
      </c>
      <c r="H743" t="s">
        <v>1324</v>
      </c>
    </row>
    <row r="744" spans="1:8" outlineLevel="2" x14ac:dyDescent="0.3">
      <c r="A744" s="6">
        <v>10</v>
      </c>
      <c r="B744" t="s">
        <v>886</v>
      </c>
      <c r="C744" s="9" t="s">
        <v>932</v>
      </c>
      <c r="D744" s="9">
        <v>31</v>
      </c>
      <c r="E744" s="9" t="s">
        <v>1804</v>
      </c>
      <c r="F744" t="s">
        <v>208</v>
      </c>
      <c r="G744" t="s">
        <v>209</v>
      </c>
      <c r="H744" t="s">
        <v>1325</v>
      </c>
    </row>
    <row r="745" spans="1:8" outlineLevel="2" x14ac:dyDescent="0.3">
      <c r="A745" s="6">
        <v>10</v>
      </c>
      <c r="B745" t="s">
        <v>886</v>
      </c>
      <c r="C745" s="9" t="s">
        <v>932</v>
      </c>
      <c r="D745" s="9">
        <v>16</v>
      </c>
      <c r="E745" s="9" t="s">
        <v>1804</v>
      </c>
      <c r="F745" t="s">
        <v>502</v>
      </c>
      <c r="G745" t="s">
        <v>168</v>
      </c>
      <c r="H745" t="s">
        <v>1444</v>
      </c>
    </row>
    <row r="746" spans="1:8" outlineLevel="2" x14ac:dyDescent="0.3">
      <c r="A746" s="6">
        <v>10</v>
      </c>
      <c r="B746" t="s">
        <v>886</v>
      </c>
      <c r="C746" s="9" t="s">
        <v>932</v>
      </c>
      <c r="D746" s="9">
        <v>18</v>
      </c>
      <c r="E746" s="9" t="s">
        <v>1804</v>
      </c>
      <c r="F746" t="s">
        <v>389</v>
      </c>
      <c r="G746" t="s">
        <v>171</v>
      </c>
      <c r="H746" t="s">
        <v>1447</v>
      </c>
    </row>
    <row r="747" spans="1:8" outlineLevel="2" x14ac:dyDescent="0.3">
      <c r="A747" s="6">
        <v>10</v>
      </c>
      <c r="B747" t="s">
        <v>886</v>
      </c>
      <c r="C747" s="9" t="s">
        <v>932</v>
      </c>
      <c r="D747" s="9">
        <v>33</v>
      </c>
      <c r="E747" s="9" t="s">
        <v>1804</v>
      </c>
      <c r="F747" t="s">
        <v>390</v>
      </c>
      <c r="G747" t="s">
        <v>391</v>
      </c>
      <c r="H747" t="s">
        <v>1449</v>
      </c>
    </row>
    <row r="748" spans="1:8" outlineLevel="2" x14ac:dyDescent="0.3">
      <c r="A748" s="6">
        <v>10</v>
      </c>
      <c r="B748" t="s">
        <v>886</v>
      </c>
      <c r="C748" s="9" t="s">
        <v>932</v>
      </c>
      <c r="D748" s="9">
        <v>15</v>
      </c>
      <c r="E748" s="9" t="s">
        <v>1804</v>
      </c>
      <c r="F748" t="s">
        <v>811</v>
      </c>
      <c r="G748" t="s">
        <v>812</v>
      </c>
      <c r="H748" t="s">
        <v>1452</v>
      </c>
    </row>
    <row r="749" spans="1:8" outlineLevel="2" x14ac:dyDescent="0.3">
      <c r="A749" s="6">
        <v>10</v>
      </c>
      <c r="B749" t="s">
        <v>886</v>
      </c>
      <c r="C749" s="9" t="s">
        <v>932</v>
      </c>
      <c r="D749" s="9">
        <v>35</v>
      </c>
      <c r="E749" s="9" t="s">
        <v>1804</v>
      </c>
      <c r="F749" t="s">
        <v>421</v>
      </c>
      <c r="G749" t="s">
        <v>115</v>
      </c>
      <c r="H749" t="s">
        <v>1464</v>
      </c>
    </row>
    <row r="750" spans="1:8" outlineLevel="2" x14ac:dyDescent="0.3">
      <c r="A750" s="6">
        <v>10</v>
      </c>
      <c r="B750" t="s">
        <v>886</v>
      </c>
      <c r="C750" s="9" t="s">
        <v>932</v>
      </c>
      <c r="D750" s="9">
        <v>24</v>
      </c>
      <c r="E750" s="9" t="s">
        <v>1804</v>
      </c>
      <c r="F750" t="s">
        <v>31</v>
      </c>
      <c r="G750" t="s">
        <v>32</v>
      </c>
      <c r="H750" t="s">
        <v>1483</v>
      </c>
    </row>
    <row r="751" spans="1:8" outlineLevel="2" x14ac:dyDescent="0.3">
      <c r="A751" s="6">
        <v>10</v>
      </c>
      <c r="B751" t="s">
        <v>886</v>
      </c>
      <c r="C751" s="9" t="s">
        <v>932</v>
      </c>
      <c r="D751" s="9">
        <v>32</v>
      </c>
      <c r="E751" s="9" t="s">
        <v>1804</v>
      </c>
      <c r="F751" t="s">
        <v>219</v>
      </c>
      <c r="G751" t="s">
        <v>32</v>
      </c>
      <c r="H751" t="s">
        <v>1484</v>
      </c>
    </row>
    <row r="752" spans="1:8" outlineLevel="2" x14ac:dyDescent="0.3">
      <c r="A752" s="6">
        <v>10</v>
      </c>
      <c r="B752" t="s">
        <v>886</v>
      </c>
      <c r="C752" s="9" t="s">
        <v>932</v>
      </c>
      <c r="D752" s="9">
        <v>21</v>
      </c>
      <c r="E752" s="9" t="s">
        <v>1804</v>
      </c>
      <c r="F752" t="s">
        <v>34</v>
      </c>
      <c r="G752" t="s">
        <v>32</v>
      </c>
      <c r="H752" t="s">
        <v>1485</v>
      </c>
    </row>
    <row r="753" spans="1:8" outlineLevel="2" x14ac:dyDescent="0.3">
      <c r="A753" s="6">
        <v>10</v>
      </c>
      <c r="B753" t="s">
        <v>886</v>
      </c>
      <c r="C753" s="9" t="s">
        <v>932</v>
      </c>
      <c r="D753" s="9">
        <v>36</v>
      </c>
      <c r="E753" s="9" t="s">
        <v>1804</v>
      </c>
      <c r="F753" t="s">
        <v>541</v>
      </c>
      <c r="G753" t="s">
        <v>32</v>
      </c>
      <c r="H753" t="s">
        <v>1486</v>
      </c>
    </row>
    <row r="754" spans="1:8" outlineLevel="2" x14ac:dyDescent="0.3">
      <c r="A754" s="6">
        <v>10</v>
      </c>
      <c r="B754" t="s">
        <v>886</v>
      </c>
      <c r="C754" s="9" t="s">
        <v>932</v>
      </c>
      <c r="D754" s="9">
        <v>30</v>
      </c>
      <c r="E754" s="9" t="s">
        <v>1804</v>
      </c>
      <c r="F754" t="s">
        <v>35</v>
      </c>
      <c r="G754" t="s">
        <v>32</v>
      </c>
      <c r="H754" t="s">
        <v>1489</v>
      </c>
    </row>
    <row r="755" spans="1:8" outlineLevel="2" x14ac:dyDescent="0.3">
      <c r="A755" s="6">
        <v>10</v>
      </c>
      <c r="B755" t="s">
        <v>886</v>
      </c>
      <c r="C755" s="9" t="s">
        <v>932</v>
      </c>
      <c r="D755" s="9">
        <v>32</v>
      </c>
      <c r="E755" s="9" t="s">
        <v>1804</v>
      </c>
      <c r="F755" t="s">
        <v>221</v>
      </c>
      <c r="G755" t="s">
        <v>32</v>
      </c>
      <c r="H755" t="s">
        <v>1490</v>
      </c>
    </row>
    <row r="756" spans="1:8" outlineLevel="2" x14ac:dyDescent="0.3">
      <c r="A756" s="6">
        <v>10</v>
      </c>
      <c r="B756" t="s">
        <v>886</v>
      </c>
      <c r="C756" s="9" t="s">
        <v>932</v>
      </c>
      <c r="D756" s="9">
        <v>21</v>
      </c>
      <c r="E756" s="9" t="s">
        <v>1804</v>
      </c>
      <c r="F756" t="s">
        <v>36</v>
      </c>
      <c r="G756" t="s">
        <v>32</v>
      </c>
      <c r="H756" t="s">
        <v>1492</v>
      </c>
    </row>
    <row r="757" spans="1:8" outlineLevel="2" x14ac:dyDescent="0.3">
      <c r="A757" s="6">
        <v>10</v>
      </c>
      <c r="B757" t="s">
        <v>886</v>
      </c>
      <c r="C757" s="9" t="s">
        <v>932</v>
      </c>
      <c r="D757" s="9">
        <v>34</v>
      </c>
      <c r="E757" s="9" t="s">
        <v>1804</v>
      </c>
      <c r="F757" t="s">
        <v>422</v>
      </c>
      <c r="G757" t="s">
        <v>423</v>
      </c>
      <c r="H757" t="s">
        <v>1149</v>
      </c>
    </row>
    <row r="758" spans="1:8" outlineLevel="2" x14ac:dyDescent="0.3">
      <c r="A758" s="6">
        <v>10</v>
      </c>
      <c r="B758" t="s">
        <v>886</v>
      </c>
      <c r="C758" s="9" t="s">
        <v>932</v>
      </c>
      <c r="D758" s="9">
        <v>12</v>
      </c>
      <c r="E758" s="9" t="s">
        <v>1804</v>
      </c>
      <c r="F758" t="s">
        <v>153</v>
      </c>
      <c r="G758" t="s">
        <v>108</v>
      </c>
      <c r="H758" t="s">
        <v>1150</v>
      </c>
    </row>
    <row r="759" spans="1:8" outlineLevel="2" x14ac:dyDescent="0.3">
      <c r="A759" s="6">
        <v>10</v>
      </c>
      <c r="B759" t="s">
        <v>886</v>
      </c>
      <c r="C759" s="9" t="s">
        <v>932</v>
      </c>
      <c r="D759" s="9">
        <v>18</v>
      </c>
      <c r="E759" s="9" t="s">
        <v>1804</v>
      </c>
      <c r="F759" t="s">
        <v>154</v>
      </c>
      <c r="G759" t="s">
        <v>108</v>
      </c>
      <c r="H759" t="s">
        <v>1151</v>
      </c>
    </row>
    <row r="760" spans="1:8" outlineLevel="2" x14ac:dyDescent="0.3">
      <c r="A760" s="6">
        <v>10</v>
      </c>
      <c r="B760" t="s">
        <v>886</v>
      </c>
      <c r="C760" s="9" t="s">
        <v>932</v>
      </c>
      <c r="D760" s="9">
        <v>27</v>
      </c>
      <c r="E760" s="9" t="s">
        <v>1804</v>
      </c>
      <c r="F760" t="s">
        <v>37</v>
      </c>
      <c r="G760" t="s">
        <v>38</v>
      </c>
      <c r="H760" t="s">
        <v>1164</v>
      </c>
    </row>
    <row r="761" spans="1:8" outlineLevel="2" x14ac:dyDescent="0.3">
      <c r="A761" s="6">
        <v>10</v>
      </c>
      <c r="B761" t="s">
        <v>886</v>
      </c>
      <c r="C761" s="9" t="s">
        <v>932</v>
      </c>
      <c r="D761" s="9">
        <v>12</v>
      </c>
      <c r="E761" s="9" t="s">
        <v>1804</v>
      </c>
      <c r="F761" t="s">
        <v>226</v>
      </c>
      <c r="G761" t="s">
        <v>38</v>
      </c>
      <c r="H761" t="s">
        <v>1165</v>
      </c>
    </row>
    <row r="762" spans="1:8" outlineLevel="2" x14ac:dyDescent="0.3">
      <c r="A762" s="6">
        <v>10</v>
      </c>
      <c r="B762" t="s">
        <v>886</v>
      </c>
      <c r="C762" s="9" t="s">
        <v>932</v>
      </c>
      <c r="D762" s="9">
        <v>18</v>
      </c>
      <c r="E762" s="9" t="s">
        <v>1804</v>
      </c>
      <c r="F762" t="s">
        <v>227</v>
      </c>
      <c r="G762" t="s">
        <v>41</v>
      </c>
      <c r="H762" t="s">
        <v>1167</v>
      </c>
    </row>
    <row r="763" spans="1:8" outlineLevel="2" x14ac:dyDescent="0.3">
      <c r="A763" s="6">
        <v>10</v>
      </c>
      <c r="B763" t="s">
        <v>886</v>
      </c>
      <c r="C763" s="9" t="s">
        <v>932</v>
      </c>
      <c r="D763" s="9">
        <v>12</v>
      </c>
      <c r="E763" s="9" t="s">
        <v>1804</v>
      </c>
      <c r="F763" t="s">
        <v>228</v>
      </c>
      <c r="G763" t="s">
        <v>41</v>
      </c>
      <c r="H763" t="s">
        <v>1168</v>
      </c>
    </row>
    <row r="764" spans="1:8" outlineLevel="2" x14ac:dyDescent="0.3">
      <c r="A764" s="6">
        <v>10</v>
      </c>
      <c r="B764" t="s">
        <v>886</v>
      </c>
      <c r="C764" s="9" t="s">
        <v>932</v>
      </c>
      <c r="D764" s="9">
        <v>27</v>
      </c>
      <c r="E764" s="9" t="s">
        <v>1804</v>
      </c>
      <c r="F764" t="s">
        <v>40</v>
      </c>
      <c r="G764" t="s">
        <v>41</v>
      </c>
      <c r="H764" t="s">
        <v>1169</v>
      </c>
    </row>
    <row r="765" spans="1:8" outlineLevel="2" x14ac:dyDescent="0.3">
      <c r="A765" s="6">
        <v>10</v>
      </c>
      <c r="B765" t="s">
        <v>886</v>
      </c>
      <c r="C765" s="9" t="s">
        <v>932</v>
      </c>
      <c r="D765" s="9">
        <v>18</v>
      </c>
      <c r="E765" s="9" t="s">
        <v>1804</v>
      </c>
      <c r="F765" t="s">
        <v>229</v>
      </c>
      <c r="G765" t="s">
        <v>230</v>
      </c>
      <c r="H765" t="s">
        <v>1170</v>
      </c>
    </row>
    <row r="766" spans="1:8" outlineLevel="2" x14ac:dyDescent="0.3">
      <c r="A766" s="6">
        <v>10</v>
      </c>
      <c r="B766" t="s">
        <v>886</v>
      </c>
      <c r="C766" s="9" t="s">
        <v>932</v>
      </c>
      <c r="D766" s="9">
        <v>24</v>
      </c>
      <c r="E766" s="9" t="s">
        <v>1804</v>
      </c>
      <c r="F766" t="s">
        <v>232</v>
      </c>
      <c r="G766" t="s">
        <v>144</v>
      </c>
      <c r="H766" t="s">
        <v>1171</v>
      </c>
    </row>
    <row r="767" spans="1:8" outlineLevel="2" x14ac:dyDescent="0.3">
      <c r="A767" s="6">
        <v>10</v>
      </c>
      <c r="B767" t="s">
        <v>886</v>
      </c>
      <c r="C767" s="9" t="s">
        <v>932</v>
      </c>
      <c r="D767" s="9">
        <v>25</v>
      </c>
      <c r="E767" s="9" t="s">
        <v>1804</v>
      </c>
      <c r="F767" t="s">
        <v>394</v>
      </c>
      <c r="G767" t="s">
        <v>112</v>
      </c>
      <c r="H767" t="s">
        <v>1172</v>
      </c>
    </row>
    <row r="768" spans="1:8" outlineLevel="2" x14ac:dyDescent="0.3">
      <c r="A768" s="6">
        <v>10</v>
      </c>
      <c r="B768" t="s">
        <v>886</v>
      </c>
      <c r="C768" s="9" t="s">
        <v>932</v>
      </c>
      <c r="D768" s="9">
        <v>12</v>
      </c>
      <c r="E768" s="9" t="s">
        <v>1804</v>
      </c>
      <c r="F768" t="s">
        <v>233</v>
      </c>
      <c r="G768" t="s">
        <v>112</v>
      </c>
      <c r="H768" t="s">
        <v>1146</v>
      </c>
    </row>
    <row r="769" spans="1:8" outlineLevel="2" x14ac:dyDescent="0.3">
      <c r="A769" s="6">
        <v>10</v>
      </c>
      <c r="B769" t="s">
        <v>886</v>
      </c>
      <c r="C769" s="9" t="s">
        <v>932</v>
      </c>
      <c r="D769" s="9">
        <v>24</v>
      </c>
      <c r="E769" s="9" t="s">
        <v>1804</v>
      </c>
      <c r="F769" t="s">
        <v>544</v>
      </c>
      <c r="G769" t="s">
        <v>545</v>
      </c>
      <c r="H769" t="s">
        <v>1042</v>
      </c>
    </row>
    <row r="770" spans="1:8" outlineLevel="2" x14ac:dyDescent="0.3">
      <c r="A770" s="6">
        <v>10</v>
      </c>
      <c r="B770" t="s">
        <v>886</v>
      </c>
      <c r="C770" s="9" t="s">
        <v>932</v>
      </c>
      <c r="D770" s="9">
        <v>12</v>
      </c>
      <c r="E770" s="9" t="s">
        <v>1804</v>
      </c>
      <c r="F770" t="s">
        <v>511</v>
      </c>
      <c r="G770" t="s">
        <v>235</v>
      </c>
      <c r="H770" t="s">
        <v>1046</v>
      </c>
    </row>
    <row r="771" spans="1:8" outlineLevel="2" x14ac:dyDescent="0.3">
      <c r="A771" s="6">
        <v>10</v>
      </c>
      <c r="B771" t="s">
        <v>886</v>
      </c>
      <c r="C771" s="9" t="s">
        <v>932</v>
      </c>
      <c r="D771" s="9">
        <v>15</v>
      </c>
      <c r="E771" s="9" t="s">
        <v>1804</v>
      </c>
      <c r="F771" t="s">
        <v>625</v>
      </c>
      <c r="G771" t="s">
        <v>235</v>
      </c>
      <c r="H771" t="s">
        <v>1048</v>
      </c>
    </row>
    <row r="772" spans="1:8" outlineLevel="2" x14ac:dyDescent="0.3">
      <c r="A772" s="6">
        <v>10</v>
      </c>
      <c r="B772" t="s">
        <v>886</v>
      </c>
      <c r="C772" s="9" t="s">
        <v>932</v>
      </c>
      <c r="D772" s="9">
        <v>15</v>
      </c>
      <c r="E772" s="9" t="s">
        <v>1804</v>
      </c>
      <c r="F772" t="s">
        <v>43</v>
      </c>
      <c r="G772" t="s">
        <v>44</v>
      </c>
      <c r="H772" t="s">
        <v>1050</v>
      </c>
    </row>
    <row r="773" spans="1:8" outlineLevel="2" x14ac:dyDescent="0.3">
      <c r="A773" s="6">
        <v>10</v>
      </c>
      <c r="B773" t="s">
        <v>886</v>
      </c>
      <c r="C773" s="9" t="s">
        <v>932</v>
      </c>
      <c r="D773" s="9">
        <v>24</v>
      </c>
      <c r="E773" s="9" t="s">
        <v>1804</v>
      </c>
      <c r="F773" t="s">
        <v>427</v>
      </c>
      <c r="G773" t="s">
        <v>428</v>
      </c>
      <c r="H773" t="s">
        <v>1054</v>
      </c>
    </row>
    <row r="774" spans="1:8" outlineLevel="2" x14ac:dyDescent="0.3">
      <c r="A774" s="6">
        <v>10</v>
      </c>
      <c r="B774" t="s">
        <v>886</v>
      </c>
      <c r="C774" s="9" t="s">
        <v>932</v>
      </c>
      <c r="D774" s="9">
        <v>12</v>
      </c>
      <c r="E774" s="9" t="s">
        <v>1804</v>
      </c>
      <c r="F774" t="s">
        <v>550</v>
      </c>
      <c r="G774" t="s">
        <v>551</v>
      </c>
      <c r="H774" t="s">
        <v>1059</v>
      </c>
    </row>
    <row r="775" spans="1:8" outlineLevel="2" x14ac:dyDescent="0.3">
      <c r="A775" s="6">
        <v>10</v>
      </c>
      <c r="B775" t="s">
        <v>886</v>
      </c>
      <c r="C775" s="9" t="s">
        <v>932</v>
      </c>
      <c r="D775" s="9">
        <v>24</v>
      </c>
      <c r="E775" s="9" t="s">
        <v>1804</v>
      </c>
      <c r="F775" t="s">
        <v>237</v>
      </c>
      <c r="G775" t="s">
        <v>238</v>
      </c>
      <c r="H775" t="s">
        <v>1065</v>
      </c>
    </row>
    <row r="776" spans="1:8" outlineLevel="2" x14ac:dyDescent="0.3">
      <c r="A776" s="6">
        <v>10</v>
      </c>
      <c r="B776" t="s">
        <v>886</v>
      </c>
      <c r="C776" s="9" t="s">
        <v>932</v>
      </c>
      <c r="D776" s="9">
        <v>35</v>
      </c>
      <c r="E776" s="9" t="s">
        <v>1804</v>
      </c>
      <c r="F776" t="s">
        <v>46</v>
      </c>
      <c r="G776" t="s">
        <v>47</v>
      </c>
      <c r="H776" t="s">
        <v>1409</v>
      </c>
    </row>
    <row r="777" spans="1:8" outlineLevel="2" x14ac:dyDescent="0.3">
      <c r="A777" s="6">
        <v>10</v>
      </c>
      <c r="B777" t="s">
        <v>886</v>
      </c>
      <c r="C777" s="9" t="s">
        <v>932</v>
      </c>
      <c r="D777" s="9">
        <v>12</v>
      </c>
      <c r="E777" s="9" t="s">
        <v>1804</v>
      </c>
      <c r="F777" t="s">
        <v>49</v>
      </c>
      <c r="G777" t="s">
        <v>47</v>
      </c>
      <c r="H777" t="s">
        <v>1410</v>
      </c>
    </row>
    <row r="778" spans="1:8" outlineLevel="2" x14ac:dyDescent="0.3">
      <c r="A778" s="6">
        <v>10</v>
      </c>
      <c r="B778" t="s">
        <v>886</v>
      </c>
      <c r="C778" s="9" t="s">
        <v>932</v>
      </c>
      <c r="D778" s="9">
        <v>18</v>
      </c>
      <c r="E778" s="9" t="s">
        <v>1804</v>
      </c>
      <c r="F778" t="s">
        <v>246</v>
      </c>
      <c r="G778" t="s">
        <v>51</v>
      </c>
      <c r="H778" t="s">
        <v>1596</v>
      </c>
    </row>
    <row r="779" spans="1:8" outlineLevel="2" x14ac:dyDescent="0.3">
      <c r="A779" s="6">
        <v>10</v>
      </c>
      <c r="B779" t="s">
        <v>886</v>
      </c>
      <c r="C779" s="9" t="s">
        <v>932</v>
      </c>
      <c r="D779" s="9">
        <v>31</v>
      </c>
      <c r="E779" s="9" t="s">
        <v>1804</v>
      </c>
      <c r="F779" t="s">
        <v>556</v>
      </c>
      <c r="G779" t="s">
        <v>54</v>
      </c>
      <c r="H779" t="s">
        <v>1601</v>
      </c>
    </row>
    <row r="780" spans="1:8" outlineLevel="2" x14ac:dyDescent="0.3">
      <c r="A780" s="6">
        <v>10</v>
      </c>
      <c r="B780" t="s">
        <v>886</v>
      </c>
      <c r="C780" s="9" t="s">
        <v>932</v>
      </c>
      <c r="D780" s="9">
        <v>12</v>
      </c>
      <c r="E780" s="9" t="s">
        <v>1804</v>
      </c>
      <c r="F780" t="s">
        <v>558</v>
      </c>
      <c r="G780" t="s">
        <v>559</v>
      </c>
      <c r="H780" t="s">
        <v>1610</v>
      </c>
    </row>
    <row r="781" spans="1:8" outlineLevel="2" x14ac:dyDescent="0.3">
      <c r="A781" s="6">
        <v>10</v>
      </c>
      <c r="B781" t="s">
        <v>886</v>
      </c>
      <c r="C781" s="9" t="s">
        <v>932</v>
      </c>
      <c r="D781" s="9">
        <v>12</v>
      </c>
      <c r="E781" s="9" t="s">
        <v>1804</v>
      </c>
      <c r="F781" t="s">
        <v>561</v>
      </c>
      <c r="G781" t="s">
        <v>562</v>
      </c>
      <c r="H781" t="s">
        <v>1622</v>
      </c>
    </row>
    <row r="782" spans="1:8" outlineLevel="2" x14ac:dyDescent="0.3">
      <c r="A782" s="6">
        <v>10</v>
      </c>
      <c r="B782" t="s">
        <v>886</v>
      </c>
      <c r="C782" s="9" t="s">
        <v>932</v>
      </c>
      <c r="D782" s="9">
        <v>12</v>
      </c>
      <c r="E782" s="9" t="s">
        <v>1804</v>
      </c>
      <c r="F782" t="s">
        <v>56</v>
      </c>
      <c r="G782" t="s">
        <v>57</v>
      </c>
      <c r="H782" t="s">
        <v>1623</v>
      </c>
    </row>
    <row r="783" spans="1:8" outlineLevel="2" x14ac:dyDescent="0.3">
      <c r="A783" s="6">
        <v>10</v>
      </c>
      <c r="B783" t="s">
        <v>886</v>
      </c>
      <c r="C783" s="9" t="s">
        <v>932</v>
      </c>
      <c r="D783" s="9">
        <v>12</v>
      </c>
      <c r="E783" s="9" t="s">
        <v>1804</v>
      </c>
      <c r="F783" t="s">
        <v>781</v>
      </c>
      <c r="G783" t="s">
        <v>253</v>
      </c>
      <c r="H783" t="s">
        <v>1634</v>
      </c>
    </row>
    <row r="784" spans="1:8" outlineLevel="2" x14ac:dyDescent="0.3">
      <c r="A784" s="6">
        <v>10</v>
      </c>
      <c r="B784" t="s">
        <v>886</v>
      </c>
      <c r="C784" s="9" t="s">
        <v>932</v>
      </c>
      <c r="D784" s="9">
        <v>12</v>
      </c>
      <c r="E784" s="9" t="s">
        <v>1804</v>
      </c>
      <c r="F784" t="s">
        <v>252</v>
      </c>
      <c r="G784" t="s">
        <v>253</v>
      </c>
      <c r="H784" t="s">
        <v>1635</v>
      </c>
    </row>
    <row r="785" spans="1:8" outlineLevel="2" x14ac:dyDescent="0.3">
      <c r="A785" s="6">
        <v>10</v>
      </c>
      <c r="B785" t="s">
        <v>886</v>
      </c>
      <c r="C785" s="9" t="s">
        <v>932</v>
      </c>
      <c r="D785" s="9">
        <v>22</v>
      </c>
      <c r="E785" s="9" t="s">
        <v>1804</v>
      </c>
      <c r="F785" t="s">
        <v>259</v>
      </c>
      <c r="G785" t="s">
        <v>260</v>
      </c>
      <c r="H785" t="s">
        <v>986</v>
      </c>
    </row>
    <row r="786" spans="1:8" outlineLevel="2" x14ac:dyDescent="0.3">
      <c r="A786" s="6">
        <v>10</v>
      </c>
      <c r="B786" t="s">
        <v>886</v>
      </c>
      <c r="C786" s="9" t="s">
        <v>932</v>
      </c>
      <c r="D786" s="9">
        <v>14</v>
      </c>
      <c r="E786" s="9" t="s">
        <v>1804</v>
      </c>
      <c r="F786" t="s">
        <v>262</v>
      </c>
      <c r="G786" t="s">
        <v>263</v>
      </c>
      <c r="H786" t="s">
        <v>989</v>
      </c>
    </row>
    <row r="787" spans="1:8" outlineLevel="2" x14ac:dyDescent="0.3">
      <c r="A787" s="6">
        <v>10</v>
      </c>
      <c r="B787" t="s">
        <v>886</v>
      </c>
      <c r="C787" s="9" t="s">
        <v>932</v>
      </c>
      <c r="D787" s="9">
        <v>19</v>
      </c>
      <c r="E787" s="9" t="s">
        <v>1804</v>
      </c>
      <c r="F787" t="s">
        <v>265</v>
      </c>
      <c r="G787" t="s">
        <v>266</v>
      </c>
      <c r="H787" t="s">
        <v>1337</v>
      </c>
    </row>
    <row r="788" spans="1:8" outlineLevel="2" x14ac:dyDescent="0.3">
      <c r="A788" s="6">
        <v>10</v>
      </c>
      <c r="B788" t="s">
        <v>886</v>
      </c>
      <c r="C788" s="9" t="s">
        <v>932</v>
      </c>
      <c r="D788" s="9">
        <v>19</v>
      </c>
      <c r="E788" s="9" t="s">
        <v>1804</v>
      </c>
      <c r="F788" t="s">
        <v>673</v>
      </c>
      <c r="G788" t="s">
        <v>674</v>
      </c>
      <c r="H788" t="s">
        <v>990</v>
      </c>
    </row>
    <row r="789" spans="1:8" outlineLevel="2" x14ac:dyDescent="0.3">
      <c r="A789" s="6">
        <v>10</v>
      </c>
      <c r="B789" t="s">
        <v>886</v>
      </c>
      <c r="C789" s="9" t="s">
        <v>932</v>
      </c>
      <c r="D789" s="9">
        <v>15</v>
      </c>
      <c r="E789" s="9" t="s">
        <v>1804</v>
      </c>
      <c r="F789" t="s">
        <v>443</v>
      </c>
      <c r="G789" t="s">
        <v>444</v>
      </c>
      <c r="H789" t="s">
        <v>1649</v>
      </c>
    </row>
    <row r="790" spans="1:8" outlineLevel="2" x14ac:dyDescent="0.3">
      <c r="A790" s="6">
        <v>10</v>
      </c>
      <c r="B790" t="s">
        <v>886</v>
      </c>
      <c r="C790" s="9" t="s">
        <v>1807</v>
      </c>
      <c r="D790" s="9">
        <v>1400</v>
      </c>
      <c r="E790" s="9" t="s">
        <v>1808</v>
      </c>
      <c r="F790" t="s">
        <v>446</v>
      </c>
      <c r="G790" t="s">
        <v>447</v>
      </c>
      <c r="H790" t="s">
        <v>1719</v>
      </c>
    </row>
    <row r="791" spans="1:8" outlineLevel="2" x14ac:dyDescent="0.3">
      <c r="A791" s="6">
        <v>10</v>
      </c>
      <c r="B791" t="s">
        <v>886</v>
      </c>
      <c r="C791" s="9" t="s">
        <v>1807</v>
      </c>
      <c r="D791" s="9">
        <v>1800</v>
      </c>
      <c r="E791" s="9" t="s">
        <v>1808</v>
      </c>
      <c r="F791" t="s">
        <v>449</v>
      </c>
      <c r="G791" t="s">
        <v>450</v>
      </c>
      <c r="H791" t="s">
        <v>1711</v>
      </c>
    </row>
    <row r="792" spans="1:8" outlineLevel="2" x14ac:dyDescent="0.3">
      <c r="A792" s="6">
        <v>10</v>
      </c>
      <c r="B792" t="s">
        <v>886</v>
      </c>
      <c r="C792" s="9" t="s">
        <v>1807</v>
      </c>
      <c r="D792" s="9">
        <v>1800</v>
      </c>
      <c r="E792" s="9" t="s">
        <v>1808</v>
      </c>
      <c r="F792" t="s">
        <v>280</v>
      </c>
      <c r="G792" t="s">
        <v>157</v>
      </c>
      <c r="H792" t="s">
        <v>1823</v>
      </c>
    </row>
    <row r="793" spans="1:8" outlineLevel="2" x14ac:dyDescent="0.3">
      <c r="A793" s="6">
        <v>10</v>
      </c>
      <c r="B793" t="s">
        <v>886</v>
      </c>
      <c r="C793" s="9" t="s">
        <v>1807</v>
      </c>
      <c r="D793" s="9">
        <v>620</v>
      </c>
      <c r="E793" s="9" t="s">
        <v>1808</v>
      </c>
      <c r="F793" t="s">
        <v>896</v>
      </c>
      <c r="G793" t="s">
        <v>289</v>
      </c>
      <c r="H793" t="s">
        <v>1767</v>
      </c>
    </row>
    <row r="794" spans="1:8" outlineLevel="2" x14ac:dyDescent="0.3">
      <c r="A794" s="6">
        <v>10</v>
      </c>
      <c r="B794" t="s">
        <v>886</v>
      </c>
      <c r="C794" s="9" t="s">
        <v>1807</v>
      </c>
      <c r="D794" s="9">
        <v>620</v>
      </c>
      <c r="E794" s="9" t="s">
        <v>1808</v>
      </c>
      <c r="F794" t="s">
        <v>897</v>
      </c>
      <c r="G794" t="s">
        <v>289</v>
      </c>
      <c r="H794" t="s">
        <v>1768</v>
      </c>
    </row>
    <row r="795" spans="1:8" outlineLevel="2" x14ac:dyDescent="0.3">
      <c r="A795" s="6">
        <v>10</v>
      </c>
      <c r="B795" t="s">
        <v>886</v>
      </c>
      <c r="C795" s="9" t="s">
        <v>1807</v>
      </c>
      <c r="D795" s="9">
        <v>680</v>
      </c>
      <c r="E795" s="9" t="s">
        <v>1808</v>
      </c>
      <c r="F795" t="s">
        <v>898</v>
      </c>
      <c r="G795" t="s">
        <v>289</v>
      </c>
      <c r="H795" t="s">
        <v>1769</v>
      </c>
    </row>
    <row r="796" spans="1:8" outlineLevel="2" x14ac:dyDescent="0.3">
      <c r="A796" s="6">
        <v>10</v>
      </c>
      <c r="B796" t="s">
        <v>886</v>
      </c>
      <c r="C796" s="9" t="s">
        <v>1807</v>
      </c>
      <c r="D796" s="9">
        <v>1050</v>
      </c>
      <c r="E796" s="9" t="s">
        <v>1808</v>
      </c>
      <c r="F796" t="s">
        <v>291</v>
      </c>
      <c r="G796" t="s">
        <v>292</v>
      </c>
      <c r="H796" t="s">
        <v>1678</v>
      </c>
    </row>
    <row r="797" spans="1:8" outlineLevel="2" x14ac:dyDescent="0.3">
      <c r="A797" s="6">
        <v>10</v>
      </c>
      <c r="B797" t="s">
        <v>886</v>
      </c>
      <c r="C797" s="9" t="s">
        <v>932</v>
      </c>
      <c r="D797" s="9">
        <v>12</v>
      </c>
      <c r="E797" s="9" t="s">
        <v>1804</v>
      </c>
      <c r="F797" t="s">
        <v>294</v>
      </c>
      <c r="G797" t="s">
        <v>295</v>
      </c>
      <c r="H797" t="s">
        <v>1680</v>
      </c>
    </row>
    <row r="798" spans="1:8" outlineLevel="2" x14ac:dyDescent="0.3">
      <c r="A798" s="6">
        <v>10</v>
      </c>
      <c r="B798" t="s">
        <v>886</v>
      </c>
      <c r="C798" s="9" t="s">
        <v>932</v>
      </c>
      <c r="D798" s="9">
        <v>15</v>
      </c>
      <c r="E798" s="9" t="s">
        <v>1804</v>
      </c>
      <c r="F798" t="s">
        <v>59</v>
      </c>
      <c r="G798" t="s">
        <v>60</v>
      </c>
      <c r="H798" t="s">
        <v>1078</v>
      </c>
    </row>
    <row r="799" spans="1:8" outlineLevel="2" x14ac:dyDescent="0.3">
      <c r="A799" s="6">
        <v>10</v>
      </c>
      <c r="B799" t="s">
        <v>886</v>
      </c>
      <c r="C799" s="9" t="s">
        <v>932</v>
      </c>
      <c r="D799" s="9">
        <v>16</v>
      </c>
      <c r="E799" s="9" t="s">
        <v>1804</v>
      </c>
      <c r="F799" t="s">
        <v>746</v>
      </c>
      <c r="G799" t="s">
        <v>63</v>
      </c>
      <c r="H799" t="s">
        <v>1102</v>
      </c>
    </row>
    <row r="800" spans="1:8" outlineLevel="2" x14ac:dyDescent="0.3">
      <c r="A800" s="6">
        <v>10</v>
      </c>
      <c r="B800" t="s">
        <v>886</v>
      </c>
      <c r="C800" s="9" t="s">
        <v>932</v>
      </c>
      <c r="D800" s="9">
        <v>12</v>
      </c>
      <c r="E800" s="9" t="s">
        <v>1804</v>
      </c>
      <c r="F800" t="s">
        <v>677</v>
      </c>
      <c r="G800" t="s">
        <v>312</v>
      </c>
      <c r="H800" t="s">
        <v>952</v>
      </c>
    </row>
    <row r="801" spans="1:8" outlineLevel="2" x14ac:dyDescent="0.3">
      <c r="A801" s="6">
        <v>10</v>
      </c>
      <c r="B801" t="s">
        <v>886</v>
      </c>
      <c r="C801" s="9" t="s">
        <v>1807</v>
      </c>
      <c r="D801" s="9">
        <v>420</v>
      </c>
      <c r="E801" s="9" t="s">
        <v>1808</v>
      </c>
      <c r="F801" t="s">
        <v>68</v>
      </c>
      <c r="G801" t="s">
        <v>69</v>
      </c>
      <c r="H801" t="s">
        <v>1551</v>
      </c>
    </row>
    <row r="802" spans="1:8" outlineLevel="2" x14ac:dyDescent="0.3">
      <c r="A802" s="6">
        <v>10</v>
      </c>
      <c r="B802" t="s">
        <v>886</v>
      </c>
      <c r="C802" s="9" t="s">
        <v>932</v>
      </c>
      <c r="D802" s="9">
        <v>24</v>
      </c>
      <c r="E802" s="9" t="s">
        <v>1804</v>
      </c>
      <c r="F802" t="s">
        <v>316</v>
      </c>
      <c r="G802" t="s">
        <v>129</v>
      </c>
      <c r="H802" t="s">
        <v>1562</v>
      </c>
    </row>
    <row r="803" spans="1:8" outlineLevel="2" x14ac:dyDescent="0.3">
      <c r="A803" s="6">
        <v>10</v>
      </c>
      <c r="B803" t="s">
        <v>886</v>
      </c>
      <c r="C803" s="9" t="s">
        <v>932</v>
      </c>
      <c r="D803" s="9">
        <v>9</v>
      </c>
      <c r="E803" s="9" t="s">
        <v>1804</v>
      </c>
      <c r="F803" t="s">
        <v>574</v>
      </c>
      <c r="G803" t="s">
        <v>129</v>
      </c>
      <c r="H803" t="s">
        <v>1563</v>
      </c>
    </row>
    <row r="804" spans="1:8" outlineLevel="2" x14ac:dyDescent="0.3">
      <c r="A804" s="6">
        <v>10</v>
      </c>
      <c r="B804" t="s">
        <v>886</v>
      </c>
      <c r="C804" s="9" t="s">
        <v>932</v>
      </c>
      <c r="D804" s="9">
        <v>28</v>
      </c>
      <c r="E804" s="9" t="s">
        <v>1804</v>
      </c>
      <c r="F804" t="s">
        <v>395</v>
      </c>
      <c r="G804" t="s">
        <v>396</v>
      </c>
      <c r="H804" t="s">
        <v>1564</v>
      </c>
    </row>
    <row r="805" spans="1:8" outlineLevel="2" x14ac:dyDescent="0.3">
      <c r="A805" s="6">
        <v>10</v>
      </c>
      <c r="B805" t="s">
        <v>886</v>
      </c>
      <c r="C805" s="9" t="s">
        <v>1807</v>
      </c>
      <c r="D805" s="9">
        <v>770</v>
      </c>
      <c r="E805" s="9" t="s">
        <v>1808</v>
      </c>
      <c r="F805" t="s">
        <v>71</v>
      </c>
      <c r="G805" t="s">
        <v>72</v>
      </c>
      <c r="H805" t="s">
        <v>1565</v>
      </c>
    </row>
    <row r="806" spans="1:8" outlineLevel="2" x14ac:dyDescent="0.3">
      <c r="A806" s="6">
        <v>10</v>
      </c>
      <c r="B806" t="s">
        <v>886</v>
      </c>
      <c r="C806" s="9" t="s">
        <v>1807</v>
      </c>
      <c r="D806" s="9">
        <v>319</v>
      </c>
      <c r="E806" s="9" t="s">
        <v>1808</v>
      </c>
      <c r="F806" t="s">
        <v>899</v>
      </c>
      <c r="G806" t="s">
        <v>72</v>
      </c>
      <c r="H806" t="s">
        <v>1570</v>
      </c>
    </row>
    <row r="807" spans="1:8" outlineLevel="2" x14ac:dyDescent="0.3">
      <c r="A807" s="6">
        <v>10</v>
      </c>
      <c r="B807" t="s">
        <v>886</v>
      </c>
      <c r="C807" s="9" t="s">
        <v>1807</v>
      </c>
      <c r="D807" s="9">
        <v>40</v>
      </c>
      <c r="E807" s="9" t="s">
        <v>1808</v>
      </c>
      <c r="F807" t="s">
        <v>837</v>
      </c>
      <c r="G807" t="s">
        <v>835</v>
      </c>
      <c r="H807" t="s">
        <v>1573</v>
      </c>
    </row>
    <row r="808" spans="1:8" outlineLevel="2" x14ac:dyDescent="0.3">
      <c r="A808" s="6">
        <v>10</v>
      </c>
      <c r="B808" t="s">
        <v>886</v>
      </c>
      <c r="C808" s="9" t="s">
        <v>1807</v>
      </c>
      <c r="D808" s="9">
        <v>120</v>
      </c>
      <c r="E808" s="9" t="s">
        <v>1808</v>
      </c>
      <c r="F808" t="s">
        <v>900</v>
      </c>
      <c r="G808" t="s">
        <v>749</v>
      </c>
      <c r="H808" t="s">
        <v>1575</v>
      </c>
    </row>
    <row r="809" spans="1:8" outlineLevel="2" x14ac:dyDescent="0.3">
      <c r="A809" s="6">
        <v>10</v>
      </c>
      <c r="B809" t="s">
        <v>886</v>
      </c>
      <c r="C809" s="9" t="s">
        <v>932</v>
      </c>
      <c r="D809" s="9">
        <v>12</v>
      </c>
      <c r="E809" s="9" t="s">
        <v>1804</v>
      </c>
      <c r="F809" t="s">
        <v>578</v>
      </c>
      <c r="G809" t="s">
        <v>376</v>
      </c>
      <c r="H809" t="s">
        <v>1577</v>
      </c>
    </row>
    <row r="810" spans="1:8" outlineLevel="2" x14ac:dyDescent="0.3">
      <c r="A810" s="6">
        <v>10</v>
      </c>
      <c r="B810" t="s">
        <v>886</v>
      </c>
      <c r="C810" s="9" t="s">
        <v>1807</v>
      </c>
      <c r="D810" s="9">
        <v>538</v>
      </c>
      <c r="E810" s="9" t="s">
        <v>1808</v>
      </c>
      <c r="F810" t="s">
        <v>75</v>
      </c>
      <c r="G810" t="s">
        <v>76</v>
      </c>
      <c r="H810" t="s">
        <v>1549</v>
      </c>
    </row>
    <row r="811" spans="1:8" outlineLevel="2" x14ac:dyDescent="0.3">
      <c r="A811" s="6">
        <v>10</v>
      </c>
      <c r="B811" t="s">
        <v>886</v>
      </c>
      <c r="C811" s="9" t="s">
        <v>1807</v>
      </c>
      <c r="D811" s="9">
        <v>232</v>
      </c>
      <c r="E811" s="9" t="s">
        <v>1808</v>
      </c>
      <c r="F811" t="s">
        <v>606</v>
      </c>
      <c r="G811" t="s">
        <v>607</v>
      </c>
      <c r="H811" t="s">
        <v>1580</v>
      </c>
    </row>
    <row r="812" spans="1:8" outlineLevel="2" x14ac:dyDescent="0.3">
      <c r="A812" s="6">
        <v>10</v>
      </c>
      <c r="B812" t="s">
        <v>886</v>
      </c>
      <c r="C812" s="9" t="s">
        <v>963</v>
      </c>
      <c r="D812" s="9">
        <v>63</v>
      </c>
      <c r="E812" s="9" t="s">
        <v>1804</v>
      </c>
      <c r="F812" t="s">
        <v>878</v>
      </c>
      <c r="G812" t="s">
        <v>860</v>
      </c>
      <c r="H812" t="s">
        <v>965</v>
      </c>
    </row>
    <row r="813" spans="1:8" outlineLevel="2" x14ac:dyDescent="0.3">
      <c r="A813" s="6">
        <v>10</v>
      </c>
      <c r="B813" t="s">
        <v>886</v>
      </c>
      <c r="C813" s="9" t="s">
        <v>963</v>
      </c>
      <c r="D813" s="9">
        <v>60</v>
      </c>
      <c r="E813" s="9" t="s">
        <v>1804</v>
      </c>
      <c r="F813" t="s">
        <v>79</v>
      </c>
      <c r="G813" t="s">
        <v>80</v>
      </c>
      <c r="H813" t="s">
        <v>1416</v>
      </c>
    </row>
    <row r="814" spans="1:8" outlineLevel="2" x14ac:dyDescent="0.3">
      <c r="A814" s="6">
        <v>10</v>
      </c>
      <c r="B814" t="s">
        <v>886</v>
      </c>
      <c r="C814" s="9" t="s">
        <v>963</v>
      </c>
      <c r="D814" s="9">
        <v>64</v>
      </c>
      <c r="E814" s="9" t="s">
        <v>1804</v>
      </c>
      <c r="F814" t="s">
        <v>580</v>
      </c>
      <c r="G814" t="s">
        <v>177</v>
      </c>
      <c r="H814" t="s">
        <v>1385</v>
      </c>
    </row>
    <row r="815" spans="1:8" outlineLevel="2" x14ac:dyDescent="0.3">
      <c r="A815" s="6">
        <v>10</v>
      </c>
      <c r="B815" t="s">
        <v>886</v>
      </c>
      <c r="C815" s="9" t="s">
        <v>963</v>
      </c>
      <c r="D815" s="9">
        <v>61</v>
      </c>
      <c r="E815" s="9" t="s">
        <v>1804</v>
      </c>
      <c r="F815" t="s">
        <v>324</v>
      </c>
      <c r="G815" t="s">
        <v>193</v>
      </c>
      <c r="H815" t="s">
        <v>1339</v>
      </c>
    </row>
    <row r="816" spans="1:8" outlineLevel="2" x14ac:dyDescent="0.3">
      <c r="A816" s="6">
        <v>10</v>
      </c>
      <c r="B816" t="s">
        <v>886</v>
      </c>
      <c r="C816" s="9" t="s">
        <v>963</v>
      </c>
      <c r="D816" s="9">
        <v>88</v>
      </c>
      <c r="E816" s="9" t="s">
        <v>1804</v>
      </c>
      <c r="F816" t="s">
        <v>84</v>
      </c>
      <c r="G816" t="s">
        <v>85</v>
      </c>
      <c r="H816" t="s">
        <v>1342</v>
      </c>
    </row>
    <row r="817" spans="1:8" outlineLevel="2" x14ac:dyDescent="0.3">
      <c r="A817" s="6">
        <v>10</v>
      </c>
      <c r="B817" t="s">
        <v>886</v>
      </c>
      <c r="C817" s="9" t="s">
        <v>963</v>
      </c>
      <c r="D817" s="9">
        <v>60</v>
      </c>
      <c r="E817" s="9" t="s">
        <v>1804</v>
      </c>
      <c r="F817" t="s">
        <v>904</v>
      </c>
      <c r="G817" t="s">
        <v>888</v>
      </c>
      <c r="H817" t="s">
        <v>1345</v>
      </c>
    </row>
    <row r="818" spans="1:8" outlineLevel="2" x14ac:dyDescent="0.3">
      <c r="A818" s="6">
        <v>10</v>
      </c>
      <c r="B818" t="s">
        <v>886</v>
      </c>
      <c r="C818" s="9" t="s">
        <v>963</v>
      </c>
      <c r="D818" s="9">
        <v>73</v>
      </c>
      <c r="E818" s="9" t="s">
        <v>1804</v>
      </c>
      <c r="F818" t="s">
        <v>679</v>
      </c>
      <c r="G818" t="s">
        <v>680</v>
      </c>
      <c r="H818" t="s">
        <v>972</v>
      </c>
    </row>
    <row r="819" spans="1:8" outlineLevel="2" x14ac:dyDescent="0.3">
      <c r="A819" s="6">
        <v>10</v>
      </c>
      <c r="B819" t="s">
        <v>886</v>
      </c>
      <c r="C819" s="9" t="s">
        <v>963</v>
      </c>
      <c r="D819" s="9">
        <v>77</v>
      </c>
      <c r="E819" s="9" t="s">
        <v>1804</v>
      </c>
      <c r="F819" t="s">
        <v>328</v>
      </c>
      <c r="G819" t="s">
        <v>329</v>
      </c>
      <c r="H819" t="s">
        <v>1350</v>
      </c>
    </row>
    <row r="820" spans="1:8" outlineLevel="2" x14ac:dyDescent="0.3">
      <c r="A820" s="6">
        <v>10</v>
      </c>
      <c r="B820" t="s">
        <v>886</v>
      </c>
      <c r="C820" s="9" t="s">
        <v>963</v>
      </c>
      <c r="D820" s="9">
        <v>73</v>
      </c>
      <c r="E820" s="9" t="s">
        <v>1804</v>
      </c>
      <c r="F820" t="s">
        <v>90</v>
      </c>
      <c r="G820" t="s">
        <v>15</v>
      </c>
      <c r="H820" t="s">
        <v>1351</v>
      </c>
    </row>
    <row r="821" spans="1:8" outlineLevel="2" x14ac:dyDescent="0.3">
      <c r="A821" s="6">
        <v>10</v>
      </c>
      <c r="B821" t="s">
        <v>886</v>
      </c>
      <c r="C821" s="9" t="s">
        <v>963</v>
      </c>
      <c r="D821" s="9">
        <v>75</v>
      </c>
      <c r="E821" s="9" t="s">
        <v>1804</v>
      </c>
      <c r="F821" t="s">
        <v>653</v>
      </c>
      <c r="G821" t="s">
        <v>654</v>
      </c>
      <c r="H821" t="s">
        <v>1352</v>
      </c>
    </row>
    <row r="822" spans="1:8" outlineLevel="2" x14ac:dyDescent="0.3">
      <c r="A822" s="6">
        <v>10</v>
      </c>
      <c r="B822" t="s">
        <v>886</v>
      </c>
      <c r="C822" s="9" t="s">
        <v>963</v>
      </c>
      <c r="D822" s="9">
        <v>77</v>
      </c>
      <c r="E822" s="9" t="s">
        <v>1804</v>
      </c>
      <c r="F822" t="s">
        <v>91</v>
      </c>
      <c r="G822" t="s">
        <v>92</v>
      </c>
      <c r="H822" t="s">
        <v>1353</v>
      </c>
    </row>
    <row r="823" spans="1:8" outlineLevel="2" x14ac:dyDescent="0.3">
      <c r="A823" s="6">
        <v>10</v>
      </c>
      <c r="B823" t="s">
        <v>886</v>
      </c>
      <c r="C823" s="9" t="s">
        <v>963</v>
      </c>
      <c r="D823" s="9">
        <v>77</v>
      </c>
      <c r="E823" s="9" t="s">
        <v>1804</v>
      </c>
      <c r="F823" t="s">
        <v>331</v>
      </c>
      <c r="G823" t="s">
        <v>92</v>
      </c>
      <c r="H823" t="s">
        <v>1354</v>
      </c>
    </row>
    <row r="824" spans="1:8" outlineLevel="2" x14ac:dyDescent="0.3">
      <c r="A824" s="6">
        <v>10</v>
      </c>
      <c r="B824" t="s">
        <v>886</v>
      </c>
      <c r="C824" s="9" t="s">
        <v>963</v>
      </c>
      <c r="D824" s="9">
        <v>76</v>
      </c>
      <c r="E824" s="9" t="s">
        <v>1804</v>
      </c>
      <c r="F824" t="s">
        <v>94</v>
      </c>
      <c r="G824" t="s">
        <v>95</v>
      </c>
      <c r="H824" t="s">
        <v>1355</v>
      </c>
    </row>
    <row r="825" spans="1:8" outlineLevel="2" x14ac:dyDescent="0.3">
      <c r="A825" s="6">
        <v>10</v>
      </c>
      <c r="B825" t="s">
        <v>886</v>
      </c>
      <c r="C825" s="9" t="s">
        <v>963</v>
      </c>
      <c r="D825" s="9">
        <v>77</v>
      </c>
      <c r="E825" s="9" t="s">
        <v>1804</v>
      </c>
      <c r="F825" t="s">
        <v>98</v>
      </c>
      <c r="G825" t="s">
        <v>99</v>
      </c>
      <c r="H825" t="s">
        <v>1357</v>
      </c>
    </row>
    <row r="826" spans="1:8" outlineLevel="2" x14ac:dyDescent="0.3">
      <c r="A826" s="6">
        <v>10</v>
      </c>
      <c r="B826" t="s">
        <v>886</v>
      </c>
      <c r="C826" s="9" t="s">
        <v>963</v>
      </c>
      <c r="D826" s="9">
        <v>76</v>
      </c>
      <c r="E826" s="9" t="s">
        <v>1804</v>
      </c>
      <c r="F826" t="s">
        <v>332</v>
      </c>
      <c r="G826" t="s">
        <v>333</v>
      </c>
      <c r="H826" t="s">
        <v>1358</v>
      </c>
    </row>
    <row r="827" spans="1:8" outlineLevel="2" x14ac:dyDescent="0.3">
      <c r="A827" s="6">
        <v>10</v>
      </c>
      <c r="B827" t="s">
        <v>886</v>
      </c>
      <c r="C827" s="9" t="s">
        <v>963</v>
      </c>
      <c r="D827" s="9">
        <v>65</v>
      </c>
      <c r="E827" s="9" t="s">
        <v>1804</v>
      </c>
      <c r="F827" t="s">
        <v>399</v>
      </c>
      <c r="G827" t="s">
        <v>1819</v>
      </c>
      <c r="H827" t="s">
        <v>1420</v>
      </c>
    </row>
    <row r="828" spans="1:8" outlineLevel="2" x14ac:dyDescent="0.3">
      <c r="A828" s="6">
        <v>10</v>
      </c>
      <c r="B828" t="s">
        <v>886</v>
      </c>
      <c r="C828" s="9" t="s">
        <v>963</v>
      </c>
      <c r="D828" s="9">
        <v>72</v>
      </c>
      <c r="E828" s="9" t="s">
        <v>1804</v>
      </c>
      <c r="F828" t="s">
        <v>461</v>
      </c>
      <c r="G828" t="s">
        <v>462</v>
      </c>
      <c r="H828" t="s">
        <v>1360</v>
      </c>
    </row>
    <row r="829" spans="1:8" outlineLevel="2" x14ac:dyDescent="0.3">
      <c r="A829" s="6">
        <v>10</v>
      </c>
      <c r="B829" t="s">
        <v>886</v>
      </c>
      <c r="C829" s="9" t="s">
        <v>963</v>
      </c>
      <c r="D829" s="9">
        <v>60</v>
      </c>
      <c r="E829" s="9" t="s">
        <v>1804</v>
      </c>
      <c r="F829" t="s">
        <v>905</v>
      </c>
      <c r="G829" t="s">
        <v>906</v>
      </c>
      <c r="H829" t="s">
        <v>1361</v>
      </c>
    </row>
    <row r="830" spans="1:8" outlineLevel="2" x14ac:dyDescent="0.3">
      <c r="A830" s="6">
        <v>10</v>
      </c>
      <c r="B830" t="s">
        <v>886</v>
      </c>
      <c r="C830" s="9" t="s">
        <v>963</v>
      </c>
      <c r="D830" s="9">
        <v>60</v>
      </c>
      <c r="E830" s="9" t="s">
        <v>1804</v>
      </c>
      <c r="F830" t="s">
        <v>341</v>
      </c>
      <c r="G830" t="s">
        <v>209</v>
      </c>
      <c r="H830" t="s">
        <v>1363</v>
      </c>
    </row>
    <row r="831" spans="1:8" outlineLevel="2" x14ac:dyDescent="0.3">
      <c r="A831" s="6">
        <v>10</v>
      </c>
      <c r="B831" t="s">
        <v>886</v>
      </c>
      <c r="C831" s="9" t="s">
        <v>963</v>
      </c>
      <c r="D831" s="9">
        <v>64</v>
      </c>
      <c r="E831" s="9" t="s">
        <v>1804</v>
      </c>
      <c r="F831" t="s">
        <v>908</v>
      </c>
      <c r="G831" t="s">
        <v>909</v>
      </c>
      <c r="H831" t="s">
        <v>1417</v>
      </c>
    </row>
    <row r="832" spans="1:8" outlineLevel="2" x14ac:dyDescent="0.3">
      <c r="A832" s="6">
        <v>10</v>
      </c>
      <c r="B832" t="s">
        <v>886</v>
      </c>
      <c r="C832" s="9" t="s">
        <v>963</v>
      </c>
      <c r="D832" s="9">
        <v>72</v>
      </c>
      <c r="E832" s="9" t="s">
        <v>1804</v>
      </c>
      <c r="F832" t="s">
        <v>101</v>
      </c>
      <c r="G832" t="s">
        <v>102</v>
      </c>
      <c r="H832" t="s">
        <v>1365</v>
      </c>
    </row>
    <row r="833" spans="1:8" outlineLevel="2" x14ac:dyDescent="0.3">
      <c r="A833" s="6">
        <v>10</v>
      </c>
      <c r="B833" t="s">
        <v>886</v>
      </c>
      <c r="C833" s="9" t="s">
        <v>963</v>
      </c>
      <c r="D833" s="9">
        <v>60</v>
      </c>
      <c r="E833" s="9" t="s">
        <v>1804</v>
      </c>
      <c r="F833" t="s">
        <v>342</v>
      </c>
      <c r="G833" t="s">
        <v>343</v>
      </c>
      <c r="H833" t="s">
        <v>1191</v>
      </c>
    </row>
    <row r="834" spans="1:8" outlineLevel="2" x14ac:dyDescent="0.3">
      <c r="A834" s="6">
        <v>10</v>
      </c>
      <c r="B834" t="s">
        <v>886</v>
      </c>
      <c r="C834" s="9" t="s">
        <v>963</v>
      </c>
      <c r="D834" s="9">
        <v>60</v>
      </c>
      <c r="E834" s="9" t="s">
        <v>1804</v>
      </c>
      <c r="F834" t="s">
        <v>403</v>
      </c>
      <c r="G834" t="s">
        <v>386</v>
      </c>
      <c r="H834" t="s">
        <v>1432</v>
      </c>
    </row>
    <row r="835" spans="1:8" outlineLevel="2" x14ac:dyDescent="0.3">
      <c r="A835" s="6">
        <v>10</v>
      </c>
      <c r="B835" t="s">
        <v>886</v>
      </c>
      <c r="C835" s="9" t="s">
        <v>963</v>
      </c>
      <c r="D835" s="9">
        <v>60</v>
      </c>
      <c r="E835" s="9" t="s">
        <v>1804</v>
      </c>
      <c r="F835" t="s">
        <v>167</v>
      </c>
      <c r="G835" t="s">
        <v>168</v>
      </c>
      <c r="H835" t="s">
        <v>1533</v>
      </c>
    </row>
    <row r="836" spans="1:8" outlineLevel="2" x14ac:dyDescent="0.3">
      <c r="A836" s="6">
        <v>10</v>
      </c>
      <c r="B836" t="s">
        <v>886</v>
      </c>
      <c r="C836" s="9" t="s">
        <v>963</v>
      </c>
      <c r="D836" s="9">
        <v>60</v>
      </c>
      <c r="E836" s="9" t="s">
        <v>1804</v>
      </c>
      <c r="F836" t="s">
        <v>464</v>
      </c>
      <c r="G836" t="s">
        <v>168</v>
      </c>
      <c r="H836" t="s">
        <v>1534</v>
      </c>
    </row>
    <row r="837" spans="1:8" outlineLevel="2" x14ac:dyDescent="0.3">
      <c r="A837" s="6">
        <v>10</v>
      </c>
      <c r="B837" t="s">
        <v>886</v>
      </c>
      <c r="C837" s="9" t="s">
        <v>963</v>
      </c>
      <c r="D837" s="9">
        <v>60</v>
      </c>
      <c r="E837" s="9" t="s">
        <v>1804</v>
      </c>
      <c r="F837" t="s">
        <v>170</v>
      </c>
      <c r="G837" t="s">
        <v>171</v>
      </c>
      <c r="H837" t="s">
        <v>1535</v>
      </c>
    </row>
    <row r="838" spans="1:8" outlineLevel="2" x14ac:dyDescent="0.3">
      <c r="A838" s="6">
        <v>10</v>
      </c>
      <c r="B838" t="s">
        <v>886</v>
      </c>
      <c r="C838" s="9" t="s">
        <v>963</v>
      </c>
      <c r="D838" s="9">
        <v>63</v>
      </c>
      <c r="E838" s="9" t="s">
        <v>1804</v>
      </c>
      <c r="F838" t="s">
        <v>404</v>
      </c>
      <c r="G838" t="s">
        <v>115</v>
      </c>
      <c r="H838" t="s">
        <v>1536</v>
      </c>
    </row>
    <row r="839" spans="1:8" outlineLevel="2" x14ac:dyDescent="0.3">
      <c r="A839" s="6">
        <v>10</v>
      </c>
      <c r="B839" t="s">
        <v>886</v>
      </c>
      <c r="C839" s="9" t="s">
        <v>963</v>
      </c>
      <c r="D839" s="9">
        <v>60</v>
      </c>
      <c r="E839" s="9" t="s">
        <v>1804</v>
      </c>
      <c r="F839" t="s">
        <v>686</v>
      </c>
      <c r="G839" t="s">
        <v>115</v>
      </c>
      <c r="H839" t="s">
        <v>1536</v>
      </c>
    </row>
    <row r="840" spans="1:8" outlineLevel="2" x14ac:dyDescent="0.3">
      <c r="A840" s="6">
        <v>10</v>
      </c>
      <c r="B840" t="s">
        <v>886</v>
      </c>
      <c r="C840" s="9" t="s">
        <v>963</v>
      </c>
      <c r="D840" s="9">
        <v>60</v>
      </c>
      <c r="E840" s="9" t="s">
        <v>1804</v>
      </c>
      <c r="F840" t="s">
        <v>106</v>
      </c>
      <c r="G840" t="s">
        <v>32</v>
      </c>
      <c r="H840" t="s">
        <v>1537</v>
      </c>
    </row>
    <row r="841" spans="1:8" outlineLevel="2" x14ac:dyDescent="0.3">
      <c r="A841" s="6">
        <v>10</v>
      </c>
      <c r="B841" t="s">
        <v>886</v>
      </c>
      <c r="C841" s="9" t="s">
        <v>963</v>
      </c>
      <c r="D841" s="9">
        <v>60</v>
      </c>
      <c r="E841" s="9" t="s">
        <v>1804</v>
      </c>
      <c r="F841" t="s">
        <v>725</v>
      </c>
      <c r="G841" t="s">
        <v>504</v>
      </c>
      <c r="H841" t="s">
        <v>1539</v>
      </c>
    </row>
    <row r="842" spans="1:8" outlineLevel="2" x14ac:dyDescent="0.3">
      <c r="A842" s="6">
        <v>10</v>
      </c>
      <c r="B842" t="s">
        <v>886</v>
      </c>
      <c r="C842" s="9" t="s">
        <v>963</v>
      </c>
      <c r="D842" s="9">
        <v>60</v>
      </c>
      <c r="E842" s="9" t="s">
        <v>1804</v>
      </c>
      <c r="F842" t="s">
        <v>751</v>
      </c>
      <c r="G842" t="s">
        <v>752</v>
      </c>
      <c r="H842" t="s">
        <v>1540</v>
      </c>
    </row>
    <row r="843" spans="1:8" outlineLevel="2" x14ac:dyDescent="0.3">
      <c r="A843" s="6">
        <v>10</v>
      </c>
      <c r="B843" t="s">
        <v>886</v>
      </c>
      <c r="C843" s="9" t="s">
        <v>963</v>
      </c>
      <c r="D843" s="9">
        <v>60</v>
      </c>
      <c r="E843" s="9" t="s">
        <v>1804</v>
      </c>
      <c r="F843" t="s">
        <v>107</v>
      </c>
      <c r="G843" t="s">
        <v>108</v>
      </c>
      <c r="H843" t="s">
        <v>1140</v>
      </c>
    </row>
    <row r="844" spans="1:8" outlineLevel="2" x14ac:dyDescent="0.3">
      <c r="A844" s="6">
        <v>10</v>
      </c>
      <c r="B844" t="s">
        <v>886</v>
      </c>
      <c r="C844" s="9" t="s">
        <v>963</v>
      </c>
      <c r="D844" s="9">
        <v>60</v>
      </c>
      <c r="E844" s="9" t="s">
        <v>1804</v>
      </c>
      <c r="F844" t="s">
        <v>351</v>
      </c>
      <c r="G844" t="s">
        <v>38</v>
      </c>
      <c r="H844" t="s">
        <v>1142</v>
      </c>
    </row>
    <row r="845" spans="1:8" outlineLevel="2" x14ac:dyDescent="0.3">
      <c r="A845" s="6">
        <v>10</v>
      </c>
      <c r="B845" t="s">
        <v>886</v>
      </c>
      <c r="C845" s="9" t="s">
        <v>963</v>
      </c>
      <c r="D845" s="9">
        <v>60</v>
      </c>
      <c r="E845" s="9" t="s">
        <v>1804</v>
      </c>
      <c r="F845" t="s">
        <v>528</v>
      </c>
      <c r="G845" t="s">
        <v>38</v>
      </c>
      <c r="H845" t="s">
        <v>1143</v>
      </c>
    </row>
    <row r="846" spans="1:8" outlineLevel="2" x14ac:dyDescent="0.3">
      <c r="A846" s="6">
        <v>10</v>
      </c>
      <c r="B846" t="s">
        <v>886</v>
      </c>
      <c r="C846" s="9" t="s">
        <v>963</v>
      </c>
      <c r="D846" s="9">
        <v>60</v>
      </c>
      <c r="E846" s="9" t="s">
        <v>1804</v>
      </c>
      <c r="F846" t="s">
        <v>110</v>
      </c>
      <c r="G846" t="s">
        <v>41</v>
      </c>
      <c r="H846" t="s">
        <v>1144</v>
      </c>
    </row>
    <row r="847" spans="1:8" outlineLevel="2" x14ac:dyDescent="0.3">
      <c r="A847" s="6">
        <v>10</v>
      </c>
      <c r="B847" t="s">
        <v>886</v>
      </c>
      <c r="C847" s="9" t="s">
        <v>963</v>
      </c>
      <c r="D847" s="9">
        <v>66</v>
      </c>
      <c r="E847" s="9" t="s">
        <v>1804</v>
      </c>
      <c r="F847" t="s">
        <v>353</v>
      </c>
      <c r="G847" t="s">
        <v>354</v>
      </c>
      <c r="H847" t="s">
        <v>1020</v>
      </c>
    </row>
    <row r="848" spans="1:8" outlineLevel="2" x14ac:dyDescent="0.3">
      <c r="A848" s="6">
        <v>10</v>
      </c>
      <c r="B848" t="s">
        <v>886</v>
      </c>
      <c r="C848" s="9" t="s">
        <v>963</v>
      </c>
      <c r="D848" s="9">
        <v>60</v>
      </c>
      <c r="E848" s="9" t="s">
        <v>1804</v>
      </c>
      <c r="F848" t="s">
        <v>465</v>
      </c>
      <c r="G848" t="s">
        <v>235</v>
      </c>
      <c r="H848" t="s">
        <v>1117</v>
      </c>
    </row>
    <row r="849" spans="1:8" outlineLevel="2" x14ac:dyDescent="0.3">
      <c r="A849" s="6">
        <v>10</v>
      </c>
      <c r="B849" t="s">
        <v>886</v>
      </c>
      <c r="C849" s="9" t="s">
        <v>963</v>
      </c>
      <c r="D849" s="9">
        <v>60</v>
      </c>
      <c r="E849" s="9" t="s">
        <v>1804</v>
      </c>
      <c r="F849" t="s">
        <v>114</v>
      </c>
      <c r="G849" t="s">
        <v>115</v>
      </c>
      <c r="H849" t="s">
        <v>1121</v>
      </c>
    </row>
    <row r="850" spans="1:8" outlineLevel="2" x14ac:dyDescent="0.3">
      <c r="A850" s="6">
        <v>10</v>
      </c>
      <c r="B850" t="s">
        <v>886</v>
      </c>
      <c r="C850" s="9" t="s">
        <v>963</v>
      </c>
      <c r="D850" s="9">
        <v>60</v>
      </c>
      <c r="E850" s="9" t="s">
        <v>1804</v>
      </c>
      <c r="F850" t="s">
        <v>117</v>
      </c>
      <c r="G850" t="s">
        <v>118</v>
      </c>
      <c r="H850" t="s">
        <v>1419</v>
      </c>
    </row>
    <row r="851" spans="1:8" outlineLevel="2" x14ac:dyDescent="0.3">
      <c r="A851" s="6">
        <v>10</v>
      </c>
      <c r="B851" t="s">
        <v>886</v>
      </c>
      <c r="C851" s="9" t="s">
        <v>963</v>
      </c>
      <c r="D851" s="9">
        <v>60</v>
      </c>
      <c r="E851" s="9" t="s">
        <v>1804</v>
      </c>
      <c r="F851" t="s">
        <v>120</v>
      </c>
      <c r="G851" t="s">
        <v>51</v>
      </c>
      <c r="H851" t="s">
        <v>1590</v>
      </c>
    </row>
    <row r="852" spans="1:8" outlineLevel="2" x14ac:dyDescent="0.3">
      <c r="A852" s="6">
        <v>10</v>
      </c>
      <c r="B852" t="s">
        <v>886</v>
      </c>
      <c r="C852" s="9" t="s">
        <v>963</v>
      </c>
      <c r="D852" s="9">
        <v>68</v>
      </c>
      <c r="E852" s="9" t="s">
        <v>1804</v>
      </c>
      <c r="F852" t="s">
        <v>468</v>
      </c>
      <c r="G852" t="s">
        <v>54</v>
      </c>
      <c r="H852" t="s">
        <v>1682</v>
      </c>
    </row>
    <row r="853" spans="1:8" outlineLevel="2" x14ac:dyDescent="0.3">
      <c r="A853" s="6">
        <v>10</v>
      </c>
      <c r="B853" t="s">
        <v>886</v>
      </c>
      <c r="C853" s="9" t="s">
        <v>963</v>
      </c>
      <c r="D853" s="9">
        <v>68</v>
      </c>
      <c r="E853" s="9" t="s">
        <v>1804</v>
      </c>
      <c r="F853" t="s">
        <v>472</v>
      </c>
      <c r="G853" t="s">
        <v>473</v>
      </c>
      <c r="H853" t="s">
        <v>1686</v>
      </c>
    </row>
    <row r="854" spans="1:8" outlineLevel="2" x14ac:dyDescent="0.3">
      <c r="A854" s="6">
        <v>10</v>
      </c>
      <c r="B854" t="s">
        <v>886</v>
      </c>
      <c r="C854" s="9" t="s">
        <v>963</v>
      </c>
      <c r="D854" s="9">
        <v>60</v>
      </c>
      <c r="E854" s="9" t="s">
        <v>1804</v>
      </c>
      <c r="F854" t="s">
        <v>367</v>
      </c>
      <c r="G854" t="s">
        <v>368</v>
      </c>
      <c r="H854" t="s">
        <v>1688</v>
      </c>
    </row>
    <row r="855" spans="1:8" outlineLevel="2" x14ac:dyDescent="0.3">
      <c r="A855" s="6">
        <v>10</v>
      </c>
      <c r="B855" t="s">
        <v>886</v>
      </c>
      <c r="C855" s="9" t="s">
        <v>963</v>
      </c>
      <c r="D855" s="9">
        <v>60</v>
      </c>
      <c r="E855" s="9" t="s">
        <v>1804</v>
      </c>
      <c r="F855" t="s">
        <v>371</v>
      </c>
      <c r="G855" t="s">
        <v>66</v>
      </c>
      <c r="H855" t="s">
        <v>1799</v>
      </c>
    </row>
    <row r="856" spans="1:8" outlineLevel="2" x14ac:dyDescent="0.3">
      <c r="A856" s="6">
        <v>10</v>
      </c>
      <c r="B856" t="s">
        <v>886</v>
      </c>
      <c r="C856" s="9" t="s">
        <v>963</v>
      </c>
      <c r="D856" s="9">
        <v>64</v>
      </c>
      <c r="E856" s="9" t="s">
        <v>1804</v>
      </c>
      <c r="F856" t="s">
        <v>372</v>
      </c>
      <c r="G856" t="s">
        <v>312</v>
      </c>
      <c r="H856" t="s">
        <v>973</v>
      </c>
    </row>
    <row r="857" spans="1:8" outlineLevel="2" x14ac:dyDescent="0.3">
      <c r="A857" s="6">
        <v>10</v>
      </c>
      <c r="B857" t="s">
        <v>886</v>
      </c>
      <c r="C857" s="9" t="s">
        <v>963</v>
      </c>
      <c r="D857" s="9">
        <v>64</v>
      </c>
      <c r="E857" s="9" t="s">
        <v>1804</v>
      </c>
      <c r="F857" t="s">
        <v>125</v>
      </c>
      <c r="G857" t="s">
        <v>126</v>
      </c>
      <c r="H857" t="s">
        <v>1581</v>
      </c>
    </row>
    <row r="858" spans="1:8" outlineLevel="2" x14ac:dyDescent="0.3">
      <c r="A858" s="6">
        <v>10</v>
      </c>
      <c r="B858" t="s">
        <v>886</v>
      </c>
      <c r="C858" s="9" t="s">
        <v>963</v>
      </c>
      <c r="D858" s="9">
        <v>60</v>
      </c>
      <c r="E858" s="9" t="s">
        <v>1804</v>
      </c>
      <c r="F858" t="s">
        <v>128</v>
      </c>
      <c r="G858" t="s">
        <v>129</v>
      </c>
      <c r="H858" t="s">
        <v>1582</v>
      </c>
    </row>
    <row r="859" spans="1:8" outlineLevel="2" x14ac:dyDescent="0.3">
      <c r="A859" s="6">
        <v>10</v>
      </c>
      <c r="B859" t="s">
        <v>886</v>
      </c>
      <c r="C859" s="9" t="s">
        <v>963</v>
      </c>
      <c r="D859" s="9">
        <v>60</v>
      </c>
      <c r="E859" s="9" t="s">
        <v>1804</v>
      </c>
      <c r="F859" t="s">
        <v>131</v>
      </c>
      <c r="G859" t="s">
        <v>376</v>
      </c>
      <c r="H859" t="s">
        <v>1818</v>
      </c>
    </row>
    <row r="860" spans="1:8" outlineLevel="1" x14ac:dyDescent="0.3">
      <c r="A860" s="16" t="s">
        <v>2196</v>
      </c>
      <c r="H860">
        <f>SUBTOTAL(3,H732:H859)</f>
        <v>128</v>
      </c>
    </row>
    <row r="861" spans="1:8" outlineLevel="2" x14ac:dyDescent="0.3">
      <c r="A861" s="6">
        <v>11</v>
      </c>
      <c r="B861" t="s">
        <v>858</v>
      </c>
      <c r="C861" s="9" t="s">
        <v>932</v>
      </c>
      <c r="D861" s="9">
        <v>26</v>
      </c>
      <c r="E861" s="9" t="s">
        <v>1804</v>
      </c>
      <c r="F861" t="s">
        <v>859</v>
      </c>
      <c r="G861" t="s">
        <v>860</v>
      </c>
      <c r="H861" t="s">
        <v>935</v>
      </c>
    </row>
    <row r="862" spans="1:8" outlineLevel="2" x14ac:dyDescent="0.3">
      <c r="A862" s="6">
        <v>11</v>
      </c>
      <c r="B862" t="s">
        <v>858</v>
      </c>
      <c r="C862" s="9" t="s">
        <v>932</v>
      </c>
      <c r="D862" s="9">
        <v>12</v>
      </c>
      <c r="E862" s="9" t="s">
        <v>1804</v>
      </c>
      <c r="F862" t="s">
        <v>530</v>
      </c>
      <c r="G862" t="s">
        <v>531</v>
      </c>
      <c r="H862" t="s">
        <v>938</v>
      </c>
    </row>
    <row r="863" spans="1:8" outlineLevel="2" x14ac:dyDescent="0.3">
      <c r="A863" s="6">
        <v>11</v>
      </c>
      <c r="B863" t="s">
        <v>858</v>
      </c>
      <c r="C863" s="9" t="s">
        <v>932</v>
      </c>
      <c r="D863" s="9">
        <v>18</v>
      </c>
      <c r="E863" s="9" t="s">
        <v>1804</v>
      </c>
      <c r="F863" t="s">
        <v>533</v>
      </c>
      <c r="G863" t="s">
        <v>531</v>
      </c>
      <c r="H863" t="s">
        <v>939</v>
      </c>
    </row>
    <row r="864" spans="1:8" outlineLevel="2" x14ac:dyDescent="0.3">
      <c r="A864" s="6">
        <v>11</v>
      </c>
      <c r="B864" t="s">
        <v>858</v>
      </c>
      <c r="C864" s="9" t="s">
        <v>932</v>
      </c>
      <c r="D864" s="9">
        <v>30</v>
      </c>
      <c r="E864" s="9" t="s">
        <v>1804</v>
      </c>
      <c r="F864" t="s">
        <v>534</v>
      </c>
      <c r="G864" t="s">
        <v>531</v>
      </c>
      <c r="H864" t="s">
        <v>940</v>
      </c>
    </row>
    <row r="865" spans="1:8" outlineLevel="2" x14ac:dyDescent="0.3">
      <c r="A865" s="6">
        <v>11</v>
      </c>
      <c r="B865" t="s">
        <v>858</v>
      </c>
      <c r="C865" s="9" t="s">
        <v>932</v>
      </c>
      <c r="D865" s="9">
        <v>12</v>
      </c>
      <c r="E865" s="9" t="s">
        <v>1804</v>
      </c>
      <c r="F865" t="s">
        <v>143</v>
      </c>
      <c r="G865" t="s">
        <v>144</v>
      </c>
      <c r="H865" t="s">
        <v>1694</v>
      </c>
    </row>
    <row r="866" spans="1:8" outlineLevel="2" x14ac:dyDescent="0.3">
      <c r="A866" s="6">
        <v>11</v>
      </c>
      <c r="B866" t="s">
        <v>858</v>
      </c>
      <c r="C866" s="9" t="s">
        <v>932</v>
      </c>
      <c r="D866" s="9">
        <v>30</v>
      </c>
      <c r="E866" s="9" t="s">
        <v>1804</v>
      </c>
      <c r="F866" t="s">
        <v>146</v>
      </c>
      <c r="G866" t="s">
        <v>147</v>
      </c>
      <c r="H866" t="s">
        <v>1377</v>
      </c>
    </row>
    <row r="867" spans="1:8" outlineLevel="2" x14ac:dyDescent="0.3">
      <c r="A867" s="6">
        <v>11</v>
      </c>
      <c r="B867" t="s">
        <v>858</v>
      </c>
      <c r="C867" s="9" t="s">
        <v>932</v>
      </c>
      <c r="D867" s="9">
        <v>15</v>
      </c>
      <c r="E867" s="9" t="s">
        <v>1804</v>
      </c>
      <c r="F867" t="s">
        <v>149</v>
      </c>
      <c r="G867" t="s">
        <v>147</v>
      </c>
      <c r="H867" t="s">
        <v>1378</v>
      </c>
    </row>
    <row r="868" spans="1:8" outlineLevel="2" x14ac:dyDescent="0.3">
      <c r="A868" s="6">
        <v>11</v>
      </c>
      <c r="B868" t="s">
        <v>858</v>
      </c>
      <c r="C868" s="9" t="s">
        <v>932</v>
      </c>
      <c r="D868" s="9">
        <v>24</v>
      </c>
      <c r="E868" s="9" t="s">
        <v>1804</v>
      </c>
      <c r="F868" t="s">
        <v>536</v>
      </c>
      <c r="G868" t="s">
        <v>537</v>
      </c>
      <c r="H868" t="s">
        <v>1384</v>
      </c>
    </row>
    <row r="869" spans="1:8" outlineLevel="2" x14ac:dyDescent="0.3">
      <c r="A869" s="6">
        <v>11</v>
      </c>
      <c r="B869" t="s">
        <v>858</v>
      </c>
      <c r="C869" s="9" t="s">
        <v>932</v>
      </c>
      <c r="D869" s="9">
        <v>30</v>
      </c>
      <c r="E869" s="9" t="s">
        <v>1804</v>
      </c>
      <c r="F869" t="s">
        <v>498</v>
      </c>
      <c r="G869" t="s">
        <v>499</v>
      </c>
      <c r="H869" t="s">
        <v>1695</v>
      </c>
    </row>
    <row r="870" spans="1:8" outlineLevel="2" x14ac:dyDescent="0.3">
      <c r="A870" s="6">
        <v>11</v>
      </c>
      <c r="B870" t="s">
        <v>858</v>
      </c>
      <c r="C870" s="9" t="s">
        <v>1266</v>
      </c>
      <c r="D870" s="9">
        <v>50</v>
      </c>
      <c r="E870" s="9" t="s">
        <v>1804</v>
      </c>
      <c r="F870" t="s">
        <v>8</v>
      </c>
      <c r="G870" t="s">
        <v>526</v>
      </c>
      <c r="H870" t="s">
        <v>1805</v>
      </c>
    </row>
    <row r="871" spans="1:8" outlineLevel="2" x14ac:dyDescent="0.3">
      <c r="A871" s="6">
        <v>11</v>
      </c>
      <c r="B871" t="s">
        <v>858</v>
      </c>
      <c r="C871" s="9" t="s">
        <v>1807</v>
      </c>
      <c r="D871" s="9">
        <v>1300</v>
      </c>
      <c r="E871" s="9" t="s">
        <v>1808</v>
      </c>
      <c r="F871" t="s">
        <v>199</v>
      </c>
      <c r="G871" t="s">
        <v>200</v>
      </c>
      <c r="H871" t="s">
        <v>1271</v>
      </c>
    </row>
    <row r="872" spans="1:8" outlineLevel="2" x14ac:dyDescent="0.3">
      <c r="A872" s="6">
        <v>11</v>
      </c>
      <c r="B872" t="s">
        <v>858</v>
      </c>
      <c r="C872" s="9" t="s">
        <v>1807</v>
      </c>
      <c r="D872" s="9">
        <v>1050</v>
      </c>
      <c r="E872" s="9" t="s">
        <v>1808</v>
      </c>
      <c r="F872" t="s">
        <v>203</v>
      </c>
      <c r="G872" t="s">
        <v>12</v>
      </c>
      <c r="H872" t="s">
        <v>1821</v>
      </c>
    </row>
    <row r="873" spans="1:8" outlineLevel="2" x14ac:dyDescent="0.3">
      <c r="A873" s="6">
        <v>11</v>
      </c>
      <c r="B873" t="s">
        <v>858</v>
      </c>
      <c r="C873" s="9" t="s">
        <v>932</v>
      </c>
      <c r="D873" s="9">
        <v>42</v>
      </c>
      <c r="E873" s="9" t="s">
        <v>1804</v>
      </c>
      <c r="F873" t="s">
        <v>14</v>
      </c>
      <c r="G873" t="s">
        <v>15</v>
      </c>
      <c r="H873" t="s">
        <v>1290</v>
      </c>
    </row>
    <row r="874" spans="1:8" outlineLevel="2" x14ac:dyDescent="0.3">
      <c r="A874" s="6">
        <v>11</v>
      </c>
      <c r="B874" t="s">
        <v>858</v>
      </c>
      <c r="C874" s="9" t="s">
        <v>1266</v>
      </c>
      <c r="D874" s="9">
        <v>12</v>
      </c>
      <c r="E874" s="9" t="s">
        <v>1804</v>
      </c>
      <c r="F874" t="s">
        <v>17</v>
      </c>
      <c r="G874" t="s">
        <v>15</v>
      </c>
      <c r="H874" t="s">
        <v>1291</v>
      </c>
    </row>
    <row r="875" spans="1:8" outlineLevel="2" x14ac:dyDescent="0.3">
      <c r="A875" s="6">
        <v>11</v>
      </c>
      <c r="B875" t="s">
        <v>858</v>
      </c>
      <c r="C875" s="9" t="s">
        <v>1807</v>
      </c>
      <c r="D875" s="9">
        <v>1330</v>
      </c>
      <c r="E875" s="9" t="s">
        <v>1808</v>
      </c>
      <c r="F875" t="s">
        <v>207</v>
      </c>
      <c r="G875" t="s">
        <v>19</v>
      </c>
      <c r="H875" t="s">
        <v>1301</v>
      </c>
    </row>
    <row r="876" spans="1:8" outlineLevel="2" x14ac:dyDescent="0.3">
      <c r="A876" s="6">
        <v>11</v>
      </c>
      <c r="B876" t="s">
        <v>858</v>
      </c>
      <c r="C876" s="9" t="s">
        <v>1807</v>
      </c>
      <c r="D876" s="9">
        <v>165</v>
      </c>
      <c r="E876" s="9" t="s">
        <v>1808</v>
      </c>
      <c r="F876" t="s">
        <v>410</v>
      </c>
      <c r="G876" t="s">
        <v>411</v>
      </c>
      <c r="H876" t="s">
        <v>1313</v>
      </c>
    </row>
    <row r="877" spans="1:8" outlineLevel="2" x14ac:dyDescent="0.3">
      <c r="A877" s="6">
        <v>11</v>
      </c>
      <c r="B877" t="s">
        <v>858</v>
      </c>
      <c r="C877" s="9" t="s">
        <v>1807</v>
      </c>
      <c r="D877" s="9">
        <v>1350</v>
      </c>
      <c r="E877" s="9" t="s">
        <v>1808</v>
      </c>
      <c r="F877" t="s">
        <v>413</v>
      </c>
      <c r="G877" t="s">
        <v>414</v>
      </c>
      <c r="H877" t="s">
        <v>1332</v>
      </c>
    </row>
    <row r="878" spans="1:8" outlineLevel="2" x14ac:dyDescent="0.3">
      <c r="A878" s="6">
        <v>11</v>
      </c>
      <c r="B878" t="s">
        <v>858</v>
      </c>
      <c r="C878" s="9" t="s">
        <v>1807</v>
      </c>
      <c r="D878" s="9">
        <v>165</v>
      </c>
      <c r="E878" s="9" t="s">
        <v>1808</v>
      </c>
      <c r="F878" t="s">
        <v>152</v>
      </c>
      <c r="G878" t="s">
        <v>26</v>
      </c>
      <c r="H878" t="s">
        <v>1335</v>
      </c>
    </row>
    <row r="879" spans="1:8" outlineLevel="2" x14ac:dyDescent="0.3">
      <c r="A879" s="6">
        <v>11</v>
      </c>
      <c r="B879" t="s">
        <v>858</v>
      </c>
      <c r="C879" s="9" t="s">
        <v>932</v>
      </c>
      <c r="D879" s="9">
        <v>36</v>
      </c>
      <c r="E879" s="9" t="s">
        <v>1804</v>
      </c>
      <c r="F879" t="s">
        <v>28</v>
      </c>
      <c r="G879" t="s">
        <v>29</v>
      </c>
      <c r="H879" t="s">
        <v>1180</v>
      </c>
    </row>
    <row r="880" spans="1:8" outlineLevel="2" x14ac:dyDescent="0.3">
      <c r="A880" s="6">
        <v>11</v>
      </c>
      <c r="B880" t="s">
        <v>858</v>
      </c>
      <c r="C880" s="9" t="s">
        <v>932</v>
      </c>
      <c r="D880" s="9">
        <v>12</v>
      </c>
      <c r="E880" s="9" t="s">
        <v>1804</v>
      </c>
      <c r="F880" t="s">
        <v>483</v>
      </c>
      <c r="G880" t="s">
        <v>29</v>
      </c>
      <c r="H880" t="s">
        <v>1182</v>
      </c>
    </row>
    <row r="881" spans="1:8" outlineLevel="2" x14ac:dyDescent="0.3">
      <c r="A881" s="6">
        <v>11</v>
      </c>
      <c r="B881" t="s">
        <v>858</v>
      </c>
      <c r="C881" s="9" t="s">
        <v>932</v>
      </c>
      <c r="D881" s="9">
        <v>12</v>
      </c>
      <c r="E881" s="9" t="s">
        <v>1804</v>
      </c>
      <c r="F881" t="s">
        <v>589</v>
      </c>
      <c r="G881" t="s">
        <v>29</v>
      </c>
      <c r="H881" t="s">
        <v>1184</v>
      </c>
    </row>
    <row r="882" spans="1:8" outlineLevel="2" x14ac:dyDescent="0.3">
      <c r="A882" s="6">
        <v>11</v>
      </c>
      <c r="B882" t="s">
        <v>858</v>
      </c>
      <c r="C882" s="9" t="s">
        <v>1807</v>
      </c>
      <c r="D882" s="9">
        <v>600</v>
      </c>
      <c r="E882" s="9" t="s">
        <v>1808</v>
      </c>
      <c r="F882" t="s">
        <v>623</v>
      </c>
      <c r="G882" t="s">
        <v>29</v>
      </c>
      <c r="H882" t="s">
        <v>1185</v>
      </c>
    </row>
    <row r="883" spans="1:8" outlineLevel="2" x14ac:dyDescent="0.3">
      <c r="A883" s="6">
        <v>11</v>
      </c>
      <c r="B883" t="s">
        <v>858</v>
      </c>
      <c r="C883" s="9" t="s">
        <v>932</v>
      </c>
      <c r="D883" s="9">
        <v>39</v>
      </c>
      <c r="E883" s="9" t="s">
        <v>1804</v>
      </c>
      <c r="F883" t="s">
        <v>417</v>
      </c>
      <c r="G883" t="s">
        <v>215</v>
      </c>
      <c r="H883" t="s">
        <v>1028</v>
      </c>
    </row>
    <row r="884" spans="1:8" outlineLevel="2" x14ac:dyDescent="0.3">
      <c r="A884" s="6">
        <v>11</v>
      </c>
      <c r="B884" t="s">
        <v>858</v>
      </c>
      <c r="C884" s="9" t="s">
        <v>932</v>
      </c>
      <c r="D884" s="9">
        <v>12</v>
      </c>
      <c r="E884" s="9" t="s">
        <v>1804</v>
      </c>
      <c r="F884" t="s">
        <v>214</v>
      </c>
      <c r="G884" t="s">
        <v>215</v>
      </c>
      <c r="H884" t="s">
        <v>1029</v>
      </c>
    </row>
    <row r="885" spans="1:8" outlineLevel="2" x14ac:dyDescent="0.3">
      <c r="A885" s="6">
        <v>11</v>
      </c>
      <c r="B885" t="s">
        <v>858</v>
      </c>
      <c r="C885" s="9" t="s">
        <v>932</v>
      </c>
      <c r="D885" s="9">
        <v>18</v>
      </c>
      <c r="E885" s="9" t="s">
        <v>1804</v>
      </c>
      <c r="F885" t="s">
        <v>217</v>
      </c>
      <c r="G885" t="s">
        <v>168</v>
      </c>
      <c r="H885" t="s">
        <v>1442</v>
      </c>
    </row>
    <row r="886" spans="1:8" outlineLevel="2" x14ac:dyDescent="0.3">
      <c r="A886" s="6">
        <v>11</v>
      </c>
      <c r="B886" t="s">
        <v>858</v>
      </c>
      <c r="C886" s="9" t="s">
        <v>932</v>
      </c>
      <c r="D886" s="9">
        <v>16</v>
      </c>
      <c r="E886" s="9" t="s">
        <v>1804</v>
      </c>
      <c r="F886" t="s">
        <v>502</v>
      </c>
      <c r="G886" t="s">
        <v>168</v>
      </c>
      <c r="H886" t="s">
        <v>1444</v>
      </c>
    </row>
    <row r="887" spans="1:8" outlineLevel="2" x14ac:dyDescent="0.3">
      <c r="A887" s="6">
        <v>11</v>
      </c>
      <c r="B887" t="s">
        <v>858</v>
      </c>
      <c r="C887" s="9" t="s">
        <v>932</v>
      </c>
      <c r="D887" s="9">
        <v>18</v>
      </c>
      <c r="E887" s="9" t="s">
        <v>1804</v>
      </c>
      <c r="F887" t="s">
        <v>389</v>
      </c>
      <c r="G887" t="s">
        <v>171</v>
      </c>
      <c r="H887" t="s">
        <v>1447</v>
      </c>
    </row>
    <row r="888" spans="1:8" outlineLevel="2" x14ac:dyDescent="0.3">
      <c r="A888" s="6">
        <v>11</v>
      </c>
      <c r="B888" t="s">
        <v>858</v>
      </c>
      <c r="C888" s="9" t="s">
        <v>1807</v>
      </c>
      <c r="D888" s="9">
        <v>1050</v>
      </c>
      <c r="E888" s="9" t="s">
        <v>1808</v>
      </c>
      <c r="F888" t="s">
        <v>862</v>
      </c>
      <c r="G888" t="s">
        <v>863</v>
      </c>
      <c r="H888" t="s">
        <v>1130</v>
      </c>
    </row>
    <row r="889" spans="1:8" outlineLevel="2" x14ac:dyDescent="0.3">
      <c r="A889" s="6">
        <v>11</v>
      </c>
      <c r="B889" t="s">
        <v>858</v>
      </c>
      <c r="C889" s="9" t="s">
        <v>1807</v>
      </c>
      <c r="D889" s="9">
        <v>1050</v>
      </c>
      <c r="E889" s="9" t="s">
        <v>1808</v>
      </c>
      <c r="F889" t="s">
        <v>600</v>
      </c>
      <c r="G889" t="s">
        <v>423</v>
      </c>
      <c r="H889" t="s">
        <v>1139</v>
      </c>
    </row>
    <row r="890" spans="1:8" outlineLevel="2" x14ac:dyDescent="0.3">
      <c r="A890" s="6">
        <v>11</v>
      </c>
      <c r="B890" t="s">
        <v>858</v>
      </c>
      <c r="C890" s="9" t="s">
        <v>932</v>
      </c>
      <c r="D890" s="9">
        <v>12</v>
      </c>
      <c r="E890" s="9" t="s">
        <v>1804</v>
      </c>
      <c r="F890" t="s">
        <v>153</v>
      </c>
      <c r="G890" t="s">
        <v>108</v>
      </c>
      <c r="H890" t="s">
        <v>1150</v>
      </c>
    </row>
    <row r="891" spans="1:8" outlineLevel="2" x14ac:dyDescent="0.3">
      <c r="A891" s="6">
        <v>11</v>
      </c>
      <c r="B891" t="s">
        <v>858</v>
      </c>
      <c r="C891" s="9" t="s">
        <v>932</v>
      </c>
      <c r="D891" s="9">
        <v>18</v>
      </c>
      <c r="E891" s="9" t="s">
        <v>1804</v>
      </c>
      <c r="F891" t="s">
        <v>154</v>
      </c>
      <c r="G891" t="s">
        <v>108</v>
      </c>
      <c r="H891" t="s">
        <v>1151</v>
      </c>
    </row>
    <row r="892" spans="1:8" outlineLevel="2" x14ac:dyDescent="0.3">
      <c r="A892" s="6">
        <v>11</v>
      </c>
      <c r="B892" t="s">
        <v>858</v>
      </c>
      <c r="C892" s="9" t="s">
        <v>932</v>
      </c>
      <c r="D892" s="9">
        <v>21</v>
      </c>
      <c r="E892" s="9" t="s">
        <v>1804</v>
      </c>
      <c r="F892" t="s">
        <v>507</v>
      </c>
      <c r="G892" t="s">
        <v>108</v>
      </c>
      <c r="H892" t="s">
        <v>1154</v>
      </c>
    </row>
    <row r="893" spans="1:8" outlineLevel="2" x14ac:dyDescent="0.3">
      <c r="A893" s="6">
        <v>11</v>
      </c>
      <c r="B893" t="s">
        <v>858</v>
      </c>
      <c r="C893" s="9" t="s">
        <v>932</v>
      </c>
      <c r="D893" s="9">
        <v>18</v>
      </c>
      <c r="E893" s="9" t="s">
        <v>1804</v>
      </c>
      <c r="F893" t="s">
        <v>227</v>
      </c>
      <c r="G893" t="s">
        <v>41</v>
      </c>
      <c r="H893" t="s">
        <v>1167</v>
      </c>
    </row>
    <row r="894" spans="1:8" outlineLevel="2" x14ac:dyDescent="0.3">
      <c r="A894" s="6">
        <v>11</v>
      </c>
      <c r="B894" t="s">
        <v>858</v>
      </c>
      <c r="C894" s="9" t="s">
        <v>932</v>
      </c>
      <c r="D894" s="9">
        <v>12</v>
      </c>
      <c r="E894" s="9" t="s">
        <v>1804</v>
      </c>
      <c r="F894" t="s">
        <v>228</v>
      </c>
      <c r="G894" t="s">
        <v>41</v>
      </c>
      <c r="H894" t="s">
        <v>1168</v>
      </c>
    </row>
    <row r="895" spans="1:8" outlineLevel="2" x14ac:dyDescent="0.3">
      <c r="A895" s="6">
        <v>11</v>
      </c>
      <c r="B895" t="s">
        <v>858</v>
      </c>
      <c r="C895" s="9" t="s">
        <v>932</v>
      </c>
      <c r="D895" s="9">
        <v>27</v>
      </c>
      <c r="E895" s="9" t="s">
        <v>1804</v>
      </c>
      <c r="F895" t="s">
        <v>40</v>
      </c>
      <c r="G895" t="s">
        <v>41</v>
      </c>
      <c r="H895" t="s">
        <v>1169</v>
      </c>
    </row>
    <row r="896" spans="1:8" outlineLevel="2" x14ac:dyDescent="0.3">
      <c r="A896" s="6">
        <v>11</v>
      </c>
      <c r="B896" t="s">
        <v>858</v>
      </c>
      <c r="C896" s="9" t="s">
        <v>1807</v>
      </c>
      <c r="D896" s="9">
        <v>1050</v>
      </c>
      <c r="E896" s="9" t="s">
        <v>1808</v>
      </c>
      <c r="F896" t="s">
        <v>804</v>
      </c>
      <c r="G896" t="s">
        <v>805</v>
      </c>
      <c r="H896" t="s">
        <v>1157</v>
      </c>
    </row>
    <row r="897" spans="1:8" outlineLevel="2" x14ac:dyDescent="0.3">
      <c r="A897" s="6">
        <v>11</v>
      </c>
      <c r="B897" t="s">
        <v>858</v>
      </c>
      <c r="C897" s="9" t="s">
        <v>932</v>
      </c>
      <c r="D897" s="9">
        <v>18</v>
      </c>
      <c r="E897" s="9" t="s">
        <v>1804</v>
      </c>
      <c r="F897" t="s">
        <v>229</v>
      </c>
      <c r="G897" t="s">
        <v>230</v>
      </c>
      <c r="H897" t="s">
        <v>1170</v>
      </c>
    </row>
    <row r="898" spans="1:8" outlineLevel="2" x14ac:dyDescent="0.3">
      <c r="A898" s="6">
        <v>11</v>
      </c>
      <c r="B898" t="s">
        <v>858</v>
      </c>
      <c r="C898" s="9" t="s">
        <v>932</v>
      </c>
      <c r="D898" s="9">
        <v>24</v>
      </c>
      <c r="E898" s="9" t="s">
        <v>1804</v>
      </c>
      <c r="F898" t="s">
        <v>232</v>
      </c>
      <c r="G898" t="s">
        <v>144</v>
      </c>
      <c r="H898" t="s">
        <v>1171</v>
      </c>
    </row>
    <row r="899" spans="1:8" outlineLevel="2" x14ac:dyDescent="0.3">
      <c r="A899" s="6">
        <v>11</v>
      </c>
      <c r="B899" t="s">
        <v>858</v>
      </c>
      <c r="C899" s="9" t="s">
        <v>932</v>
      </c>
      <c r="D899" s="9">
        <v>15</v>
      </c>
      <c r="E899" s="9" t="s">
        <v>1804</v>
      </c>
      <c r="F899" t="s">
        <v>43</v>
      </c>
      <c r="G899" t="s">
        <v>44</v>
      </c>
      <c r="H899" t="s">
        <v>1050</v>
      </c>
    </row>
    <row r="900" spans="1:8" outlineLevel="2" x14ac:dyDescent="0.3">
      <c r="A900" s="6">
        <v>11</v>
      </c>
      <c r="B900" t="s">
        <v>858</v>
      </c>
      <c r="C900" s="9" t="s">
        <v>932</v>
      </c>
      <c r="D900" s="9">
        <v>12</v>
      </c>
      <c r="E900" s="9" t="s">
        <v>1804</v>
      </c>
      <c r="F900" t="s">
        <v>865</v>
      </c>
      <c r="G900" t="s">
        <v>812</v>
      </c>
      <c r="H900" t="s">
        <v>1840</v>
      </c>
    </row>
    <row r="901" spans="1:8" outlineLevel="2" x14ac:dyDescent="0.3">
      <c r="A901" s="6">
        <v>11</v>
      </c>
      <c r="B901" t="s">
        <v>858</v>
      </c>
      <c r="C901" s="9" t="s">
        <v>932</v>
      </c>
      <c r="D901" s="9">
        <v>9</v>
      </c>
      <c r="E901" s="9" t="s">
        <v>1804</v>
      </c>
      <c r="F901" t="s">
        <v>512</v>
      </c>
      <c r="G901" t="s">
        <v>513</v>
      </c>
      <c r="H901" t="s">
        <v>1531</v>
      </c>
    </row>
    <row r="902" spans="1:8" outlineLevel="2" x14ac:dyDescent="0.3">
      <c r="A902" s="6">
        <v>11</v>
      </c>
      <c r="B902" t="s">
        <v>858</v>
      </c>
      <c r="C902" s="9" t="s">
        <v>932</v>
      </c>
      <c r="D902" s="9">
        <v>15</v>
      </c>
      <c r="E902" s="9" t="s">
        <v>1804</v>
      </c>
      <c r="F902" t="s">
        <v>515</v>
      </c>
      <c r="G902" t="s">
        <v>238</v>
      </c>
      <c r="H902" t="s">
        <v>1064</v>
      </c>
    </row>
    <row r="903" spans="1:8" outlineLevel="2" x14ac:dyDescent="0.3">
      <c r="A903" s="6">
        <v>11</v>
      </c>
      <c r="B903" t="s">
        <v>858</v>
      </c>
      <c r="C903" s="9" t="s">
        <v>932</v>
      </c>
      <c r="D903" s="9">
        <v>24</v>
      </c>
      <c r="E903" s="9" t="s">
        <v>1804</v>
      </c>
      <c r="F903" t="s">
        <v>237</v>
      </c>
      <c r="G903" t="s">
        <v>238</v>
      </c>
      <c r="H903" t="s">
        <v>1065</v>
      </c>
    </row>
    <row r="904" spans="1:8" outlineLevel="2" x14ac:dyDescent="0.3">
      <c r="A904" s="6">
        <v>11</v>
      </c>
      <c r="B904" t="s">
        <v>858</v>
      </c>
      <c r="C904" s="9" t="s">
        <v>932</v>
      </c>
      <c r="D904" s="9">
        <v>24</v>
      </c>
      <c r="E904" s="9" t="s">
        <v>1804</v>
      </c>
      <c r="F904" t="s">
        <v>553</v>
      </c>
      <c r="G904" t="s">
        <v>238</v>
      </c>
      <c r="H904" t="s">
        <v>1066</v>
      </c>
    </row>
    <row r="905" spans="1:8" outlineLevel="2" x14ac:dyDescent="0.3">
      <c r="A905" s="6">
        <v>11</v>
      </c>
      <c r="B905" t="s">
        <v>858</v>
      </c>
      <c r="C905" s="9" t="s">
        <v>1807</v>
      </c>
      <c r="D905" s="9">
        <v>1200</v>
      </c>
      <c r="E905" s="9" t="s">
        <v>1808</v>
      </c>
      <c r="F905" t="s">
        <v>240</v>
      </c>
      <c r="G905" t="s">
        <v>241</v>
      </c>
      <c r="H905" t="s">
        <v>1427</v>
      </c>
    </row>
    <row r="906" spans="1:8" outlineLevel="2" x14ac:dyDescent="0.3">
      <c r="A906" s="6">
        <v>11</v>
      </c>
      <c r="B906" t="s">
        <v>858</v>
      </c>
      <c r="C906" s="9" t="s">
        <v>1807</v>
      </c>
      <c r="D906" s="9">
        <v>1200</v>
      </c>
      <c r="E906" s="9" t="s">
        <v>1808</v>
      </c>
      <c r="F906" t="s">
        <v>430</v>
      </c>
      <c r="G906" t="s">
        <v>431</v>
      </c>
      <c r="H906" t="s">
        <v>1428</v>
      </c>
    </row>
    <row r="907" spans="1:8" outlineLevel="2" x14ac:dyDescent="0.3">
      <c r="A907" s="6">
        <v>11</v>
      </c>
      <c r="B907" t="s">
        <v>858</v>
      </c>
      <c r="C907" s="9" t="s">
        <v>1807</v>
      </c>
      <c r="D907" s="9">
        <v>260</v>
      </c>
      <c r="E907" s="9" t="s">
        <v>1808</v>
      </c>
      <c r="F907" t="s">
        <v>243</v>
      </c>
      <c r="G907" t="s">
        <v>244</v>
      </c>
      <c r="H907" t="s">
        <v>1429</v>
      </c>
    </row>
    <row r="908" spans="1:8" outlineLevel="2" x14ac:dyDescent="0.3">
      <c r="A908" s="6">
        <v>11</v>
      </c>
      <c r="B908" t="s">
        <v>858</v>
      </c>
      <c r="C908" s="9" t="s">
        <v>1807</v>
      </c>
      <c r="D908" s="9">
        <v>600</v>
      </c>
      <c r="E908" s="9" t="s">
        <v>1808</v>
      </c>
      <c r="F908" t="s">
        <v>712</v>
      </c>
      <c r="G908" t="s">
        <v>713</v>
      </c>
      <c r="H908" t="s">
        <v>1430</v>
      </c>
    </row>
    <row r="909" spans="1:8" outlineLevel="2" x14ac:dyDescent="0.3">
      <c r="A909" s="6">
        <v>11</v>
      </c>
      <c r="B909" t="s">
        <v>858</v>
      </c>
      <c r="C909" s="9" t="s">
        <v>1807</v>
      </c>
      <c r="D909" s="9">
        <v>240</v>
      </c>
      <c r="E909" s="9" t="s">
        <v>1808</v>
      </c>
      <c r="F909" t="s">
        <v>715</v>
      </c>
      <c r="G909" t="s">
        <v>716</v>
      </c>
      <c r="H909" t="s">
        <v>1431</v>
      </c>
    </row>
    <row r="910" spans="1:8" outlineLevel="2" x14ac:dyDescent="0.3">
      <c r="A910" s="6">
        <v>11</v>
      </c>
      <c r="B910" t="s">
        <v>858</v>
      </c>
      <c r="C910" s="9" t="s">
        <v>932</v>
      </c>
      <c r="D910" s="9">
        <v>35</v>
      </c>
      <c r="E910" s="9" t="s">
        <v>1804</v>
      </c>
      <c r="F910" t="s">
        <v>46</v>
      </c>
      <c r="G910" t="s">
        <v>47</v>
      </c>
      <c r="H910" t="s">
        <v>1409</v>
      </c>
    </row>
    <row r="911" spans="1:8" outlineLevel="2" x14ac:dyDescent="0.3">
      <c r="A911" s="6">
        <v>11</v>
      </c>
      <c r="B911" t="s">
        <v>858</v>
      </c>
      <c r="C911" s="9" t="s">
        <v>932</v>
      </c>
      <c r="D911" s="9">
        <v>12</v>
      </c>
      <c r="E911" s="9" t="s">
        <v>1804</v>
      </c>
      <c r="F911" t="s">
        <v>49</v>
      </c>
      <c r="G911" t="s">
        <v>47</v>
      </c>
      <c r="H911" t="s">
        <v>1410</v>
      </c>
    </row>
    <row r="912" spans="1:8" outlineLevel="2" x14ac:dyDescent="0.3">
      <c r="A912" s="6">
        <v>11</v>
      </c>
      <c r="B912" t="s">
        <v>858</v>
      </c>
      <c r="C912" s="9" t="s">
        <v>932</v>
      </c>
      <c r="D912" s="9">
        <v>18</v>
      </c>
      <c r="E912" s="9" t="s">
        <v>1804</v>
      </c>
      <c r="F912" t="s">
        <v>155</v>
      </c>
      <c r="G912" t="s">
        <v>118</v>
      </c>
      <c r="H912" t="s">
        <v>1415</v>
      </c>
    </row>
    <row r="913" spans="1:8" outlineLevel="2" x14ac:dyDescent="0.3">
      <c r="A913" s="6">
        <v>11</v>
      </c>
      <c r="B913" t="s">
        <v>858</v>
      </c>
      <c r="C913" s="9" t="s">
        <v>932</v>
      </c>
      <c r="D913" s="9">
        <v>31</v>
      </c>
      <c r="E913" s="9" t="s">
        <v>1804</v>
      </c>
      <c r="F913" t="s">
        <v>556</v>
      </c>
      <c r="G913" t="s">
        <v>54</v>
      </c>
      <c r="H913" t="s">
        <v>1601</v>
      </c>
    </row>
    <row r="914" spans="1:8" outlineLevel="2" x14ac:dyDescent="0.3">
      <c r="A914" s="6">
        <v>11</v>
      </c>
      <c r="B914" t="s">
        <v>858</v>
      </c>
      <c r="C914" s="9" t="s">
        <v>932</v>
      </c>
      <c r="D914" s="9">
        <v>14</v>
      </c>
      <c r="E914" s="9" t="s">
        <v>1804</v>
      </c>
      <c r="F914" t="s">
        <v>557</v>
      </c>
      <c r="G914" t="s">
        <v>54</v>
      </c>
      <c r="H914" t="s">
        <v>1602</v>
      </c>
    </row>
    <row r="915" spans="1:8" outlineLevel="2" x14ac:dyDescent="0.3">
      <c r="A915" s="6">
        <v>11</v>
      </c>
      <c r="B915" t="s">
        <v>858</v>
      </c>
      <c r="C915" s="9" t="s">
        <v>932</v>
      </c>
      <c r="D915" s="9">
        <v>12</v>
      </c>
      <c r="E915" s="9" t="s">
        <v>1804</v>
      </c>
      <c r="F915" t="s">
        <v>558</v>
      </c>
      <c r="G915" t="s">
        <v>559</v>
      </c>
      <c r="H915" t="s">
        <v>1610</v>
      </c>
    </row>
    <row r="916" spans="1:8" outlineLevel="2" x14ac:dyDescent="0.3">
      <c r="A916" s="6">
        <v>11</v>
      </c>
      <c r="B916" t="s">
        <v>858</v>
      </c>
      <c r="C916" s="9" t="s">
        <v>932</v>
      </c>
      <c r="D916" s="9">
        <v>12</v>
      </c>
      <c r="E916" s="9" t="s">
        <v>1804</v>
      </c>
      <c r="F916" t="s">
        <v>561</v>
      </c>
      <c r="G916" t="s">
        <v>562</v>
      </c>
      <c r="H916" t="s">
        <v>1622</v>
      </c>
    </row>
    <row r="917" spans="1:8" outlineLevel="2" x14ac:dyDescent="0.3">
      <c r="A917" s="6">
        <v>11</v>
      </c>
      <c r="B917" t="s">
        <v>858</v>
      </c>
      <c r="C917" s="9" t="s">
        <v>976</v>
      </c>
      <c r="D917" s="9">
        <v>64</v>
      </c>
      <c r="E917" s="9" t="s">
        <v>1804</v>
      </c>
      <c r="F917" t="s">
        <v>866</v>
      </c>
      <c r="G917" t="s">
        <v>249</v>
      </c>
      <c r="H917" t="s">
        <v>975</v>
      </c>
    </row>
    <row r="918" spans="1:8" outlineLevel="2" x14ac:dyDescent="0.3">
      <c r="A918" s="6">
        <v>11</v>
      </c>
      <c r="B918" t="s">
        <v>858</v>
      </c>
      <c r="C918" s="9" t="s">
        <v>932</v>
      </c>
      <c r="D918" s="9">
        <v>12</v>
      </c>
      <c r="E918" s="9" t="s">
        <v>1804</v>
      </c>
      <c r="F918" t="s">
        <v>867</v>
      </c>
      <c r="G918" t="s">
        <v>249</v>
      </c>
      <c r="H918" t="s">
        <v>977</v>
      </c>
    </row>
    <row r="919" spans="1:8" outlineLevel="2" x14ac:dyDescent="0.3">
      <c r="A919" s="6">
        <v>11</v>
      </c>
      <c r="B919" t="s">
        <v>858</v>
      </c>
      <c r="C919" s="9" t="s">
        <v>932</v>
      </c>
      <c r="D919" s="9">
        <v>24</v>
      </c>
      <c r="E919" s="9" t="s">
        <v>1804</v>
      </c>
      <c r="F919" t="s">
        <v>868</v>
      </c>
      <c r="G919" t="s">
        <v>249</v>
      </c>
      <c r="H919" t="s">
        <v>978</v>
      </c>
    </row>
    <row r="920" spans="1:8" outlineLevel="2" x14ac:dyDescent="0.3">
      <c r="A920" s="6">
        <v>11</v>
      </c>
      <c r="B920" t="s">
        <v>858</v>
      </c>
      <c r="C920" s="9" t="s">
        <v>1807</v>
      </c>
      <c r="D920" s="9">
        <v>1350</v>
      </c>
      <c r="E920" s="9" t="s">
        <v>1808</v>
      </c>
      <c r="F920" t="s">
        <v>251</v>
      </c>
      <c r="G920" t="s">
        <v>249</v>
      </c>
      <c r="H920" t="s">
        <v>980</v>
      </c>
    </row>
    <row r="921" spans="1:8" outlineLevel="2" x14ac:dyDescent="0.3">
      <c r="A921" s="6">
        <v>11</v>
      </c>
      <c r="B921" t="s">
        <v>858</v>
      </c>
      <c r="C921" s="9" t="s">
        <v>932</v>
      </c>
      <c r="D921" s="9">
        <v>12</v>
      </c>
      <c r="E921" s="9" t="s">
        <v>1804</v>
      </c>
      <c r="F921" t="s">
        <v>869</v>
      </c>
      <c r="G921" t="s">
        <v>870</v>
      </c>
      <c r="H921" t="s">
        <v>1630</v>
      </c>
    </row>
    <row r="922" spans="1:8" outlineLevel="2" x14ac:dyDescent="0.3">
      <c r="A922" s="6">
        <v>11</v>
      </c>
      <c r="B922" t="s">
        <v>858</v>
      </c>
      <c r="C922" s="9" t="s">
        <v>976</v>
      </c>
      <c r="D922" s="9">
        <v>68</v>
      </c>
      <c r="E922" s="9" t="s">
        <v>1804</v>
      </c>
      <c r="F922" t="s">
        <v>255</v>
      </c>
      <c r="G922" t="s">
        <v>256</v>
      </c>
      <c r="H922" t="s">
        <v>1715</v>
      </c>
    </row>
    <row r="923" spans="1:8" outlineLevel="2" x14ac:dyDescent="0.3">
      <c r="A923" s="6">
        <v>11</v>
      </c>
      <c r="B923" t="s">
        <v>858</v>
      </c>
      <c r="C923" s="9" t="s">
        <v>932</v>
      </c>
      <c r="D923" s="9">
        <v>24</v>
      </c>
      <c r="E923" s="9" t="s">
        <v>1804</v>
      </c>
      <c r="F923" t="s">
        <v>258</v>
      </c>
      <c r="G923" t="s">
        <v>256</v>
      </c>
      <c r="H923" t="s">
        <v>1716</v>
      </c>
    </row>
    <row r="924" spans="1:8" outlineLevel="2" x14ac:dyDescent="0.3">
      <c r="A924" s="6">
        <v>11</v>
      </c>
      <c r="B924" t="s">
        <v>858</v>
      </c>
      <c r="C924" s="9" t="s">
        <v>932</v>
      </c>
      <c r="D924" s="9">
        <v>44</v>
      </c>
      <c r="E924" s="9" t="s">
        <v>1804</v>
      </c>
      <c r="F924" t="s">
        <v>633</v>
      </c>
      <c r="G924" t="s">
        <v>256</v>
      </c>
      <c r="H924" t="s">
        <v>1717</v>
      </c>
    </row>
    <row r="925" spans="1:8" outlineLevel="2" x14ac:dyDescent="0.3">
      <c r="A925" s="6">
        <v>11</v>
      </c>
      <c r="B925" t="s">
        <v>858</v>
      </c>
      <c r="C925" s="9" t="s">
        <v>932</v>
      </c>
      <c r="D925" s="9">
        <v>22</v>
      </c>
      <c r="E925" s="9" t="s">
        <v>1804</v>
      </c>
      <c r="F925" t="s">
        <v>259</v>
      </c>
      <c r="G925" t="s">
        <v>260</v>
      </c>
      <c r="H925" t="s">
        <v>986</v>
      </c>
    </row>
    <row r="926" spans="1:8" outlineLevel="2" x14ac:dyDescent="0.3">
      <c r="A926" s="6">
        <v>11</v>
      </c>
      <c r="B926" t="s">
        <v>858</v>
      </c>
      <c r="C926" s="9" t="s">
        <v>932</v>
      </c>
      <c r="D926" s="9">
        <v>14</v>
      </c>
      <c r="E926" s="9" t="s">
        <v>1804</v>
      </c>
      <c r="F926" t="s">
        <v>262</v>
      </c>
      <c r="G926" t="s">
        <v>263</v>
      </c>
      <c r="H926" t="s">
        <v>989</v>
      </c>
    </row>
    <row r="927" spans="1:8" outlineLevel="2" x14ac:dyDescent="0.3">
      <c r="A927" s="6">
        <v>11</v>
      </c>
      <c r="B927" t="s">
        <v>858</v>
      </c>
      <c r="C927" s="9" t="s">
        <v>1807</v>
      </c>
      <c r="D927" s="9">
        <v>750</v>
      </c>
      <c r="E927" s="9" t="s">
        <v>1808</v>
      </c>
      <c r="F927" t="s">
        <v>278</v>
      </c>
      <c r="G927" t="s">
        <v>276</v>
      </c>
      <c r="H927" t="s">
        <v>1013</v>
      </c>
    </row>
    <row r="928" spans="1:8" outlineLevel="2" x14ac:dyDescent="0.3">
      <c r="A928" s="6">
        <v>11</v>
      </c>
      <c r="B928" t="s">
        <v>858</v>
      </c>
      <c r="C928" s="9" t="s">
        <v>1807</v>
      </c>
      <c r="D928" s="9">
        <v>600</v>
      </c>
      <c r="E928" s="9" t="s">
        <v>1808</v>
      </c>
      <c r="F928" t="s">
        <v>637</v>
      </c>
      <c r="G928" t="s">
        <v>276</v>
      </c>
      <c r="H928" t="s">
        <v>1014</v>
      </c>
    </row>
    <row r="929" spans="1:8" outlineLevel="2" x14ac:dyDescent="0.3">
      <c r="A929" s="6">
        <v>11</v>
      </c>
      <c r="B929" t="s">
        <v>858</v>
      </c>
      <c r="C929" s="9" t="s">
        <v>1807</v>
      </c>
      <c r="D929" s="9">
        <v>1050</v>
      </c>
      <c r="E929" s="9" t="s">
        <v>1808</v>
      </c>
      <c r="F929" t="s">
        <v>788</v>
      </c>
      <c r="G929" t="s">
        <v>450</v>
      </c>
      <c r="H929" t="s">
        <v>1724</v>
      </c>
    </row>
    <row r="930" spans="1:8" outlineLevel="2" x14ac:dyDescent="0.3">
      <c r="A930" s="6">
        <v>11</v>
      </c>
      <c r="B930" t="s">
        <v>858</v>
      </c>
      <c r="C930" s="9" t="s">
        <v>1807</v>
      </c>
      <c r="D930" s="9">
        <v>750</v>
      </c>
      <c r="E930" s="9" t="s">
        <v>1808</v>
      </c>
      <c r="F930" t="s">
        <v>789</v>
      </c>
      <c r="G930" t="s">
        <v>450</v>
      </c>
      <c r="H930" t="s">
        <v>1725</v>
      </c>
    </row>
    <row r="931" spans="1:8" outlineLevel="2" x14ac:dyDescent="0.3">
      <c r="A931" s="6">
        <v>11</v>
      </c>
      <c r="B931" t="s">
        <v>858</v>
      </c>
      <c r="C931" s="9" t="s">
        <v>1807</v>
      </c>
      <c r="D931" s="9">
        <v>1050</v>
      </c>
      <c r="E931" s="9" t="s">
        <v>1808</v>
      </c>
      <c r="F931" t="s">
        <v>291</v>
      </c>
      <c r="G931" t="s">
        <v>292</v>
      </c>
      <c r="H931" t="s">
        <v>1678</v>
      </c>
    </row>
    <row r="932" spans="1:8" outlineLevel="2" x14ac:dyDescent="0.3">
      <c r="A932" s="6">
        <v>11</v>
      </c>
      <c r="B932" t="s">
        <v>858</v>
      </c>
      <c r="C932" s="9" t="s">
        <v>1807</v>
      </c>
      <c r="D932" s="9">
        <v>320</v>
      </c>
      <c r="E932" s="9" t="s">
        <v>1808</v>
      </c>
      <c r="F932" t="s">
        <v>304</v>
      </c>
      <c r="G932" t="s">
        <v>305</v>
      </c>
      <c r="H932" t="s">
        <v>1785</v>
      </c>
    </row>
    <row r="933" spans="1:8" outlineLevel="2" x14ac:dyDescent="0.3">
      <c r="A933" s="6">
        <v>11</v>
      </c>
      <c r="B933" t="s">
        <v>858</v>
      </c>
      <c r="C933" s="9" t="s">
        <v>932</v>
      </c>
      <c r="D933" s="9">
        <v>15</v>
      </c>
      <c r="E933" s="9" t="s">
        <v>1804</v>
      </c>
      <c r="F933" t="s">
        <v>59</v>
      </c>
      <c r="G933" t="s">
        <v>60</v>
      </c>
      <c r="H933" t="s">
        <v>1078</v>
      </c>
    </row>
    <row r="934" spans="1:8" outlineLevel="2" x14ac:dyDescent="0.3">
      <c r="A934" s="6">
        <v>11</v>
      </c>
      <c r="B934" t="s">
        <v>858</v>
      </c>
      <c r="C934" s="9" t="s">
        <v>1807</v>
      </c>
      <c r="D934" s="9">
        <v>420</v>
      </c>
      <c r="E934" s="9" t="s">
        <v>1808</v>
      </c>
      <c r="F934" t="s">
        <v>68</v>
      </c>
      <c r="G934" t="s">
        <v>69</v>
      </c>
      <c r="H934" t="s">
        <v>1551</v>
      </c>
    </row>
    <row r="935" spans="1:8" outlineLevel="2" x14ac:dyDescent="0.3">
      <c r="A935" s="6">
        <v>11</v>
      </c>
      <c r="B935" t="s">
        <v>858</v>
      </c>
      <c r="C935" s="9" t="s">
        <v>1807</v>
      </c>
      <c r="D935" s="9">
        <v>198</v>
      </c>
      <c r="E935" s="9" t="s">
        <v>1808</v>
      </c>
      <c r="F935" t="s">
        <v>484</v>
      </c>
      <c r="G935" t="s">
        <v>69</v>
      </c>
      <c r="H935" t="s">
        <v>1556</v>
      </c>
    </row>
    <row r="936" spans="1:8" outlineLevel="2" x14ac:dyDescent="0.3">
      <c r="A936" s="6">
        <v>11</v>
      </c>
      <c r="B936" t="s">
        <v>858</v>
      </c>
      <c r="C936" s="9" t="s">
        <v>1807</v>
      </c>
      <c r="D936" s="9">
        <v>770</v>
      </c>
      <c r="E936" s="9" t="s">
        <v>1808</v>
      </c>
      <c r="F936" t="s">
        <v>71</v>
      </c>
      <c r="G936" t="s">
        <v>72</v>
      </c>
      <c r="H936" t="s">
        <v>1565</v>
      </c>
    </row>
    <row r="937" spans="1:8" outlineLevel="2" x14ac:dyDescent="0.3">
      <c r="A937" s="6">
        <v>11</v>
      </c>
      <c r="B937" t="s">
        <v>858</v>
      </c>
      <c r="C937" s="9" t="s">
        <v>1807</v>
      </c>
      <c r="D937" s="9">
        <v>518</v>
      </c>
      <c r="E937" s="9" t="s">
        <v>1808</v>
      </c>
      <c r="F937" t="s">
        <v>74</v>
      </c>
      <c r="G937" t="s">
        <v>72</v>
      </c>
      <c r="H937" t="s">
        <v>1566</v>
      </c>
    </row>
    <row r="938" spans="1:8" outlineLevel="2" x14ac:dyDescent="0.3">
      <c r="A938" s="6">
        <v>11</v>
      </c>
      <c r="B938" t="s">
        <v>858</v>
      </c>
      <c r="C938" s="9" t="s">
        <v>1807</v>
      </c>
      <c r="D938" s="9">
        <v>68</v>
      </c>
      <c r="E938" s="9" t="s">
        <v>1808</v>
      </c>
      <c r="F938" t="s">
        <v>834</v>
      </c>
      <c r="G938" t="s">
        <v>835</v>
      </c>
      <c r="H938" t="s">
        <v>1572</v>
      </c>
    </row>
    <row r="939" spans="1:8" outlineLevel="2" x14ac:dyDescent="0.3">
      <c r="A939" s="6">
        <v>11</v>
      </c>
      <c r="B939" t="s">
        <v>858</v>
      </c>
      <c r="C939" s="9" t="s">
        <v>1807</v>
      </c>
      <c r="D939" s="9">
        <v>398</v>
      </c>
      <c r="E939" s="9" t="s">
        <v>1808</v>
      </c>
      <c r="F939" t="s">
        <v>318</v>
      </c>
      <c r="G939" t="s">
        <v>76</v>
      </c>
      <c r="H939" t="s">
        <v>1578</v>
      </c>
    </row>
    <row r="940" spans="1:8" outlineLevel="2" x14ac:dyDescent="0.3">
      <c r="A940" s="6">
        <v>11</v>
      </c>
      <c r="B940" t="s">
        <v>858</v>
      </c>
      <c r="C940" s="9" t="s">
        <v>932</v>
      </c>
      <c r="D940" s="9">
        <v>24</v>
      </c>
      <c r="E940" s="9" t="s">
        <v>1804</v>
      </c>
      <c r="F940" t="s">
        <v>319</v>
      </c>
      <c r="G940" t="s">
        <v>320</v>
      </c>
      <c r="H940" t="s">
        <v>1245</v>
      </c>
    </row>
    <row r="941" spans="1:8" outlineLevel="2" x14ac:dyDescent="0.3">
      <c r="A941" s="6">
        <v>11</v>
      </c>
      <c r="B941" t="s">
        <v>858</v>
      </c>
      <c r="C941" s="9" t="s">
        <v>932</v>
      </c>
      <c r="D941" s="9">
        <v>24</v>
      </c>
      <c r="E941" s="9" t="s">
        <v>1804</v>
      </c>
      <c r="F941" t="s">
        <v>322</v>
      </c>
      <c r="G941" t="s">
        <v>320</v>
      </c>
      <c r="H941" t="s">
        <v>1246</v>
      </c>
    </row>
    <row r="942" spans="1:8" outlineLevel="2" x14ac:dyDescent="0.3">
      <c r="A942" s="6">
        <v>11</v>
      </c>
      <c r="B942" t="s">
        <v>858</v>
      </c>
      <c r="C942" s="9" t="s">
        <v>963</v>
      </c>
      <c r="D942" s="9">
        <v>60</v>
      </c>
      <c r="E942" s="9" t="s">
        <v>1804</v>
      </c>
      <c r="F942" t="s">
        <v>875</v>
      </c>
      <c r="G942" t="s">
        <v>876</v>
      </c>
      <c r="H942" t="s">
        <v>962</v>
      </c>
    </row>
    <row r="943" spans="1:8" outlineLevel="2" x14ac:dyDescent="0.3">
      <c r="A943" s="6">
        <v>11</v>
      </c>
      <c r="B943" t="s">
        <v>858</v>
      </c>
      <c r="C943" s="9" t="s">
        <v>963</v>
      </c>
      <c r="D943" s="9">
        <v>63</v>
      </c>
      <c r="E943" s="9" t="s">
        <v>1804</v>
      </c>
      <c r="F943" t="s">
        <v>878</v>
      </c>
      <c r="G943" t="s">
        <v>860</v>
      </c>
      <c r="H943" t="s">
        <v>965</v>
      </c>
    </row>
    <row r="944" spans="1:8" outlineLevel="2" x14ac:dyDescent="0.3">
      <c r="A944" s="6">
        <v>11</v>
      </c>
      <c r="B944" t="s">
        <v>858</v>
      </c>
      <c r="C944" s="9" t="s">
        <v>963</v>
      </c>
      <c r="D944" s="9">
        <v>60</v>
      </c>
      <c r="E944" s="9" t="s">
        <v>1804</v>
      </c>
      <c r="F944" t="s">
        <v>579</v>
      </c>
      <c r="G944" t="s">
        <v>531</v>
      </c>
      <c r="H944" t="s">
        <v>967</v>
      </c>
    </row>
    <row r="945" spans="1:8" outlineLevel="2" x14ac:dyDescent="0.3">
      <c r="A945" s="6">
        <v>11</v>
      </c>
      <c r="B945" t="s">
        <v>858</v>
      </c>
      <c r="C945" s="9" t="s">
        <v>963</v>
      </c>
      <c r="D945" s="9">
        <v>69</v>
      </c>
      <c r="E945" s="9" t="s">
        <v>1804</v>
      </c>
      <c r="F945" t="s">
        <v>879</v>
      </c>
      <c r="G945" t="s">
        <v>880</v>
      </c>
      <c r="H945" t="s">
        <v>968</v>
      </c>
    </row>
    <row r="946" spans="1:8" outlineLevel="2" x14ac:dyDescent="0.3">
      <c r="A946" s="6">
        <v>11</v>
      </c>
      <c r="B946" t="s">
        <v>858</v>
      </c>
      <c r="C946" s="9" t="s">
        <v>963</v>
      </c>
      <c r="D946" s="9">
        <v>60</v>
      </c>
      <c r="E946" s="9" t="s">
        <v>1804</v>
      </c>
      <c r="F946" t="s">
        <v>79</v>
      </c>
      <c r="G946" t="s">
        <v>80</v>
      </c>
      <c r="H946" t="s">
        <v>1416</v>
      </c>
    </row>
    <row r="947" spans="1:8" outlineLevel="2" x14ac:dyDescent="0.3">
      <c r="A947" s="6">
        <v>11</v>
      </c>
      <c r="B947" t="s">
        <v>858</v>
      </c>
      <c r="C947" s="9" t="s">
        <v>963</v>
      </c>
      <c r="D947" s="9">
        <v>60</v>
      </c>
      <c r="E947" s="9" t="s">
        <v>1804</v>
      </c>
      <c r="F947" t="s">
        <v>643</v>
      </c>
      <c r="G947" t="s">
        <v>499</v>
      </c>
      <c r="H947" t="s">
        <v>1703</v>
      </c>
    </row>
    <row r="948" spans="1:8" outlineLevel="2" x14ac:dyDescent="0.3">
      <c r="A948" s="6">
        <v>11</v>
      </c>
      <c r="B948" t="s">
        <v>858</v>
      </c>
      <c r="C948" s="9" t="s">
        <v>963</v>
      </c>
      <c r="D948" s="9">
        <v>70</v>
      </c>
      <c r="E948" s="9" t="s">
        <v>1804</v>
      </c>
      <c r="F948" t="s">
        <v>525</v>
      </c>
      <c r="G948" t="s">
        <v>526</v>
      </c>
      <c r="H948" t="s">
        <v>1341</v>
      </c>
    </row>
    <row r="949" spans="1:8" outlineLevel="2" x14ac:dyDescent="0.3">
      <c r="A949" s="6">
        <v>11</v>
      </c>
      <c r="B949" t="s">
        <v>858</v>
      </c>
      <c r="C949" s="9" t="s">
        <v>963</v>
      </c>
      <c r="D949" s="9">
        <v>88</v>
      </c>
      <c r="E949" s="9" t="s">
        <v>1804</v>
      </c>
      <c r="F949" t="s">
        <v>84</v>
      </c>
      <c r="G949" t="s">
        <v>85</v>
      </c>
      <c r="H949" t="s">
        <v>1342</v>
      </c>
    </row>
    <row r="950" spans="1:8" outlineLevel="2" x14ac:dyDescent="0.3">
      <c r="A950" s="6">
        <v>11</v>
      </c>
      <c r="B950" t="s">
        <v>858</v>
      </c>
      <c r="C950" s="9" t="s">
        <v>963</v>
      </c>
      <c r="D950" s="9">
        <v>60</v>
      </c>
      <c r="E950" s="9" t="s">
        <v>1804</v>
      </c>
      <c r="F950" t="s">
        <v>612</v>
      </c>
      <c r="G950" t="s">
        <v>613</v>
      </c>
      <c r="H950" t="s">
        <v>1343</v>
      </c>
    </row>
    <row r="951" spans="1:8" outlineLevel="2" x14ac:dyDescent="0.3">
      <c r="A951" s="6">
        <v>11</v>
      </c>
      <c r="B951" t="s">
        <v>858</v>
      </c>
      <c r="C951" s="9" t="s">
        <v>963</v>
      </c>
      <c r="D951" s="9">
        <v>70</v>
      </c>
      <c r="E951" s="9" t="s">
        <v>1804</v>
      </c>
      <c r="F951" t="s">
        <v>325</v>
      </c>
      <c r="G951" t="s">
        <v>196</v>
      </c>
      <c r="H951" t="s">
        <v>1344</v>
      </c>
    </row>
    <row r="952" spans="1:8" outlineLevel="2" x14ac:dyDescent="0.3">
      <c r="A952" s="6">
        <v>11</v>
      </c>
      <c r="B952" t="s">
        <v>858</v>
      </c>
      <c r="C952" s="9" t="s">
        <v>963</v>
      </c>
      <c r="D952" s="9">
        <v>74</v>
      </c>
      <c r="E952" s="9" t="s">
        <v>1804</v>
      </c>
      <c r="F952" t="s">
        <v>87</v>
      </c>
      <c r="G952" t="s">
        <v>88</v>
      </c>
      <c r="H952" t="s">
        <v>1349</v>
      </c>
    </row>
    <row r="953" spans="1:8" outlineLevel="2" x14ac:dyDescent="0.3">
      <c r="A953" s="6">
        <v>11</v>
      </c>
      <c r="B953" t="s">
        <v>858</v>
      </c>
      <c r="C953" s="9" t="s">
        <v>963</v>
      </c>
      <c r="D953" s="9">
        <v>73</v>
      </c>
      <c r="E953" s="9" t="s">
        <v>1804</v>
      </c>
      <c r="F953" t="s">
        <v>90</v>
      </c>
      <c r="G953" t="s">
        <v>15</v>
      </c>
      <c r="H953" t="s">
        <v>1351</v>
      </c>
    </row>
    <row r="954" spans="1:8" outlineLevel="2" x14ac:dyDescent="0.3">
      <c r="A954" s="6">
        <v>11</v>
      </c>
      <c r="B954" t="s">
        <v>858</v>
      </c>
      <c r="C954" s="9" t="s">
        <v>963</v>
      </c>
      <c r="D954" s="9">
        <v>77</v>
      </c>
      <c r="E954" s="9" t="s">
        <v>1804</v>
      </c>
      <c r="F954" t="s">
        <v>91</v>
      </c>
      <c r="G954" t="s">
        <v>92</v>
      </c>
      <c r="H954" t="s">
        <v>1353</v>
      </c>
    </row>
    <row r="955" spans="1:8" outlineLevel="2" x14ac:dyDescent="0.3">
      <c r="A955" s="6">
        <v>11</v>
      </c>
      <c r="B955" t="s">
        <v>858</v>
      </c>
      <c r="C955" s="9" t="s">
        <v>963</v>
      </c>
      <c r="D955" s="9">
        <v>76</v>
      </c>
      <c r="E955" s="9" t="s">
        <v>1804</v>
      </c>
      <c r="F955" t="s">
        <v>94</v>
      </c>
      <c r="G955" t="s">
        <v>95</v>
      </c>
      <c r="H955" t="s">
        <v>1355</v>
      </c>
    </row>
    <row r="956" spans="1:8" outlineLevel="2" x14ac:dyDescent="0.3">
      <c r="A956" s="6">
        <v>11</v>
      </c>
      <c r="B956" t="s">
        <v>858</v>
      </c>
      <c r="C956" s="9" t="s">
        <v>963</v>
      </c>
      <c r="D956" s="9">
        <v>76</v>
      </c>
      <c r="E956" s="9" t="s">
        <v>1804</v>
      </c>
      <c r="F956" t="s">
        <v>332</v>
      </c>
      <c r="G956" t="s">
        <v>333</v>
      </c>
      <c r="H956" t="s">
        <v>1358</v>
      </c>
    </row>
    <row r="957" spans="1:8" outlineLevel="2" x14ac:dyDescent="0.3">
      <c r="A957" s="6">
        <v>11</v>
      </c>
      <c r="B957" t="s">
        <v>858</v>
      </c>
      <c r="C957" s="9" t="s">
        <v>963</v>
      </c>
      <c r="D957" s="9">
        <v>72</v>
      </c>
      <c r="E957" s="9" t="s">
        <v>1804</v>
      </c>
      <c r="F957" t="s">
        <v>101</v>
      </c>
      <c r="G957" t="s">
        <v>102</v>
      </c>
      <c r="H957" t="s">
        <v>1365</v>
      </c>
    </row>
    <row r="958" spans="1:8" outlineLevel="2" x14ac:dyDescent="0.3">
      <c r="A958" s="6">
        <v>11</v>
      </c>
      <c r="B958" t="s">
        <v>858</v>
      </c>
      <c r="C958" s="9" t="s">
        <v>963</v>
      </c>
      <c r="D958" s="9">
        <v>63</v>
      </c>
      <c r="E958" s="9" t="s">
        <v>1804</v>
      </c>
      <c r="F958" t="s">
        <v>104</v>
      </c>
      <c r="G958" t="s">
        <v>401</v>
      </c>
      <c r="H958" t="s">
        <v>1185</v>
      </c>
    </row>
    <row r="959" spans="1:8" outlineLevel="2" x14ac:dyDescent="0.3">
      <c r="A959" s="6">
        <v>11</v>
      </c>
      <c r="B959" t="s">
        <v>858</v>
      </c>
      <c r="C959" s="9" t="s">
        <v>963</v>
      </c>
      <c r="D959" s="9">
        <v>60</v>
      </c>
      <c r="E959" s="9" t="s">
        <v>1804</v>
      </c>
      <c r="F959" t="s">
        <v>400</v>
      </c>
      <c r="G959" t="s">
        <v>401</v>
      </c>
      <c r="H959" t="s">
        <v>1185</v>
      </c>
    </row>
    <row r="960" spans="1:8" outlineLevel="2" x14ac:dyDescent="0.3">
      <c r="A960" s="6">
        <v>11</v>
      </c>
      <c r="B960" t="s">
        <v>858</v>
      </c>
      <c r="C960" s="9" t="s">
        <v>963</v>
      </c>
      <c r="D960" s="9">
        <v>75</v>
      </c>
      <c r="E960" s="9" t="s">
        <v>1804</v>
      </c>
      <c r="F960" t="s">
        <v>345</v>
      </c>
      <c r="G960" t="s">
        <v>215</v>
      </c>
      <c r="H960" t="s">
        <v>1115</v>
      </c>
    </row>
    <row r="961" spans="1:8" outlineLevel="2" x14ac:dyDescent="0.3">
      <c r="A961" s="6">
        <v>11</v>
      </c>
      <c r="B961" t="s">
        <v>858</v>
      </c>
      <c r="C961" s="9" t="s">
        <v>963</v>
      </c>
      <c r="D961" s="9">
        <v>60</v>
      </c>
      <c r="E961" s="9" t="s">
        <v>1804</v>
      </c>
      <c r="F961" t="s">
        <v>403</v>
      </c>
      <c r="G961" t="s">
        <v>386</v>
      </c>
      <c r="H961" t="s">
        <v>1432</v>
      </c>
    </row>
    <row r="962" spans="1:8" outlineLevel="2" x14ac:dyDescent="0.3">
      <c r="A962" s="6">
        <v>11</v>
      </c>
      <c r="B962" t="s">
        <v>858</v>
      </c>
      <c r="C962" s="9" t="s">
        <v>963</v>
      </c>
      <c r="D962" s="9">
        <v>60</v>
      </c>
      <c r="E962" s="9" t="s">
        <v>1804</v>
      </c>
      <c r="F962" t="s">
        <v>167</v>
      </c>
      <c r="G962" t="s">
        <v>168</v>
      </c>
      <c r="H962" t="s">
        <v>1533</v>
      </c>
    </row>
    <row r="963" spans="1:8" outlineLevel="2" x14ac:dyDescent="0.3">
      <c r="A963" s="6">
        <v>11</v>
      </c>
      <c r="B963" t="s">
        <v>858</v>
      </c>
      <c r="C963" s="9" t="s">
        <v>963</v>
      </c>
      <c r="D963" s="9">
        <v>60</v>
      </c>
      <c r="E963" s="9" t="s">
        <v>1804</v>
      </c>
      <c r="F963" t="s">
        <v>107</v>
      </c>
      <c r="G963" t="s">
        <v>108</v>
      </c>
      <c r="H963" t="s">
        <v>1140</v>
      </c>
    </row>
    <row r="964" spans="1:8" outlineLevel="2" x14ac:dyDescent="0.3">
      <c r="A964" s="6">
        <v>11</v>
      </c>
      <c r="B964" t="s">
        <v>858</v>
      </c>
      <c r="C964" s="9" t="s">
        <v>963</v>
      </c>
      <c r="D964" s="9">
        <v>60</v>
      </c>
      <c r="E964" s="9" t="s">
        <v>1804</v>
      </c>
      <c r="F964" t="s">
        <v>110</v>
      </c>
      <c r="G964" t="s">
        <v>41</v>
      </c>
      <c r="H964" t="s">
        <v>1144</v>
      </c>
    </row>
    <row r="965" spans="1:8" outlineLevel="2" x14ac:dyDescent="0.3">
      <c r="A965" s="6">
        <v>11</v>
      </c>
      <c r="B965" t="s">
        <v>858</v>
      </c>
      <c r="C965" s="9" t="s">
        <v>963</v>
      </c>
      <c r="D965" s="9">
        <v>66</v>
      </c>
      <c r="E965" s="9" t="s">
        <v>1804</v>
      </c>
      <c r="F965" t="s">
        <v>353</v>
      </c>
      <c r="G965" t="s">
        <v>354</v>
      </c>
      <c r="H965" t="s">
        <v>1020</v>
      </c>
    </row>
    <row r="966" spans="1:8" outlineLevel="2" x14ac:dyDescent="0.3">
      <c r="A966" s="6">
        <v>11</v>
      </c>
      <c r="B966" t="s">
        <v>858</v>
      </c>
      <c r="C966" s="9" t="s">
        <v>963</v>
      </c>
      <c r="D966" s="9">
        <v>60</v>
      </c>
      <c r="E966" s="9" t="s">
        <v>1804</v>
      </c>
      <c r="F966" t="s">
        <v>114</v>
      </c>
      <c r="G966" t="s">
        <v>115</v>
      </c>
      <c r="H966" t="s">
        <v>1121</v>
      </c>
    </row>
    <row r="967" spans="1:8" outlineLevel="2" x14ac:dyDescent="0.3">
      <c r="A967" s="6">
        <v>11</v>
      </c>
      <c r="B967" t="s">
        <v>858</v>
      </c>
      <c r="C967" s="9" t="s">
        <v>963</v>
      </c>
      <c r="D967" s="9">
        <v>64</v>
      </c>
      <c r="E967" s="9" t="s">
        <v>1804</v>
      </c>
      <c r="F967" t="s">
        <v>583</v>
      </c>
      <c r="G967" t="s">
        <v>238</v>
      </c>
      <c r="H967" t="s">
        <v>1122</v>
      </c>
    </row>
    <row r="968" spans="1:8" outlineLevel="2" x14ac:dyDescent="0.3">
      <c r="A968" s="6">
        <v>11</v>
      </c>
      <c r="B968" t="s">
        <v>858</v>
      </c>
      <c r="C968" s="9" t="s">
        <v>963</v>
      </c>
      <c r="D968" s="9">
        <v>60</v>
      </c>
      <c r="E968" s="9" t="s">
        <v>1804</v>
      </c>
      <c r="F968" t="s">
        <v>117</v>
      </c>
      <c r="G968" t="s">
        <v>118</v>
      </c>
      <c r="H968" t="s">
        <v>1419</v>
      </c>
    </row>
    <row r="969" spans="1:8" outlineLevel="2" x14ac:dyDescent="0.3">
      <c r="A969" s="6">
        <v>11</v>
      </c>
      <c r="B969" t="s">
        <v>858</v>
      </c>
      <c r="C969" s="9" t="s">
        <v>963</v>
      </c>
      <c r="D969" s="9">
        <v>68</v>
      </c>
      <c r="E969" s="9" t="s">
        <v>1804</v>
      </c>
      <c r="F969" t="s">
        <v>468</v>
      </c>
      <c r="G969" t="s">
        <v>54</v>
      </c>
      <c r="H969" t="s">
        <v>1682</v>
      </c>
    </row>
    <row r="970" spans="1:8" outlineLevel="2" x14ac:dyDescent="0.3">
      <c r="A970" s="6">
        <v>11</v>
      </c>
      <c r="B970" t="s">
        <v>858</v>
      </c>
      <c r="C970" s="9" t="s">
        <v>963</v>
      </c>
      <c r="D970" s="9">
        <v>68</v>
      </c>
      <c r="E970" s="9" t="s">
        <v>1804</v>
      </c>
      <c r="F970" t="s">
        <v>796</v>
      </c>
      <c r="G970" t="s">
        <v>54</v>
      </c>
      <c r="H970" t="s">
        <v>1218</v>
      </c>
    </row>
    <row r="971" spans="1:8" outlineLevel="2" x14ac:dyDescent="0.3">
      <c r="A971" s="6">
        <v>11</v>
      </c>
      <c r="B971" t="s">
        <v>858</v>
      </c>
      <c r="C971" s="9" t="s">
        <v>963</v>
      </c>
      <c r="D971" s="9">
        <v>60</v>
      </c>
      <c r="E971" s="9" t="s">
        <v>1804</v>
      </c>
      <c r="F971" t="s">
        <v>358</v>
      </c>
      <c r="G971" t="s">
        <v>359</v>
      </c>
      <c r="H971" t="s">
        <v>1021</v>
      </c>
    </row>
    <row r="972" spans="1:8" outlineLevel="2" x14ac:dyDescent="0.3">
      <c r="A972" s="6">
        <v>11</v>
      </c>
      <c r="B972" t="s">
        <v>858</v>
      </c>
      <c r="C972" s="9" t="s">
        <v>963</v>
      </c>
      <c r="D972" s="9">
        <v>62</v>
      </c>
      <c r="E972" s="9" t="s">
        <v>1804</v>
      </c>
      <c r="F972" t="s">
        <v>405</v>
      </c>
      <c r="G972" t="s">
        <v>260</v>
      </c>
      <c r="H972" t="s">
        <v>1022</v>
      </c>
    </row>
    <row r="973" spans="1:8" outlineLevel="2" x14ac:dyDescent="0.3">
      <c r="A973" s="6">
        <v>11</v>
      </c>
      <c r="B973" t="s">
        <v>858</v>
      </c>
      <c r="C973" s="9" t="s">
        <v>963</v>
      </c>
      <c r="D973" s="9">
        <v>63</v>
      </c>
      <c r="E973" s="9" t="s">
        <v>1804</v>
      </c>
      <c r="F973" t="s">
        <v>124</v>
      </c>
      <c r="G973" t="s">
        <v>572</v>
      </c>
      <c r="H973" t="s">
        <v>1024</v>
      </c>
    </row>
    <row r="974" spans="1:8" outlineLevel="2" x14ac:dyDescent="0.3">
      <c r="A974" s="6">
        <v>11</v>
      </c>
      <c r="B974" t="s">
        <v>858</v>
      </c>
      <c r="C974" s="9" t="s">
        <v>963</v>
      </c>
      <c r="D974" s="9">
        <v>64</v>
      </c>
      <c r="E974" s="9" t="s">
        <v>1804</v>
      </c>
      <c r="F974" t="s">
        <v>125</v>
      </c>
      <c r="G974" t="s">
        <v>126</v>
      </c>
      <c r="H974" t="s">
        <v>1581</v>
      </c>
    </row>
    <row r="975" spans="1:8" outlineLevel="2" x14ac:dyDescent="0.3">
      <c r="A975" s="6">
        <v>11</v>
      </c>
      <c r="B975" t="s">
        <v>858</v>
      </c>
      <c r="C975" s="9" t="s">
        <v>963</v>
      </c>
      <c r="D975" s="9">
        <v>60</v>
      </c>
      <c r="E975" s="9" t="s">
        <v>1804</v>
      </c>
      <c r="F975" t="s">
        <v>128</v>
      </c>
      <c r="G975" t="s">
        <v>129</v>
      </c>
      <c r="H975" t="s">
        <v>1582</v>
      </c>
    </row>
    <row r="976" spans="1:8" outlineLevel="2" x14ac:dyDescent="0.3">
      <c r="A976" s="6">
        <v>11</v>
      </c>
      <c r="B976" t="s">
        <v>858</v>
      </c>
      <c r="C976" s="9" t="s">
        <v>963</v>
      </c>
      <c r="D976" s="9">
        <v>60</v>
      </c>
      <c r="E976" s="9" t="s">
        <v>1804</v>
      </c>
      <c r="F976" t="s">
        <v>131</v>
      </c>
      <c r="G976" t="s">
        <v>376</v>
      </c>
      <c r="H976" t="s">
        <v>1818</v>
      </c>
    </row>
    <row r="977" spans="1:8" outlineLevel="2" x14ac:dyDescent="0.3">
      <c r="A977" s="6">
        <v>11</v>
      </c>
      <c r="B977" t="s">
        <v>858</v>
      </c>
      <c r="C977" s="9" t="s">
        <v>963</v>
      </c>
      <c r="D977" s="9">
        <v>60</v>
      </c>
      <c r="E977" s="9" t="s">
        <v>1804</v>
      </c>
      <c r="F977" t="s">
        <v>378</v>
      </c>
      <c r="G977" t="s">
        <v>320</v>
      </c>
      <c r="H977" t="s">
        <v>1247</v>
      </c>
    </row>
    <row r="978" spans="1:8" outlineLevel="1" x14ac:dyDescent="0.3">
      <c r="A978" s="16" t="s">
        <v>2197</v>
      </c>
      <c r="H978">
        <f>SUBTOTAL(3,H861:H977)</f>
        <v>117</v>
      </c>
    </row>
    <row r="979" spans="1:8" outlineLevel="2" x14ac:dyDescent="0.3">
      <c r="A979" s="6">
        <v>12</v>
      </c>
      <c r="B979" t="s">
        <v>856</v>
      </c>
      <c r="C979" s="9" t="s">
        <v>932</v>
      </c>
      <c r="D979" s="9">
        <v>18</v>
      </c>
      <c r="E979" s="9" t="s">
        <v>1804</v>
      </c>
      <c r="F979" t="s">
        <v>533</v>
      </c>
      <c r="G979" t="s">
        <v>531</v>
      </c>
      <c r="H979" t="s">
        <v>939</v>
      </c>
    </row>
    <row r="980" spans="1:8" outlineLevel="2" x14ac:dyDescent="0.3">
      <c r="A980" s="6">
        <v>12</v>
      </c>
      <c r="B980" t="s">
        <v>856</v>
      </c>
      <c r="C980" s="9" t="s">
        <v>932</v>
      </c>
      <c r="D980" s="9">
        <v>30</v>
      </c>
      <c r="E980" s="9" t="s">
        <v>1804</v>
      </c>
      <c r="F980" t="s">
        <v>534</v>
      </c>
      <c r="G980" t="s">
        <v>531</v>
      </c>
      <c r="H980" t="s">
        <v>940</v>
      </c>
    </row>
    <row r="981" spans="1:8" outlineLevel="2" x14ac:dyDescent="0.3">
      <c r="A981" s="6">
        <v>12</v>
      </c>
      <c r="B981" t="s">
        <v>856</v>
      </c>
      <c r="C981" s="9" t="s">
        <v>1266</v>
      </c>
      <c r="D981" s="9">
        <v>37</v>
      </c>
      <c r="E981" s="9" t="s">
        <v>1804</v>
      </c>
      <c r="F981" t="s">
        <v>857</v>
      </c>
      <c r="G981" t="s">
        <v>196</v>
      </c>
      <c r="H981" t="s">
        <v>1265</v>
      </c>
    </row>
    <row r="982" spans="1:8" outlineLevel="2" x14ac:dyDescent="0.3">
      <c r="A982" s="6">
        <v>12</v>
      </c>
      <c r="B982" t="s">
        <v>856</v>
      </c>
      <c r="C982" s="9" t="s">
        <v>1807</v>
      </c>
      <c r="D982" s="9">
        <v>1300</v>
      </c>
      <c r="E982" s="9" t="s">
        <v>1808</v>
      </c>
      <c r="F982" t="s">
        <v>199</v>
      </c>
      <c r="G982" t="s">
        <v>200</v>
      </c>
      <c r="H982" t="s">
        <v>1271</v>
      </c>
    </row>
    <row r="983" spans="1:8" outlineLevel="2" x14ac:dyDescent="0.3">
      <c r="A983" s="6">
        <v>12</v>
      </c>
      <c r="B983" t="s">
        <v>856</v>
      </c>
      <c r="C983" s="9" t="s">
        <v>932</v>
      </c>
      <c r="D983" s="9">
        <v>42</v>
      </c>
      <c r="E983" s="9" t="s">
        <v>1804</v>
      </c>
      <c r="F983" t="s">
        <v>14</v>
      </c>
      <c r="G983" t="s">
        <v>15</v>
      </c>
      <c r="H983" t="s">
        <v>1290</v>
      </c>
    </row>
    <row r="984" spans="1:8" outlineLevel="2" x14ac:dyDescent="0.3">
      <c r="A984" s="6">
        <v>12</v>
      </c>
      <c r="B984" t="s">
        <v>856</v>
      </c>
      <c r="C984" s="9" t="s">
        <v>932</v>
      </c>
      <c r="D984" s="9">
        <v>12</v>
      </c>
      <c r="E984" s="9" t="s">
        <v>1804</v>
      </c>
      <c r="F984" t="s">
        <v>204</v>
      </c>
      <c r="G984" t="s">
        <v>15</v>
      </c>
      <c r="H984" t="s">
        <v>1292</v>
      </c>
    </row>
    <row r="985" spans="1:8" outlineLevel="2" x14ac:dyDescent="0.3">
      <c r="A985" s="6">
        <v>12</v>
      </c>
      <c r="B985" t="s">
        <v>856</v>
      </c>
      <c r="C985" s="9" t="s">
        <v>1807</v>
      </c>
      <c r="D985" s="9">
        <v>165</v>
      </c>
      <c r="E985" s="9" t="s">
        <v>1808</v>
      </c>
      <c r="F985" t="s">
        <v>410</v>
      </c>
      <c r="G985" t="s">
        <v>411</v>
      </c>
      <c r="H985" t="s">
        <v>1313</v>
      </c>
    </row>
    <row r="986" spans="1:8" outlineLevel="2" x14ac:dyDescent="0.3">
      <c r="A986" s="6">
        <v>12</v>
      </c>
      <c r="B986" t="s">
        <v>856</v>
      </c>
      <c r="C986" s="9" t="s">
        <v>1807</v>
      </c>
      <c r="D986" s="9">
        <v>1350</v>
      </c>
      <c r="E986" s="9" t="s">
        <v>1808</v>
      </c>
      <c r="F986" t="s">
        <v>413</v>
      </c>
      <c r="G986" t="s">
        <v>414</v>
      </c>
      <c r="H986" t="s">
        <v>1332</v>
      </c>
    </row>
    <row r="987" spans="1:8" outlineLevel="2" x14ac:dyDescent="0.3">
      <c r="A987" s="6">
        <v>12</v>
      </c>
      <c r="B987" t="s">
        <v>856</v>
      </c>
      <c r="C987" s="9" t="s">
        <v>932</v>
      </c>
      <c r="D987" s="9">
        <v>36</v>
      </c>
      <c r="E987" s="9" t="s">
        <v>1804</v>
      </c>
      <c r="F987" t="s">
        <v>28</v>
      </c>
      <c r="G987" t="s">
        <v>29</v>
      </c>
      <c r="H987" t="s">
        <v>1180</v>
      </c>
    </row>
    <row r="988" spans="1:8" outlineLevel="2" x14ac:dyDescent="0.3">
      <c r="A988" s="6">
        <v>12</v>
      </c>
      <c r="B988" t="s">
        <v>856</v>
      </c>
      <c r="C988" s="9" t="s">
        <v>932</v>
      </c>
      <c r="D988" s="9">
        <v>12</v>
      </c>
      <c r="E988" s="9" t="s">
        <v>1804</v>
      </c>
      <c r="F988" t="s">
        <v>483</v>
      </c>
      <c r="G988" t="s">
        <v>29</v>
      </c>
      <c r="H988" t="s">
        <v>1182</v>
      </c>
    </row>
    <row r="989" spans="1:8" outlineLevel="2" x14ac:dyDescent="0.3">
      <c r="A989" s="6">
        <v>12</v>
      </c>
      <c r="B989" t="s">
        <v>856</v>
      </c>
      <c r="C989" s="9" t="s">
        <v>932</v>
      </c>
      <c r="D989" s="9">
        <v>12</v>
      </c>
      <c r="E989" s="9" t="s">
        <v>1804</v>
      </c>
      <c r="F989" t="s">
        <v>588</v>
      </c>
      <c r="G989" t="s">
        <v>29</v>
      </c>
      <c r="H989" t="s">
        <v>1183</v>
      </c>
    </row>
    <row r="990" spans="1:8" outlineLevel="2" x14ac:dyDescent="0.3">
      <c r="A990" s="6">
        <v>12</v>
      </c>
      <c r="B990" t="s">
        <v>856</v>
      </c>
      <c r="C990" s="9" t="s">
        <v>932</v>
      </c>
      <c r="D990" s="9">
        <v>12</v>
      </c>
      <c r="E990" s="9" t="s">
        <v>1804</v>
      </c>
      <c r="F990" t="s">
        <v>589</v>
      </c>
      <c r="G990" t="s">
        <v>29</v>
      </c>
      <c r="H990" t="s">
        <v>1184</v>
      </c>
    </row>
    <row r="991" spans="1:8" outlineLevel="2" x14ac:dyDescent="0.3">
      <c r="A991" s="6">
        <v>12</v>
      </c>
      <c r="B991" t="s">
        <v>856</v>
      </c>
      <c r="C991" s="9" t="s">
        <v>932</v>
      </c>
      <c r="D991" s="9">
        <v>18</v>
      </c>
      <c r="E991" s="9" t="s">
        <v>1804</v>
      </c>
      <c r="F991" t="s">
        <v>389</v>
      </c>
      <c r="G991" t="s">
        <v>171</v>
      </c>
      <c r="H991" t="s">
        <v>1447</v>
      </c>
    </row>
    <row r="992" spans="1:8" outlineLevel="2" x14ac:dyDescent="0.3">
      <c r="A992" s="6">
        <v>12</v>
      </c>
      <c r="B992" t="s">
        <v>856</v>
      </c>
      <c r="C992" s="9" t="s">
        <v>932</v>
      </c>
      <c r="D992" s="9">
        <v>33</v>
      </c>
      <c r="E992" s="9" t="s">
        <v>1804</v>
      </c>
      <c r="F992" t="s">
        <v>390</v>
      </c>
      <c r="G992" t="s">
        <v>391</v>
      </c>
      <c r="H992" t="s">
        <v>1449</v>
      </c>
    </row>
    <row r="993" spans="1:8" outlineLevel="2" x14ac:dyDescent="0.3">
      <c r="A993" s="6">
        <v>12</v>
      </c>
      <c r="B993" t="s">
        <v>856</v>
      </c>
      <c r="C993" s="9" t="s">
        <v>932</v>
      </c>
      <c r="D993" s="9">
        <v>21</v>
      </c>
      <c r="E993" s="9" t="s">
        <v>1804</v>
      </c>
      <c r="F993" t="s">
        <v>34</v>
      </c>
      <c r="G993" t="s">
        <v>32</v>
      </c>
      <c r="H993" t="s">
        <v>1485</v>
      </c>
    </row>
    <row r="994" spans="1:8" outlineLevel="2" x14ac:dyDescent="0.3">
      <c r="A994" s="6">
        <v>12</v>
      </c>
      <c r="B994" t="s">
        <v>856</v>
      </c>
      <c r="C994" s="9" t="s">
        <v>932</v>
      </c>
      <c r="D994" s="9">
        <v>27</v>
      </c>
      <c r="E994" s="9" t="s">
        <v>1804</v>
      </c>
      <c r="F994" t="s">
        <v>40</v>
      </c>
      <c r="G994" t="s">
        <v>41</v>
      </c>
      <c r="H994" t="s">
        <v>1169</v>
      </c>
    </row>
    <row r="995" spans="1:8" outlineLevel="2" x14ac:dyDescent="0.3">
      <c r="A995" s="6">
        <v>12</v>
      </c>
      <c r="B995" t="s">
        <v>856</v>
      </c>
      <c r="C995" s="9" t="s">
        <v>932</v>
      </c>
      <c r="D995" s="9">
        <v>24</v>
      </c>
      <c r="E995" s="9" t="s">
        <v>1804</v>
      </c>
      <c r="F995" t="s">
        <v>232</v>
      </c>
      <c r="G995" t="s">
        <v>144</v>
      </c>
      <c r="H995" t="s">
        <v>1171</v>
      </c>
    </row>
    <row r="996" spans="1:8" outlineLevel="2" x14ac:dyDescent="0.3">
      <c r="A996" s="6">
        <v>12</v>
      </c>
      <c r="B996" t="s">
        <v>856</v>
      </c>
      <c r="C996" s="9" t="s">
        <v>932</v>
      </c>
      <c r="D996" s="9">
        <v>24</v>
      </c>
      <c r="E996" s="9" t="s">
        <v>1804</v>
      </c>
      <c r="F996" t="s">
        <v>237</v>
      </c>
      <c r="G996" t="s">
        <v>238</v>
      </c>
      <c r="H996" t="s">
        <v>1065</v>
      </c>
    </row>
    <row r="997" spans="1:8" outlineLevel="2" x14ac:dyDescent="0.3">
      <c r="A997" s="6">
        <v>12</v>
      </c>
      <c r="B997" t="s">
        <v>856</v>
      </c>
      <c r="C997" s="9" t="s">
        <v>932</v>
      </c>
      <c r="D997" s="9">
        <v>24</v>
      </c>
      <c r="E997" s="9" t="s">
        <v>1804</v>
      </c>
      <c r="F997" t="s">
        <v>553</v>
      </c>
      <c r="G997" t="s">
        <v>238</v>
      </c>
      <c r="H997" t="s">
        <v>1066</v>
      </c>
    </row>
    <row r="998" spans="1:8" outlineLevel="2" x14ac:dyDescent="0.3">
      <c r="A998" s="6">
        <v>12</v>
      </c>
      <c r="B998" t="s">
        <v>856</v>
      </c>
      <c r="C998" s="9" t="s">
        <v>1807</v>
      </c>
      <c r="D998" s="9">
        <v>1200</v>
      </c>
      <c r="E998" s="9" t="s">
        <v>1808</v>
      </c>
      <c r="F998" t="s">
        <v>240</v>
      </c>
      <c r="G998" t="s">
        <v>241</v>
      </c>
      <c r="H998" t="s">
        <v>1427</v>
      </c>
    </row>
    <row r="999" spans="1:8" outlineLevel="2" x14ac:dyDescent="0.3">
      <c r="A999" s="6">
        <v>12</v>
      </c>
      <c r="B999" t="s">
        <v>856</v>
      </c>
      <c r="C999" s="9" t="s">
        <v>1807</v>
      </c>
      <c r="D999" s="9">
        <v>260</v>
      </c>
      <c r="E999" s="9" t="s">
        <v>1808</v>
      </c>
      <c r="F999" t="s">
        <v>243</v>
      </c>
      <c r="G999" t="s">
        <v>244</v>
      </c>
      <c r="H999" t="s">
        <v>1429</v>
      </c>
    </row>
    <row r="1000" spans="1:8" outlineLevel="2" x14ac:dyDescent="0.3">
      <c r="A1000" s="6">
        <v>12</v>
      </c>
      <c r="B1000" t="s">
        <v>856</v>
      </c>
      <c r="C1000" s="9" t="s">
        <v>976</v>
      </c>
      <c r="D1000" s="9">
        <v>68</v>
      </c>
      <c r="E1000" s="9" t="s">
        <v>1804</v>
      </c>
      <c r="F1000" t="s">
        <v>255</v>
      </c>
      <c r="G1000" t="s">
        <v>256</v>
      </c>
      <c r="H1000" t="s">
        <v>1715</v>
      </c>
    </row>
    <row r="1001" spans="1:8" outlineLevel="2" x14ac:dyDescent="0.3">
      <c r="A1001" s="6">
        <v>12</v>
      </c>
      <c r="B1001" t="s">
        <v>856</v>
      </c>
      <c r="C1001" s="9" t="s">
        <v>932</v>
      </c>
      <c r="D1001" s="9">
        <v>24</v>
      </c>
      <c r="E1001" s="9" t="s">
        <v>1804</v>
      </c>
      <c r="F1001" t="s">
        <v>258</v>
      </c>
      <c r="G1001" t="s">
        <v>256</v>
      </c>
      <c r="H1001" t="s">
        <v>1716</v>
      </c>
    </row>
    <row r="1002" spans="1:8" outlineLevel="2" x14ac:dyDescent="0.3">
      <c r="A1002" s="6">
        <v>12</v>
      </c>
      <c r="B1002" t="s">
        <v>856</v>
      </c>
      <c r="C1002" s="9" t="s">
        <v>932</v>
      </c>
      <c r="D1002" s="9">
        <v>44</v>
      </c>
      <c r="E1002" s="9" t="s">
        <v>1804</v>
      </c>
      <c r="F1002" t="s">
        <v>633</v>
      </c>
      <c r="G1002" t="s">
        <v>256</v>
      </c>
      <c r="H1002" t="s">
        <v>1717</v>
      </c>
    </row>
    <row r="1003" spans="1:8" outlineLevel="2" x14ac:dyDescent="0.3">
      <c r="A1003" s="6">
        <v>12</v>
      </c>
      <c r="B1003" t="s">
        <v>856</v>
      </c>
      <c r="C1003" s="9" t="s">
        <v>1807</v>
      </c>
      <c r="D1003" s="9">
        <v>1350</v>
      </c>
      <c r="E1003" s="9" t="s">
        <v>1808</v>
      </c>
      <c r="F1003" t="s">
        <v>275</v>
      </c>
      <c r="G1003" t="s">
        <v>276</v>
      </c>
      <c r="H1003" t="s">
        <v>1012</v>
      </c>
    </row>
    <row r="1004" spans="1:8" outlineLevel="2" x14ac:dyDescent="0.3">
      <c r="A1004" s="6">
        <v>12</v>
      </c>
      <c r="B1004" t="s">
        <v>856</v>
      </c>
      <c r="C1004" s="9" t="s">
        <v>1807</v>
      </c>
      <c r="D1004" s="9">
        <v>1050</v>
      </c>
      <c r="E1004" s="9" t="s">
        <v>1808</v>
      </c>
      <c r="F1004" t="s">
        <v>291</v>
      </c>
      <c r="G1004" t="s">
        <v>292</v>
      </c>
      <c r="H1004" t="s">
        <v>1678</v>
      </c>
    </row>
    <row r="1005" spans="1:8" outlineLevel="2" x14ac:dyDescent="0.3">
      <c r="A1005" s="6">
        <v>12</v>
      </c>
      <c r="B1005" t="s">
        <v>856</v>
      </c>
      <c r="C1005" s="9" t="s">
        <v>1807</v>
      </c>
      <c r="D1005" s="9">
        <v>750</v>
      </c>
      <c r="E1005" s="9" t="s">
        <v>1808</v>
      </c>
      <c r="F1005" t="s">
        <v>456</v>
      </c>
      <c r="G1005" t="s">
        <v>292</v>
      </c>
      <c r="H1005" t="s">
        <v>1679</v>
      </c>
    </row>
    <row r="1006" spans="1:8" outlineLevel="2" x14ac:dyDescent="0.3">
      <c r="A1006" s="6">
        <v>12</v>
      </c>
      <c r="B1006" t="s">
        <v>856</v>
      </c>
      <c r="C1006" s="9" t="s">
        <v>932</v>
      </c>
      <c r="D1006" s="9">
        <v>18</v>
      </c>
      <c r="E1006" s="9" t="s">
        <v>1804</v>
      </c>
      <c r="F1006" t="s">
        <v>65</v>
      </c>
      <c r="G1006" t="s">
        <v>66</v>
      </c>
      <c r="H1006" t="s">
        <v>1791</v>
      </c>
    </row>
    <row r="1007" spans="1:8" outlineLevel="2" x14ac:dyDescent="0.3">
      <c r="A1007" s="6">
        <v>12</v>
      </c>
      <c r="B1007" t="s">
        <v>856</v>
      </c>
      <c r="C1007" s="9" t="s">
        <v>932</v>
      </c>
      <c r="D1007" s="9">
        <v>12</v>
      </c>
      <c r="E1007" s="9" t="s">
        <v>1804</v>
      </c>
      <c r="F1007" t="s">
        <v>677</v>
      </c>
      <c r="G1007" t="s">
        <v>312</v>
      </c>
      <c r="H1007" t="s">
        <v>952</v>
      </c>
    </row>
    <row r="1008" spans="1:8" outlineLevel="2" x14ac:dyDescent="0.3">
      <c r="A1008" s="6">
        <v>12</v>
      </c>
      <c r="B1008" t="s">
        <v>856</v>
      </c>
      <c r="C1008" s="9" t="s">
        <v>932</v>
      </c>
      <c r="D1008" s="9">
        <v>30</v>
      </c>
      <c r="E1008" s="9" t="s">
        <v>1804</v>
      </c>
      <c r="F1008" t="s">
        <v>314</v>
      </c>
      <c r="G1008" t="s">
        <v>312</v>
      </c>
      <c r="H1008" t="s">
        <v>953</v>
      </c>
    </row>
    <row r="1009" spans="1:8" outlineLevel="2" x14ac:dyDescent="0.3">
      <c r="A1009" s="6">
        <v>12</v>
      </c>
      <c r="B1009" t="s">
        <v>856</v>
      </c>
      <c r="C1009" s="9" t="s">
        <v>1807</v>
      </c>
      <c r="D1009" s="9">
        <v>420</v>
      </c>
      <c r="E1009" s="9" t="s">
        <v>1808</v>
      </c>
      <c r="F1009" t="s">
        <v>68</v>
      </c>
      <c r="G1009" t="s">
        <v>69</v>
      </c>
      <c r="H1009" t="s">
        <v>1551</v>
      </c>
    </row>
    <row r="1010" spans="1:8" outlineLevel="2" x14ac:dyDescent="0.3">
      <c r="A1010" s="6">
        <v>12</v>
      </c>
      <c r="B1010" t="s">
        <v>856</v>
      </c>
      <c r="C1010" s="9" t="s">
        <v>1807</v>
      </c>
      <c r="D1010" s="9">
        <v>198</v>
      </c>
      <c r="E1010" s="9" t="s">
        <v>1808</v>
      </c>
      <c r="F1010" t="s">
        <v>484</v>
      </c>
      <c r="G1010" t="s">
        <v>69</v>
      </c>
      <c r="H1010" t="s">
        <v>1556</v>
      </c>
    </row>
    <row r="1011" spans="1:8" outlineLevel="2" x14ac:dyDescent="0.3">
      <c r="A1011" s="6">
        <v>12</v>
      </c>
      <c r="B1011" t="s">
        <v>856</v>
      </c>
      <c r="C1011" s="9" t="s">
        <v>1807</v>
      </c>
      <c r="D1011" s="9">
        <v>770</v>
      </c>
      <c r="E1011" s="9" t="s">
        <v>1808</v>
      </c>
      <c r="F1011" t="s">
        <v>71</v>
      </c>
      <c r="G1011" t="s">
        <v>72</v>
      </c>
      <c r="H1011" t="s">
        <v>1565</v>
      </c>
    </row>
    <row r="1012" spans="1:8" outlineLevel="2" x14ac:dyDescent="0.3">
      <c r="A1012" s="6">
        <v>12</v>
      </c>
      <c r="B1012" t="s">
        <v>856</v>
      </c>
      <c r="C1012" s="9" t="s">
        <v>1807</v>
      </c>
      <c r="D1012" s="9">
        <v>518</v>
      </c>
      <c r="E1012" s="9" t="s">
        <v>1808</v>
      </c>
      <c r="F1012" t="s">
        <v>74</v>
      </c>
      <c r="G1012" t="s">
        <v>72</v>
      </c>
      <c r="H1012" t="s">
        <v>1566</v>
      </c>
    </row>
    <row r="1013" spans="1:8" outlineLevel="2" x14ac:dyDescent="0.3">
      <c r="A1013" s="6">
        <v>12</v>
      </c>
      <c r="B1013" t="s">
        <v>856</v>
      </c>
      <c r="C1013" s="9" t="s">
        <v>1807</v>
      </c>
      <c r="D1013" s="9">
        <v>398</v>
      </c>
      <c r="E1013" s="9" t="s">
        <v>1808</v>
      </c>
      <c r="F1013" t="s">
        <v>318</v>
      </c>
      <c r="G1013" t="s">
        <v>76</v>
      </c>
      <c r="H1013" t="s">
        <v>1578</v>
      </c>
    </row>
    <row r="1014" spans="1:8" outlineLevel="2" x14ac:dyDescent="0.3">
      <c r="A1014" s="6">
        <v>12</v>
      </c>
      <c r="B1014" t="s">
        <v>856</v>
      </c>
      <c r="C1014" s="9" t="s">
        <v>1807</v>
      </c>
      <c r="D1014" s="9">
        <v>698</v>
      </c>
      <c r="E1014" s="9" t="s">
        <v>1808</v>
      </c>
      <c r="F1014" t="s">
        <v>485</v>
      </c>
      <c r="G1014" t="s">
        <v>76</v>
      </c>
      <c r="H1014" t="s">
        <v>1579</v>
      </c>
    </row>
    <row r="1015" spans="1:8" outlineLevel="2" x14ac:dyDescent="0.3">
      <c r="A1015" s="6">
        <v>12</v>
      </c>
      <c r="B1015" t="s">
        <v>856</v>
      </c>
      <c r="C1015" s="9" t="s">
        <v>963</v>
      </c>
      <c r="D1015" s="9">
        <v>60</v>
      </c>
      <c r="E1015" s="9" t="s">
        <v>1804</v>
      </c>
      <c r="F1015" t="s">
        <v>523</v>
      </c>
      <c r="G1015" t="s">
        <v>492</v>
      </c>
      <c r="H1015" t="s">
        <v>964</v>
      </c>
    </row>
    <row r="1016" spans="1:8" outlineLevel="2" x14ac:dyDescent="0.3">
      <c r="A1016" s="6">
        <v>12</v>
      </c>
      <c r="B1016" t="s">
        <v>856</v>
      </c>
      <c r="C1016" s="9" t="s">
        <v>963</v>
      </c>
      <c r="D1016" s="9">
        <v>70</v>
      </c>
      <c r="E1016" s="9" t="s">
        <v>1804</v>
      </c>
      <c r="F1016" t="s">
        <v>325</v>
      </c>
      <c r="G1016" t="s">
        <v>196</v>
      </c>
      <c r="H1016" t="s">
        <v>1344</v>
      </c>
    </row>
    <row r="1017" spans="1:8" outlineLevel="2" x14ac:dyDescent="0.3">
      <c r="A1017" s="6">
        <v>12</v>
      </c>
      <c r="B1017" t="s">
        <v>856</v>
      </c>
      <c r="C1017" s="9" t="s">
        <v>963</v>
      </c>
      <c r="D1017" s="9">
        <v>74</v>
      </c>
      <c r="E1017" s="9" t="s">
        <v>1804</v>
      </c>
      <c r="F1017" t="s">
        <v>87</v>
      </c>
      <c r="G1017" t="s">
        <v>88</v>
      </c>
      <c r="H1017" t="s">
        <v>1349</v>
      </c>
    </row>
    <row r="1018" spans="1:8" outlineLevel="2" x14ac:dyDescent="0.3">
      <c r="A1018" s="6">
        <v>12</v>
      </c>
      <c r="B1018" t="s">
        <v>856</v>
      </c>
      <c r="C1018" s="9" t="s">
        <v>963</v>
      </c>
      <c r="D1018" s="9">
        <v>73</v>
      </c>
      <c r="E1018" s="9" t="s">
        <v>1804</v>
      </c>
      <c r="F1018" t="s">
        <v>90</v>
      </c>
      <c r="G1018" t="s">
        <v>15</v>
      </c>
      <c r="H1018" t="s">
        <v>1351</v>
      </c>
    </row>
    <row r="1019" spans="1:8" outlineLevel="2" x14ac:dyDescent="0.3">
      <c r="A1019" s="6">
        <v>12</v>
      </c>
      <c r="B1019" t="s">
        <v>856</v>
      </c>
      <c r="C1019" s="9" t="s">
        <v>963</v>
      </c>
      <c r="D1019" s="9">
        <v>72</v>
      </c>
      <c r="E1019" s="9" t="s">
        <v>1804</v>
      </c>
      <c r="F1019" t="s">
        <v>101</v>
      </c>
      <c r="G1019" t="s">
        <v>102</v>
      </c>
      <c r="H1019" t="s">
        <v>1365</v>
      </c>
    </row>
    <row r="1020" spans="1:8" outlineLevel="2" x14ac:dyDescent="0.3">
      <c r="A1020" s="6">
        <v>12</v>
      </c>
      <c r="B1020" t="s">
        <v>856</v>
      </c>
      <c r="C1020" s="9" t="s">
        <v>963</v>
      </c>
      <c r="D1020" s="9">
        <v>60</v>
      </c>
      <c r="E1020" s="9" t="s">
        <v>1804</v>
      </c>
      <c r="F1020" t="s">
        <v>400</v>
      </c>
      <c r="G1020" t="s">
        <v>401</v>
      </c>
      <c r="H1020" t="s">
        <v>1185</v>
      </c>
    </row>
    <row r="1021" spans="1:8" outlineLevel="2" x14ac:dyDescent="0.3">
      <c r="A1021" s="6">
        <v>12</v>
      </c>
      <c r="B1021" t="s">
        <v>856</v>
      </c>
      <c r="C1021" s="9" t="s">
        <v>963</v>
      </c>
      <c r="D1021" s="9">
        <v>60</v>
      </c>
      <c r="E1021" s="9" t="s">
        <v>1804</v>
      </c>
      <c r="F1021" t="s">
        <v>167</v>
      </c>
      <c r="G1021" t="s">
        <v>168</v>
      </c>
      <c r="H1021" t="s">
        <v>1533</v>
      </c>
    </row>
    <row r="1022" spans="1:8" outlineLevel="2" x14ac:dyDescent="0.3">
      <c r="A1022" s="6">
        <v>12</v>
      </c>
      <c r="B1022" t="s">
        <v>856</v>
      </c>
      <c r="C1022" s="9" t="s">
        <v>963</v>
      </c>
      <c r="D1022" s="9">
        <v>60</v>
      </c>
      <c r="E1022" s="9" t="s">
        <v>1804</v>
      </c>
      <c r="F1022" t="s">
        <v>170</v>
      </c>
      <c r="G1022" t="s">
        <v>171</v>
      </c>
      <c r="H1022" t="s">
        <v>1535</v>
      </c>
    </row>
    <row r="1023" spans="1:8" outlineLevel="2" x14ac:dyDescent="0.3">
      <c r="A1023" s="6">
        <v>12</v>
      </c>
      <c r="B1023" t="s">
        <v>856</v>
      </c>
      <c r="C1023" s="9" t="s">
        <v>963</v>
      </c>
      <c r="D1023" s="9">
        <v>60</v>
      </c>
      <c r="E1023" s="9" t="s">
        <v>1804</v>
      </c>
      <c r="F1023" t="s">
        <v>107</v>
      </c>
      <c r="G1023" t="s">
        <v>108</v>
      </c>
      <c r="H1023" t="s">
        <v>1140</v>
      </c>
    </row>
    <row r="1024" spans="1:8" outlineLevel="2" x14ac:dyDescent="0.3">
      <c r="A1024" s="6">
        <v>12</v>
      </c>
      <c r="B1024" t="s">
        <v>856</v>
      </c>
      <c r="C1024" s="9" t="s">
        <v>963</v>
      </c>
      <c r="D1024" s="9">
        <v>60</v>
      </c>
      <c r="E1024" s="9" t="s">
        <v>1804</v>
      </c>
      <c r="F1024" t="s">
        <v>114</v>
      </c>
      <c r="G1024" t="s">
        <v>115</v>
      </c>
      <c r="H1024" t="s">
        <v>1121</v>
      </c>
    </row>
    <row r="1025" spans="1:8" outlineLevel="2" x14ac:dyDescent="0.3">
      <c r="A1025" s="6">
        <v>12</v>
      </c>
      <c r="B1025" t="s">
        <v>856</v>
      </c>
      <c r="C1025" s="9" t="s">
        <v>963</v>
      </c>
      <c r="D1025" s="9">
        <v>64</v>
      </c>
      <c r="E1025" s="9" t="s">
        <v>1804</v>
      </c>
      <c r="F1025" t="s">
        <v>583</v>
      </c>
      <c r="G1025" t="s">
        <v>238</v>
      </c>
      <c r="H1025" t="s">
        <v>1122</v>
      </c>
    </row>
    <row r="1026" spans="1:8" outlineLevel="2" x14ac:dyDescent="0.3">
      <c r="A1026" s="6">
        <v>12</v>
      </c>
      <c r="B1026" t="s">
        <v>856</v>
      </c>
      <c r="C1026" s="9" t="s">
        <v>963</v>
      </c>
      <c r="D1026" s="9">
        <v>60</v>
      </c>
      <c r="E1026" s="9" t="s">
        <v>1804</v>
      </c>
      <c r="F1026" t="s">
        <v>371</v>
      </c>
      <c r="G1026" t="s">
        <v>66</v>
      </c>
      <c r="H1026" t="s">
        <v>1799</v>
      </c>
    </row>
    <row r="1027" spans="1:8" outlineLevel="2" x14ac:dyDescent="0.3">
      <c r="A1027" s="6">
        <v>12</v>
      </c>
      <c r="B1027" t="s">
        <v>856</v>
      </c>
      <c r="C1027" s="9" t="s">
        <v>963</v>
      </c>
      <c r="D1027" s="9">
        <v>64</v>
      </c>
      <c r="E1027" s="9" t="s">
        <v>1804</v>
      </c>
      <c r="F1027" t="s">
        <v>372</v>
      </c>
      <c r="G1027" t="s">
        <v>312</v>
      </c>
      <c r="H1027" t="s">
        <v>973</v>
      </c>
    </row>
    <row r="1028" spans="1:8" outlineLevel="2" x14ac:dyDescent="0.3">
      <c r="A1028" s="6">
        <v>12</v>
      </c>
      <c r="B1028" t="s">
        <v>856</v>
      </c>
      <c r="C1028" s="9" t="s">
        <v>963</v>
      </c>
      <c r="D1028" s="9">
        <v>64</v>
      </c>
      <c r="E1028" s="9" t="s">
        <v>1804</v>
      </c>
      <c r="F1028" t="s">
        <v>374</v>
      </c>
      <c r="G1028" t="s">
        <v>129</v>
      </c>
      <c r="H1028" t="s">
        <v>1582</v>
      </c>
    </row>
    <row r="1029" spans="1:8" outlineLevel="2" x14ac:dyDescent="0.3">
      <c r="A1029" s="6">
        <v>12</v>
      </c>
      <c r="B1029" t="s">
        <v>856</v>
      </c>
      <c r="C1029" s="9" t="s">
        <v>963</v>
      </c>
      <c r="D1029" s="9">
        <v>60</v>
      </c>
      <c r="E1029" s="9" t="s">
        <v>1804</v>
      </c>
      <c r="F1029" t="s">
        <v>128</v>
      </c>
      <c r="G1029" t="s">
        <v>129</v>
      </c>
      <c r="H1029" t="s">
        <v>1582</v>
      </c>
    </row>
    <row r="1030" spans="1:8" outlineLevel="1" x14ac:dyDescent="0.3">
      <c r="A1030" s="16" t="s">
        <v>2198</v>
      </c>
      <c r="H1030">
        <f>SUBTOTAL(3,H979:H1029)</f>
        <v>51</v>
      </c>
    </row>
    <row r="1031" spans="1:8" outlineLevel="2" x14ac:dyDescent="0.3">
      <c r="A1031" s="6">
        <v>13</v>
      </c>
      <c r="B1031" t="s">
        <v>853</v>
      </c>
      <c r="C1031" s="9" t="s">
        <v>932</v>
      </c>
      <c r="D1031" s="9">
        <v>24</v>
      </c>
      <c r="E1031" s="9" t="s">
        <v>1804</v>
      </c>
      <c r="F1031" t="s">
        <v>195</v>
      </c>
      <c r="G1031" t="s">
        <v>196</v>
      </c>
      <c r="H1031" t="s">
        <v>1263</v>
      </c>
    </row>
    <row r="1032" spans="1:8" outlineLevel="2" x14ac:dyDescent="0.3">
      <c r="A1032" s="6">
        <v>13</v>
      </c>
      <c r="B1032" t="s">
        <v>853</v>
      </c>
      <c r="C1032" s="9" t="s">
        <v>932</v>
      </c>
      <c r="D1032" s="9">
        <v>37</v>
      </c>
      <c r="E1032" s="9" t="s">
        <v>1804</v>
      </c>
      <c r="F1032" t="s">
        <v>198</v>
      </c>
      <c r="G1032" t="s">
        <v>196</v>
      </c>
      <c r="H1032" t="s">
        <v>1267</v>
      </c>
    </row>
    <row r="1033" spans="1:8" outlineLevel="2" x14ac:dyDescent="0.3">
      <c r="A1033" s="6">
        <v>13</v>
      </c>
      <c r="B1033" t="s">
        <v>853</v>
      </c>
      <c r="C1033" s="9" t="s">
        <v>932</v>
      </c>
      <c r="D1033" s="9">
        <v>27</v>
      </c>
      <c r="E1033" s="9" t="s">
        <v>1804</v>
      </c>
      <c r="F1033" t="s">
        <v>218</v>
      </c>
      <c r="G1033" t="s">
        <v>168</v>
      </c>
      <c r="H1033" t="s">
        <v>1443</v>
      </c>
    </row>
    <row r="1034" spans="1:8" outlineLevel="2" x14ac:dyDescent="0.3">
      <c r="A1034" s="6">
        <v>13</v>
      </c>
      <c r="B1034" t="s">
        <v>853</v>
      </c>
      <c r="C1034" s="9" t="s">
        <v>932</v>
      </c>
      <c r="D1034" s="9">
        <v>16</v>
      </c>
      <c r="E1034" s="9" t="s">
        <v>1804</v>
      </c>
      <c r="F1034" t="s">
        <v>502</v>
      </c>
      <c r="G1034" t="s">
        <v>168</v>
      </c>
      <c r="H1034" t="s">
        <v>1444</v>
      </c>
    </row>
    <row r="1035" spans="1:8" outlineLevel="2" x14ac:dyDescent="0.3">
      <c r="A1035" s="6">
        <v>13</v>
      </c>
      <c r="B1035" t="s">
        <v>853</v>
      </c>
      <c r="C1035" s="9" t="s">
        <v>932</v>
      </c>
      <c r="D1035" s="9">
        <v>32</v>
      </c>
      <c r="E1035" s="9" t="s">
        <v>1804</v>
      </c>
      <c r="F1035" t="s">
        <v>221</v>
      </c>
      <c r="G1035" t="s">
        <v>32</v>
      </c>
      <c r="H1035" t="s">
        <v>1490</v>
      </c>
    </row>
    <row r="1036" spans="1:8" outlineLevel="2" x14ac:dyDescent="0.3">
      <c r="A1036" s="6">
        <v>13</v>
      </c>
      <c r="B1036" t="s">
        <v>853</v>
      </c>
      <c r="C1036" s="9" t="s">
        <v>932</v>
      </c>
      <c r="D1036" s="9">
        <v>34</v>
      </c>
      <c r="E1036" s="9" t="s">
        <v>1804</v>
      </c>
      <c r="F1036" t="s">
        <v>422</v>
      </c>
      <c r="G1036" t="s">
        <v>423</v>
      </c>
      <c r="H1036" t="s">
        <v>1149</v>
      </c>
    </row>
    <row r="1037" spans="1:8" outlineLevel="2" x14ac:dyDescent="0.3">
      <c r="A1037" s="6">
        <v>13</v>
      </c>
      <c r="B1037" t="s">
        <v>853</v>
      </c>
      <c r="C1037" s="9" t="s">
        <v>932</v>
      </c>
      <c r="D1037" s="9">
        <v>12</v>
      </c>
      <c r="E1037" s="9" t="s">
        <v>1804</v>
      </c>
      <c r="F1037" t="s">
        <v>153</v>
      </c>
      <c r="G1037" t="s">
        <v>108</v>
      </c>
      <c r="H1037" t="s">
        <v>1150</v>
      </c>
    </row>
    <row r="1038" spans="1:8" outlineLevel="2" x14ac:dyDescent="0.3">
      <c r="A1038" s="6">
        <v>13</v>
      </c>
      <c r="B1038" t="s">
        <v>853</v>
      </c>
      <c r="C1038" s="9" t="s">
        <v>932</v>
      </c>
      <c r="D1038" s="9">
        <v>18</v>
      </c>
      <c r="E1038" s="9" t="s">
        <v>1804</v>
      </c>
      <c r="F1038" t="s">
        <v>154</v>
      </c>
      <c r="G1038" t="s">
        <v>108</v>
      </c>
      <c r="H1038" t="s">
        <v>1151</v>
      </c>
    </row>
    <row r="1039" spans="1:8" outlineLevel="2" x14ac:dyDescent="0.3">
      <c r="A1039" s="6">
        <v>13</v>
      </c>
      <c r="B1039" t="s">
        <v>853</v>
      </c>
      <c r="C1039" s="9" t="s">
        <v>932</v>
      </c>
      <c r="D1039" s="9">
        <v>18</v>
      </c>
      <c r="E1039" s="9" t="s">
        <v>1804</v>
      </c>
      <c r="F1039" t="s">
        <v>229</v>
      </c>
      <c r="G1039" t="s">
        <v>230</v>
      </c>
      <c r="H1039" t="s">
        <v>1170</v>
      </c>
    </row>
    <row r="1040" spans="1:8" outlineLevel="2" x14ac:dyDescent="0.3">
      <c r="A1040" s="6">
        <v>13</v>
      </c>
      <c r="B1040" t="s">
        <v>853</v>
      </c>
      <c r="C1040" s="9" t="s">
        <v>932</v>
      </c>
      <c r="D1040" s="9">
        <v>24</v>
      </c>
      <c r="E1040" s="9" t="s">
        <v>1804</v>
      </c>
      <c r="F1040" t="s">
        <v>232</v>
      </c>
      <c r="G1040" t="s">
        <v>144</v>
      </c>
      <c r="H1040" t="s">
        <v>1171</v>
      </c>
    </row>
    <row r="1041" spans="1:8" outlineLevel="2" x14ac:dyDescent="0.3">
      <c r="A1041" s="6">
        <v>13</v>
      </c>
      <c r="B1041" t="s">
        <v>853</v>
      </c>
      <c r="C1041" s="9" t="s">
        <v>932</v>
      </c>
      <c r="D1041" s="9">
        <v>25</v>
      </c>
      <c r="E1041" s="9" t="s">
        <v>1804</v>
      </c>
      <c r="F1041" t="s">
        <v>394</v>
      </c>
      <c r="G1041" t="s">
        <v>112</v>
      </c>
      <c r="H1041" t="s">
        <v>1172</v>
      </c>
    </row>
    <row r="1042" spans="1:8" outlineLevel="2" x14ac:dyDescent="0.3">
      <c r="A1042" s="6">
        <v>13</v>
      </c>
      <c r="B1042" t="s">
        <v>853</v>
      </c>
      <c r="C1042" s="9" t="s">
        <v>932</v>
      </c>
      <c r="D1042" s="9">
        <v>18</v>
      </c>
      <c r="E1042" s="9" t="s">
        <v>1804</v>
      </c>
      <c r="F1042" t="s">
        <v>246</v>
      </c>
      <c r="G1042" t="s">
        <v>51</v>
      </c>
      <c r="H1042" t="s">
        <v>1596</v>
      </c>
    </row>
    <row r="1043" spans="1:8" outlineLevel="2" x14ac:dyDescent="0.3">
      <c r="A1043" s="6">
        <v>13</v>
      </c>
      <c r="B1043" t="s">
        <v>853</v>
      </c>
      <c r="C1043" s="9" t="s">
        <v>932</v>
      </c>
      <c r="D1043" s="9">
        <v>37</v>
      </c>
      <c r="E1043" s="9" t="s">
        <v>1804</v>
      </c>
      <c r="F1043" t="s">
        <v>268</v>
      </c>
      <c r="G1043" t="s">
        <v>269</v>
      </c>
      <c r="H1043" t="s">
        <v>1645</v>
      </c>
    </row>
    <row r="1044" spans="1:8" outlineLevel="2" x14ac:dyDescent="0.3">
      <c r="A1044" s="6">
        <v>13</v>
      </c>
      <c r="B1044" t="s">
        <v>853</v>
      </c>
      <c r="C1044" s="9" t="s">
        <v>932</v>
      </c>
      <c r="D1044" s="9">
        <v>26</v>
      </c>
      <c r="E1044" s="9" t="s">
        <v>1804</v>
      </c>
      <c r="F1044" t="s">
        <v>271</v>
      </c>
      <c r="G1044" t="s">
        <v>269</v>
      </c>
      <c r="H1044" t="s">
        <v>1646</v>
      </c>
    </row>
    <row r="1045" spans="1:8" outlineLevel="2" x14ac:dyDescent="0.3">
      <c r="A1045" s="6">
        <v>13</v>
      </c>
      <c r="B1045" t="s">
        <v>853</v>
      </c>
      <c r="C1045" s="9" t="s">
        <v>932</v>
      </c>
      <c r="D1045" s="9">
        <v>24</v>
      </c>
      <c r="E1045" s="9" t="s">
        <v>1804</v>
      </c>
      <c r="F1045" t="s">
        <v>854</v>
      </c>
      <c r="G1045" t="s">
        <v>701</v>
      </c>
      <c r="H1045" t="s">
        <v>1201</v>
      </c>
    </row>
    <row r="1046" spans="1:8" outlineLevel="2" x14ac:dyDescent="0.3">
      <c r="A1046" s="6">
        <v>13</v>
      </c>
      <c r="B1046" t="s">
        <v>853</v>
      </c>
      <c r="C1046" s="9" t="s">
        <v>976</v>
      </c>
      <c r="D1046" s="9">
        <v>60</v>
      </c>
      <c r="E1046" s="9" t="s">
        <v>1804</v>
      </c>
      <c r="F1046" t="s">
        <v>700</v>
      </c>
      <c r="G1046" t="s">
        <v>701</v>
      </c>
      <c r="H1046" t="s">
        <v>1202</v>
      </c>
    </row>
    <row r="1047" spans="1:8" outlineLevel="2" x14ac:dyDescent="0.3">
      <c r="A1047" s="6">
        <v>13</v>
      </c>
      <c r="B1047" t="s">
        <v>853</v>
      </c>
      <c r="C1047" s="9" t="s">
        <v>932</v>
      </c>
      <c r="D1047" s="9">
        <v>45</v>
      </c>
      <c r="E1047" s="9" t="s">
        <v>1804</v>
      </c>
      <c r="F1047" t="s">
        <v>855</v>
      </c>
      <c r="G1047" t="s">
        <v>604</v>
      </c>
      <c r="H1047" t="s">
        <v>1207</v>
      </c>
    </row>
    <row r="1048" spans="1:8" outlineLevel="2" x14ac:dyDescent="0.3">
      <c r="A1048" s="6">
        <v>13</v>
      </c>
      <c r="B1048" t="s">
        <v>853</v>
      </c>
      <c r="C1048" s="9" t="s">
        <v>932</v>
      </c>
      <c r="D1048" s="9">
        <v>24</v>
      </c>
      <c r="E1048" s="9" t="s">
        <v>1804</v>
      </c>
      <c r="F1048" t="s">
        <v>316</v>
      </c>
      <c r="G1048" t="s">
        <v>129</v>
      </c>
      <c r="H1048" t="s">
        <v>1562</v>
      </c>
    </row>
    <row r="1049" spans="1:8" outlineLevel="2" x14ac:dyDescent="0.3">
      <c r="A1049" s="6">
        <v>13</v>
      </c>
      <c r="B1049" t="s">
        <v>853</v>
      </c>
      <c r="C1049" s="9" t="s">
        <v>963</v>
      </c>
      <c r="D1049" s="9">
        <v>70</v>
      </c>
      <c r="E1049" s="9" t="s">
        <v>1804</v>
      </c>
      <c r="F1049" t="s">
        <v>325</v>
      </c>
      <c r="G1049" t="s">
        <v>196</v>
      </c>
      <c r="H1049" t="s">
        <v>1344</v>
      </c>
    </row>
    <row r="1050" spans="1:8" outlineLevel="2" x14ac:dyDescent="0.3">
      <c r="A1050" s="6">
        <v>13</v>
      </c>
      <c r="B1050" t="s">
        <v>853</v>
      </c>
      <c r="C1050" s="9" t="s">
        <v>963</v>
      </c>
      <c r="D1050" s="9">
        <v>72</v>
      </c>
      <c r="E1050" s="9" t="s">
        <v>1804</v>
      </c>
      <c r="F1050" t="s">
        <v>101</v>
      </c>
      <c r="G1050" t="s">
        <v>102</v>
      </c>
      <c r="H1050" t="s">
        <v>1365</v>
      </c>
    </row>
    <row r="1051" spans="1:8" outlineLevel="2" x14ac:dyDescent="0.3">
      <c r="A1051" s="6">
        <v>13</v>
      </c>
      <c r="B1051" t="s">
        <v>853</v>
      </c>
      <c r="C1051" s="9" t="s">
        <v>963</v>
      </c>
      <c r="D1051" s="9">
        <v>60</v>
      </c>
      <c r="E1051" s="9" t="s">
        <v>1804</v>
      </c>
      <c r="F1051" t="s">
        <v>342</v>
      </c>
      <c r="G1051" t="s">
        <v>343</v>
      </c>
      <c r="H1051" t="s">
        <v>1191</v>
      </c>
    </row>
    <row r="1052" spans="1:8" outlineLevel="2" x14ac:dyDescent="0.3">
      <c r="A1052" s="6">
        <v>13</v>
      </c>
      <c r="B1052" t="s">
        <v>853</v>
      </c>
      <c r="C1052" s="9" t="s">
        <v>963</v>
      </c>
      <c r="D1052" s="9">
        <v>60</v>
      </c>
      <c r="E1052" s="9" t="s">
        <v>1804</v>
      </c>
      <c r="F1052" t="s">
        <v>167</v>
      </c>
      <c r="G1052" t="s">
        <v>168</v>
      </c>
      <c r="H1052" t="s">
        <v>1533</v>
      </c>
    </row>
    <row r="1053" spans="1:8" outlineLevel="2" x14ac:dyDescent="0.3">
      <c r="A1053" s="6">
        <v>13</v>
      </c>
      <c r="B1053" t="s">
        <v>853</v>
      </c>
      <c r="C1053" s="9" t="s">
        <v>963</v>
      </c>
      <c r="D1053" s="9">
        <v>60</v>
      </c>
      <c r="E1053" s="9" t="s">
        <v>1804</v>
      </c>
      <c r="F1053" t="s">
        <v>107</v>
      </c>
      <c r="G1053" t="s">
        <v>108</v>
      </c>
      <c r="H1053" t="s">
        <v>1140</v>
      </c>
    </row>
    <row r="1054" spans="1:8" outlineLevel="2" x14ac:dyDescent="0.3">
      <c r="A1054" s="6">
        <v>13</v>
      </c>
      <c r="B1054" t="s">
        <v>853</v>
      </c>
      <c r="C1054" s="9" t="s">
        <v>963</v>
      </c>
      <c r="D1054" s="9">
        <v>60</v>
      </c>
      <c r="E1054" s="9" t="s">
        <v>1804</v>
      </c>
      <c r="F1054" t="s">
        <v>120</v>
      </c>
      <c r="G1054" t="s">
        <v>51</v>
      </c>
      <c r="H1054" t="s">
        <v>1590</v>
      </c>
    </row>
    <row r="1055" spans="1:8" outlineLevel="2" x14ac:dyDescent="0.3">
      <c r="A1055" s="6">
        <v>13</v>
      </c>
      <c r="B1055" t="s">
        <v>853</v>
      </c>
      <c r="C1055" s="9" t="s">
        <v>963</v>
      </c>
      <c r="D1055" s="9">
        <v>60</v>
      </c>
      <c r="E1055" s="9" t="s">
        <v>1804</v>
      </c>
      <c r="F1055" t="s">
        <v>367</v>
      </c>
      <c r="G1055" t="s">
        <v>368</v>
      </c>
      <c r="H1055" t="s">
        <v>1688</v>
      </c>
    </row>
    <row r="1056" spans="1:8" outlineLevel="2" x14ac:dyDescent="0.3">
      <c r="A1056" s="6">
        <v>13</v>
      </c>
      <c r="B1056" t="s">
        <v>853</v>
      </c>
      <c r="C1056" s="9" t="s">
        <v>963</v>
      </c>
      <c r="D1056" s="9">
        <v>60</v>
      </c>
      <c r="E1056" s="9" t="s">
        <v>1804</v>
      </c>
      <c r="F1056" t="s">
        <v>128</v>
      </c>
      <c r="G1056" t="s">
        <v>129</v>
      </c>
      <c r="H1056" t="s">
        <v>1582</v>
      </c>
    </row>
    <row r="1057" spans="1:8" outlineLevel="1" x14ac:dyDescent="0.3">
      <c r="A1057" s="16" t="s">
        <v>2199</v>
      </c>
      <c r="H1057">
        <f>SUBTOTAL(3,H1031:H1056)</f>
        <v>26</v>
      </c>
    </row>
    <row r="1058" spans="1:8" outlineLevel="2" x14ac:dyDescent="0.3">
      <c r="A1058" s="6">
        <v>14</v>
      </c>
      <c r="B1058" t="s">
        <v>852</v>
      </c>
      <c r="C1058" s="9" t="s">
        <v>932</v>
      </c>
      <c r="D1058" s="9">
        <v>30</v>
      </c>
      <c r="E1058" s="9" t="s">
        <v>1804</v>
      </c>
      <c r="F1058" t="s">
        <v>498</v>
      </c>
      <c r="G1058" t="s">
        <v>499</v>
      </c>
      <c r="H1058" t="s">
        <v>1695</v>
      </c>
    </row>
    <row r="1059" spans="1:8" outlineLevel="2" x14ac:dyDescent="0.3">
      <c r="A1059" s="6">
        <v>14</v>
      </c>
      <c r="B1059" t="s">
        <v>852</v>
      </c>
      <c r="C1059" s="9" t="s">
        <v>932</v>
      </c>
      <c r="D1059" s="9">
        <v>36</v>
      </c>
      <c r="E1059" s="9" t="s">
        <v>1804</v>
      </c>
      <c r="F1059" t="s">
        <v>28</v>
      </c>
      <c r="G1059" t="s">
        <v>29</v>
      </c>
      <c r="H1059" t="s">
        <v>1180</v>
      </c>
    </row>
    <row r="1060" spans="1:8" outlineLevel="2" x14ac:dyDescent="0.3">
      <c r="A1060" s="6">
        <v>14</v>
      </c>
      <c r="B1060" t="s">
        <v>852</v>
      </c>
      <c r="C1060" s="9" t="s">
        <v>932</v>
      </c>
      <c r="D1060" s="9">
        <v>27</v>
      </c>
      <c r="E1060" s="9" t="s">
        <v>1804</v>
      </c>
      <c r="F1060" t="s">
        <v>218</v>
      </c>
      <c r="G1060" t="s">
        <v>168</v>
      </c>
      <c r="H1060" t="s">
        <v>1443</v>
      </c>
    </row>
    <row r="1061" spans="1:8" outlineLevel="2" x14ac:dyDescent="0.3">
      <c r="A1061" s="6">
        <v>14</v>
      </c>
      <c r="B1061" t="s">
        <v>852</v>
      </c>
      <c r="C1061" s="9" t="s">
        <v>932</v>
      </c>
      <c r="D1061" s="9">
        <v>33</v>
      </c>
      <c r="E1061" s="9" t="s">
        <v>1804</v>
      </c>
      <c r="F1061" t="s">
        <v>390</v>
      </c>
      <c r="G1061" t="s">
        <v>391</v>
      </c>
      <c r="H1061" t="s">
        <v>1449</v>
      </c>
    </row>
    <row r="1062" spans="1:8" outlineLevel="2" x14ac:dyDescent="0.3">
      <c r="A1062" s="6">
        <v>14</v>
      </c>
      <c r="B1062" t="s">
        <v>852</v>
      </c>
      <c r="C1062" s="9" t="s">
        <v>932</v>
      </c>
      <c r="D1062" s="9">
        <v>15</v>
      </c>
      <c r="E1062" s="9" t="s">
        <v>1804</v>
      </c>
      <c r="F1062" t="s">
        <v>814</v>
      </c>
      <c r="G1062" t="s">
        <v>812</v>
      </c>
      <c r="H1062" t="s">
        <v>1455</v>
      </c>
    </row>
    <row r="1063" spans="1:8" outlineLevel="2" x14ac:dyDescent="0.3">
      <c r="A1063" s="6">
        <v>14</v>
      </c>
      <c r="B1063" t="s">
        <v>852</v>
      </c>
      <c r="C1063" s="9" t="s">
        <v>932</v>
      </c>
      <c r="D1063" s="9">
        <v>24</v>
      </c>
      <c r="E1063" s="9" t="s">
        <v>1804</v>
      </c>
      <c r="F1063" t="s">
        <v>31</v>
      </c>
      <c r="G1063" t="s">
        <v>32</v>
      </c>
      <c r="H1063" t="s">
        <v>1483</v>
      </c>
    </row>
    <row r="1064" spans="1:8" outlineLevel="2" x14ac:dyDescent="0.3">
      <c r="A1064" s="6">
        <v>14</v>
      </c>
      <c r="B1064" t="s">
        <v>852</v>
      </c>
      <c r="C1064" s="9" t="s">
        <v>932</v>
      </c>
      <c r="D1064" s="9">
        <v>21</v>
      </c>
      <c r="E1064" s="9" t="s">
        <v>1804</v>
      </c>
      <c r="F1064" t="s">
        <v>34</v>
      </c>
      <c r="G1064" t="s">
        <v>32</v>
      </c>
      <c r="H1064" t="s">
        <v>1485</v>
      </c>
    </row>
    <row r="1065" spans="1:8" outlineLevel="2" x14ac:dyDescent="0.3">
      <c r="A1065" s="6">
        <v>14</v>
      </c>
      <c r="B1065" t="s">
        <v>852</v>
      </c>
      <c r="C1065" s="9" t="s">
        <v>932</v>
      </c>
      <c r="D1065" s="9">
        <v>30</v>
      </c>
      <c r="E1065" s="9" t="s">
        <v>1804</v>
      </c>
      <c r="F1065" t="s">
        <v>35</v>
      </c>
      <c r="G1065" t="s">
        <v>32</v>
      </c>
      <c r="H1065" t="s">
        <v>1489</v>
      </c>
    </row>
    <row r="1066" spans="1:8" outlineLevel="2" x14ac:dyDescent="0.3">
      <c r="A1066" s="6">
        <v>14</v>
      </c>
      <c r="B1066" t="s">
        <v>852</v>
      </c>
      <c r="C1066" s="9" t="s">
        <v>932</v>
      </c>
      <c r="D1066" s="9">
        <v>27</v>
      </c>
      <c r="E1066" s="9" t="s">
        <v>1804</v>
      </c>
      <c r="F1066" t="s">
        <v>40</v>
      </c>
      <c r="G1066" t="s">
        <v>41</v>
      </c>
      <c r="H1066" t="s">
        <v>1169</v>
      </c>
    </row>
    <row r="1067" spans="1:8" outlineLevel="2" x14ac:dyDescent="0.3">
      <c r="A1067" s="6">
        <v>14</v>
      </c>
      <c r="B1067" t="s">
        <v>852</v>
      </c>
      <c r="C1067" s="9" t="s">
        <v>932</v>
      </c>
      <c r="D1067" s="9">
        <v>24</v>
      </c>
      <c r="E1067" s="9" t="s">
        <v>1804</v>
      </c>
      <c r="F1067" t="s">
        <v>232</v>
      </c>
      <c r="G1067" t="s">
        <v>144</v>
      </c>
      <c r="H1067" t="s">
        <v>1171</v>
      </c>
    </row>
    <row r="1068" spans="1:8" outlineLevel="2" x14ac:dyDescent="0.3">
      <c r="A1068" s="6">
        <v>14</v>
      </c>
      <c r="B1068" t="s">
        <v>852</v>
      </c>
      <c r="C1068" s="9" t="s">
        <v>932</v>
      </c>
      <c r="D1068" s="9">
        <v>12</v>
      </c>
      <c r="E1068" s="9" t="s">
        <v>1804</v>
      </c>
      <c r="F1068" t="s">
        <v>233</v>
      </c>
      <c r="G1068" t="s">
        <v>112</v>
      </c>
      <c r="H1068" t="s">
        <v>1146</v>
      </c>
    </row>
    <row r="1069" spans="1:8" outlineLevel="2" x14ac:dyDescent="0.3">
      <c r="A1069" s="6">
        <v>14</v>
      </c>
      <c r="B1069" t="s">
        <v>852</v>
      </c>
      <c r="C1069" s="9" t="s">
        <v>932</v>
      </c>
      <c r="D1069" s="9">
        <v>24</v>
      </c>
      <c r="E1069" s="9" t="s">
        <v>1804</v>
      </c>
      <c r="F1069" t="s">
        <v>427</v>
      </c>
      <c r="G1069" t="s">
        <v>428</v>
      </c>
      <c r="H1069" t="s">
        <v>1054</v>
      </c>
    </row>
    <row r="1070" spans="1:8" outlineLevel="2" x14ac:dyDescent="0.3">
      <c r="A1070" s="6">
        <v>14</v>
      </c>
      <c r="B1070" t="s">
        <v>852</v>
      </c>
      <c r="C1070" s="9" t="s">
        <v>932</v>
      </c>
      <c r="D1070" s="9">
        <v>15</v>
      </c>
      <c r="E1070" s="9" t="s">
        <v>1804</v>
      </c>
      <c r="F1070" t="s">
        <v>515</v>
      </c>
      <c r="G1070" t="s">
        <v>238</v>
      </c>
      <c r="H1070" t="s">
        <v>1064</v>
      </c>
    </row>
    <row r="1071" spans="1:8" outlineLevel="2" x14ac:dyDescent="0.3">
      <c r="A1071" s="6">
        <v>14</v>
      </c>
      <c r="B1071" t="s">
        <v>852</v>
      </c>
      <c r="C1071" s="9" t="s">
        <v>932</v>
      </c>
      <c r="D1071" s="9">
        <v>24</v>
      </c>
      <c r="E1071" s="9" t="s">
        <v>1804</v>
      </c>
      <c r="F1071" t="s">
        <v>553</v>
      </c>
      <c r="G1071" t="s">
        <v>238</v>
      </c>
      <c r="H1071" t="s">
        <v>1066</v>
      </c>
    </row>
    <row r="1072" spans="1:8" outlineLevel="2" x14ac:dyDescent="0.3">
      <c r="A1072" s="6">
        <v>14</v>
      </c>
      <c r="B1072" t="s">
        <v>852</v>
      </c>
      <c r="C1072" s="9" t="s">
        <v>932</v>
      </c>
      <c r="D1072" s="9">
        <v>18</v>
      </c>
      <c r="E1072" s="9" t="s">
        <v>1804</v>
      </c>
      <c r="F1072" t="s">
        <v>246</v>
      </c>
      <c r="G1072" t="s">
        <v>51</v>
      </c>
      <c r="H1072" t="s">
        <v>1596</v>
      </c>
    </row>
    <row r="1073" spans="1:8" outlineLevel="2" x14ac:dyDescent="0.3">
      <c r="A1073" s="6">
        <v>14</v>
      </c>
      <c r="B1073" t="s">
        <v>852</v>
      </c>
      <c r="C1073" s="9" t="s">
        <v>932</v>
      </c>
      <c r="D1073" s="9">
        <v>14</v>
      </c>
      <c r="E1073" s="9" t="s">
        <v>1804</v>
      </c>
      <c r="F1073" t="s">
        <v>557</v>
      </c>
      <c r="G1073" t="s">
        <v>54</v>
      </c>
      <c r="H1073" t="s">
        <v>1602</v>
      </c>
    </row>
    <row r="1074" spans="1:8" outlineLevel="2" x14ac:dyDescent="0.3">
      <c r="A1074" s="6">
        <v>14</v>
      </c>
      <c r="B1074" t="s">
        <v>852</v>
      </c>
      <c r="C1074" s="9" t="s">
        <v>932</v>
      </c>
      <c r="D1074" s="9">
        <v>18</v>
      </c>
      <c r="E1074" s="9" t="s">
        <v>1804</v>
      </c>
      <c r="F1074" t="s">
        <v>629</v>
      </c>
      <c r="G1074" t="s">
        <v>630</v>
      </c>
      <c r="H1074" t="s">
        <v>1198</v>
      </c>
    </row>
    <row r="1075" spans="1:8" outlineLevel="2" x14ac:dyDescent="0.3">
      <c r="A1075" s="6">
        <v>14</v>
      </c>
      <c r="B1075" t="s">
        <v>852</v>
      </c>
      <c r="C1075" s="9" t="s">
        <v>932</v>
      </c>
      <c r="D1075" s="9">
        <v>24</v>
      </c>
      <c r="E1075" s="9" t="s">
        <v>1804</v>
      </c>
      <c r="F1075" t="s">
        <v>437</v>
      </c>
      <c r="G1075" t="s">
        <v>438</v>
      </c>
      <c r="H1075" t="s">
        <v>1642</v>
      </c>
    </row>
    <row r="1076" spans="1:8" outlineLevel="2" x14ac:dyDescent="0.3">
      <c r="A1076" s="6">
        <v>14</v>
      </c>
      <c r="B1076" t="s">
        <v>852</v>
      </c>
      <c r="C1076" s="9" t="s">
        <v>932</v>
      </c>
      <c r="D1076" s="9">
        <v>19</v>
      </c>
      <c r="E1076" s="9" t="s">
        <v>1804</v>
      </c>
      <c r="F1076" t="s">
        <v>265</v>
      </c>
      <c r="G1076" t="s">
        <v>266</v>
      </c>
      <c r="H1076" t="s">
        <v>1337</v>
      </c>
    </row>
    <row r="1077" spans="1:8" outlineLevel="2" x14ac:dyDescent="0.3">
      <c r="A1077" s="6">
        <v>14</v>
      </c>
      <c r="B1077" t="s">
        <v>852</v>
      </c>
      <c r="C1077" s="9" t="s">
        <v>932</v>
      </c>
      <c r="D1077" s="9">
        <v>24</v>
      </c>
      <c r="E1077" s="9" t="s">
        <v>1804</v>
      </c>
      <c r="F1077" t="s">
        <v>316</v>
      </c>
      <c r="G1077" t="s">
        <v>129</v>
      </c>
      <c r="H1077" t="s">
        <v>1562</v>
      </c>
    </row>
    <row r="1078" spans="1:8" outlineLevel="2" x14ac:dyDescent="0.3">
      <c r="A1078" s="6">
        <v>14</v>
      </c>
      <c r="B1078" t="s">
        <v>852</v>
      </c>
      <c r="C1078" s="9" t="s">
        <v>932</v>
      </c>
      <c r="D1078" s="9">
        <v>9</v>
      </c>
      <c r="E1078" s="9" t="s">
        <v>1804</v>
      </c>
      <c r="F1078" t="s">
        <v>574</v>
      </c>
      <c r="G1078" t="s">
        <v>129</v>
      </c>
      <c r="H1078" t="s">
        <v>1563</v>
      </c>
    </row>
    <row r="1079" spans="1:8" outlineLevel="2" x14ac:dyDescent="0.3">
      <c r="A1079" s="6">
        <v>14</v>
      </c>
      <c r="B1079" t="s">
        <v>852</v>
      </c>
      <c r="C1079" s="9" t="s">
        <v>963</v>
      </c>
      <c r="D1079" s="9">
        <v>88</v>
      </c>
      <c r="E1079" s="9" t="s">
        <v>1804</v>
      </c>
      <c r="F1079" t="s">
        <v>84</v>
      </c>
      <c r="G1079" t="s">
        <v>85</v>
      </c>
      <c r="H1079" t="s">
        <v>1342</v>
      </c>
    </row>
    <row r="1080" spans="1:8" outlineLevel="2" x14ac:dyDescent="0.3">
      <c r="A1080" s="6">
        <v>14</v>
      </c>
      <c r="B1080" t="s">
        <v>852</v>
      </c>
      <c r="C1080" s="9" t="s">
        <v>963</v>
      </c>
      <c r="D1080" s="9">
        <v>60</v>
      </c>
      <c r="E1080" s="9" t="s">
        <v>1804</v>
      </c>
      <c r="F1080" t="s">
        <v>612</v>
      </c>
      <c r="G1080" t="s">
        <v>613</v>
      </c>
      <c r="H1080" t="s">
        <v>1343</v>
      </c>
    </row>
    <row r="1081" spans="1:8" outlineLevel="2" x14ac:dyDescent="0.3">
      <c r="A1081" s="6">
        <v>14</v>
      </c>
      <c r="B1081" t="s">
        <v>852</v>
      </c>
      <c r="C1081" s="9" t="s">
        <v>963</v>
      </c>
      <c r="D1081" s="9">
        <v>74</v>
      </c>
      <c r="E1081" s="9" t="s">
        <v>1804</v>
      </c>
      <c r="F1081" t="s">
        <v>458</v>
      </c>
      <c r="G1081" t="s">
        <v>459</v>
      </c>
      <c r="H1081" t="s">
        <v>1347</v>
      </c>
    </row>
    <row r="1082" spans="1:8" outlineLevel="2" x14ac:dyDescent="0.3">
      <c r="A1082" s="6">
        <v>14</v>
      </c>
      <c r="B1082" t="s">
        <v>852</v>
      </c>
      <c r="C1082" s="9" t="s">
        <v>963</v>
      </c>
      <c r="D1082" s="9">
        <v>74</v>
      </c>
      <c r="E1082" s="9" t="s">
        <v>1804</v>
      </c>
      <c r="F1082" t="s">
        <v>87</v>
      </c>
      <c r="G1082" t="s">
        <v>88</v>
      </c>
      <c r="H1082" t="s">
        <v>1349</v>
      </c>
    </row>
    <row r="1083" spans="1:8" outlineLevel="2" x14ac:dyDescent="0.3">
      <c r="A1083" s="6">
        <v>14</v>
      </c>
      <c r="B1083" t="s">
        <v>852</v>
      </c>
      <c r="C1083" s="9" t="s">
        <v>963</v>
      </c>
      <c r="D1083" s="9">
        <v>77</v>
      </c>
      <c r="E1083" s="9" t="s">
        <v>1804</v>
      </c>
      <c r="F1083" t="s">
        <v>91</v>
      </c>
      <c r="G1083" t="s">
        <v>92</v>
      </c>
      <c r="H1083" t="s">
        <v>1353</v>
      </c>
    </row>
    <row r="1084" spans="1:8" outlineLevel="2" x14ac:dyDescent="0.3">
      <c r="A1084" s="6">
        <v>14</v>
      </c>
      <c r="B1084" t="s">
        <v>852</v>
      </c>
      <c r="C1084" s="9" t="s">
        <v>963</v>
      </c>
      <c r="D1084" s="9">
        <v>72</v>
      </c>
      <c r="E1084" s="9" t="s">
        <v>1804</v>
      </c>
      <c r="F1084" t="s">
        <v>101</v>
      </c>
      <c r="G1084" t="s">
        <v>102</v>
      </c>
      <c r="H1084" t="s">
        <v>1365</v>
      </c>
    </row>
    <row r="1085" spans="1:8" outlineLevel="2" x14ac:dyDescent="0.3">
      <c r="A1085" s="6">
        <v>14</v>
      </c>
      <c r="B1085" t="s">
        <v>852</v>
      </c>
      <c r="C1085" s="9" t="s">
        <v>963</v>
      </c>
      <c r="D1085" s="9">
        <v>60</v>
      </c>
      <c r="E1085" s="9" t="s">
        <v>1804</v>
      </c>
      <c r="F1085" t="s">
        <v>400</v>
      </c>
      <c r="G1085" t="s">
        <v>401</v>
      </c>
      <c r="H1085" t="s">
        <v>1185</v>
      </c>
    </row>
    <row r="1086" spans="1:8" outlineLevel="2" x14ac:dyDescent="0.3">
      <c r="A1086" s="6">
        <v>14</v>
      </c>
      <c r="B1086" t="s">
        <v>852</v>
      </c>
      <c r="C1086" s="9" t="s">
        <v>963</v>
      </c>
      <c r="D1086" s="9">
        <v>60</v>
      </c>
      <c r="E1086" s="9" t="s">
        <v>1804</v>
      </c>
      <c r="F1086" t="s">
        <v>167</v>
      </c>
      <c r="G1086" t="s">
        <v>168</v>
      </c>
      <c r="H1086" t="s">
        <v>1533</v>
      </c>
    </row>
    <row r="1087" spans="1:8" outlineLevel="2" x14ac:dyDescent="0.3">
      <c r="A1087" s="6">
        <v>14</v>
      </c>
      <c r="B1087" t="s">
        <v>852</v>
      </c>
      <c r="C1087" s="9" t="s">
        <v>963</v>
      </c>
      <c r="D1087" s="9">
        <v>60</v>
      </c>
      <c r="E1087" s="9" t="s">
        <v>1804</v>
      </c>
      <c r="F1087" t="s">
        <v>170</v>
      </c>
      <c r="G1087" t="s">
        <v>171</v>
      </c>
      <c r="H1087" t="s">
        <v>1535</v>
      </c>
    </row>
    <row r="1088" spans="1:8" outlineLevel="2" x14ac:dyDescent="0.3">
      <c r="A1088" s="6">
        <v>14</v>
      </c>
      <c r="B1088" t="s">
        <v>852</v>
      </c>
      <c r="C1088" s="9" t="s">
        <v>963</v>
      </c>
      <c r="D1088" s="9">
        <v>60</v>
      </c>
      <c r="E1088" s="9" t="s">
        <v>1804</v>
      </c>
      <c r="F1088" t="s">
        <v>106</v>
      </c>
      <c r="G1088" t="s">
        <v>32</v>
      </c>
      <c r="H1088" t="s">
        <v>1537</v>
      </c>
    </row>
    <row r="1089" spans="1:8" outlineLevel="2" x14ac:dyDescent="0.3">
      <c r="A1089" s="6">
        <v>14</v>
      </c>
      <c r="B1089" t="s">
        <v>852</v>
      </c>
      <c r="C1089" s="9" t="s">
        <v>963</v>
      </c>
      <c r="D1089" s="9">
        <v>60</v>
      </c>
      <c r="E1089" s="9" t="s">
        <v>1804</v>
      </c>
      <c r="F1089" t="s">
        <v>751</v>
      </c>
      <c r="G1089" t="s">
        <v>752</v>
      </c>
      <c r="H1089" t="s">
        <v>1540</v>
      </c>
    </row>
    <row r="1090" spans="1:8" outlineLevel="2" x14ac:dyDescent="0.3">
      <c r="A1090" s="6">
        <v>14</v>
      </c>
      <c r="B1090" t="s">
        <v>852</v>
      </c>
      <c r="C1090" s="9" t="s">
        <v>963</v>
      </c>
      <c r="D1090" s="9">
        <v>60</v>
      </c>
      <c r="E1090" s="9" t="s">
        <v>1804</v>
      </c>
      <c r="F1090" t="s">
        <v>107</v>
      </c>
      <c r="G1090" t="s">
        <v>108</v>
      </c>
      <c r="H1090" t="s">
        <v>1140</v>
      </c>
    </row>
    <row r="1091" spans="1:8" outlineLevel="2" x14ac:dyDescent="0.3">
      <c r="A1091" s="6">
        <v>14</v>
      </c>
      <c r="B1091" t="s">
        <v>852</v>
      </c>
      <c r="C1091" s="9" t="s">
        <v>963</v>
      </c>
      <c r="D1091" s="9">
        <v>60</v>
      </c>
      <c r="E1091" s="9" t="s">
        <v>1804</v>
      </c>
      <c r="F1091" t="s">
        <v>111</v>
      </c>
      <c r="G1091" t="s">
        <v>112</v>
      </c>
      <c r="H1091" t="s">
        <v>1146</v>
      </c>
    </row>
    <row r="1092" spans="1:8" outlineLevel="2" x14ac:dyDescent="0.3">
      <c r="A1092" s="6">
        <v>14</v>
      </c>
      <c r="B1092" t="s">
        <v>852</v>
      </c>
      <c r="C1092" s="9" t="s">
        <v>963</v>
      </c>
      <c r="D1092" s="9">
        <v>64</v>
      </c>
      <c r="E1092" s="9" t="s">
        <v>1804</v>
      </c>
      <c r="F1092" t="s">
        <v>583</v>
      </c>
      <c r="G1092" t="s">
        <v>238</v>
      </c>
      <c r="H1092" t="s">
        <v>1122</v>
      </c>
    </row>
    <row r="1093" spans="1:8" outlineLevel="2" x14ac:dyDescent="0.3">
      <c r="A1093" s="6">
        <v>14</v>
      </c>
      <c r="B1093" t="s">
        <v>852</v>
      </c>
      <c r="C1093" s="9" t="s">
        <v>963</v>
      </c>
      <c r="D1093" s="9">
        <v>60</v>
      </c>
      <c r="E1093" s="9" t="s">
        <v>1804</v>
      </c>
      <c r="F1093" t="s">
        <v>120</v>
      </c>
      <c r="G1093" t="s">
        <v>51</v>
      </c>
      <c r="H1093" t="s">
        <v>1590</v>
      </c>
    </row>
    <row r="1094" spans="1:8" outlineLevel="2" x14ac:dyDescent="0.3">
      <c r="A1094" s="6">
        <v>14</v>
      </c>
      <c r="B1094" t="s">
        <v>852</v>
      </c>
      <c r="C1094" s="9" t="s">
        <v>963</v>
      </c>
      <c r="D1094" s="9">
        <v>61</v>
      </c>
      <c r="E1094" s="9" t="s">
        <v>1804</v>
      </c>
      <c r="F1094" t="s">
        <v>848</v>
      </c>
      <c r="G1094" t="s">
        <v>266</v>
      </c>
      <c r="H1094" t="s">
        <v>1844</v>
      </c>
    </row>
    <row r="1095" spans="1:8" outlineLevel="2" x14ac:dyDescent="0.3">
      <c r="A1095" s="6">
        <v>14</v>
      </c>
      <c r="B1095" t="s">
        <v>852</v>
      </c>
      <c r="C1095" s="9" t="s">
        <v>963</v>
      </c>
      <c r="D1095" s="9">
        <v>60</v>
      </c>
      <c r="E1095" s="9" t="s">
        <v>1804</v>
      </c>
      <c r="F1095" t="s">
        <v>644</v>
      </c>
      <c r="G1095" t="s">
        <v>645</v>
      </c>
      <c r="H1095" t="s">
        <v>1023</v>
      </c>
    </row>
    <row r="1096" spans="1:8" outlineLevel="2" x14ac:dyDescent="0.3">
      <c r="A1096" s="6">
        <v>14</v>
      </c>
      <c r="B1096" t="s">
        <v>852</v>
      </c>
      <c r="C1096" s="9" t="s">
        <v>963</v>
      </c>
      <c r="D1096" s="9">
        <v>64</v>
      </c>
      <c r="E1096" s="9" t="s">
        <v>1804</v>
      </c>
      <c r="F1096" t="s">
        <v>586</v>
      </c>
      <c r="G1096" t="s">
        <v>63</v>
      </c>
      <c r="H1096" t="s">
        <v>1126</v>
      </c>
    </row>
    <row r="1097" spans="1:8" outlineLevel="2" x14ac:dyDescent="0.3">
      <c r="A1097" s="6">
        <v>14</v>
      </c>
      <c r="B1097" t="s">
        <v>852</v>
      </c>
      <c r="C1097" s="9" t="s">
        <v>963</v>
      </c>
      <c r="D1097" s="9">
        <v>64</v>
      </c>
      <c r="E1097" s="9" t="s">
        <v>1804</v>
      </c>
      <c r="F1097" t="s">
        <v>475</v>
      </c>
      <c r="G1097" t="s">
        <v>476</v>
      </c>
      <c r="H1097" t="s">
        <v>1127</v>
      </c>
    </row>
    <row r="1098" spans="1:8" outlineLevel="2" x14ac:dyDescent="0.3">
      <c r="A1098" s="6">
        <v>14</v>
      </c>
      <c r="B1098" t="s">
        <v>852</v>
      </c>
      <c r="C1098" s="9" t="s">
        <v>963</v>
      </c>
      <c r="D1098" s="9">
        <v>64</v>
      </c>
      <c r="E1098" s="9" t="s">
        <v>1804</v>
      </c>
      <c r="F1098" t="s">
        <v>125</v>
      </c>
      <c r="G1098" t="s">
        <v>126</v>
      </c>
      <c r="H1098" t="s">
        <v>1581</v>
      </c>
    </row>
    <row r="1099" spans="1:8" outlineLevel="2" x14ac:dyDescent="0.3">
      <c r="A1099" s="6">
        <v>14</v>
      </c>
      <c r="B1099" t="s">
        <v>852</v>
      </c>
      <c r="C1099" s="9" t="s">
        <v>963</v>
      </c>
      <c r="D1099" s="9">
        <v>60</v>
      </c>
      <c r="E1099" s="9" t="s">
        <v>1804</v>
      </c>
      <c r="F1099" t="s">
        <v>128</v>
      </c>
      <c r="G1099" t="s">
        <v>129</v>
      </c>
      <c r="H1099" t="s">
        <v>1582</v>
      </c>
    </row>
    <row r="1100" spans="1:8" outlineLevel="1" x14ac:dyDescent="0.3">
      <c r="A1100" s="16" t="s">
        <v>2200</v>
      </c>
      <c r="H1100">
        <f>SUBTOTAL(3,H1058:H1099)</f>
        <v>42</v>
      </c>
    </row>
    <row r="1101" spans="1:8" outlineLevel="2" x14ac:dyDescent="0.3">
      <c r="A1101" s="6">
        <v>15</v>
      </c>
      <c r="B1101" t="s">
        <v>807</v>
      </c>
      <c r="C1101" s="9" t="s">
        <v>932</v>
      </c>
      <c r="D1101" s="9">
        <v>12</v>
      </c>
      <c r="E1101" s="9" t="s">
        <v>1804</v>
      </c>
      <c r="F1101" t="s">
        <v>530</v>
      </c>
      <c r="G1101" t="s">
        <v>531</v>
      </c>
      <c r="H1101" t="s">
        <v>938</v>
      </c>
    </row>
    <row r="1102" spans="1:8" outlineLevel="2" x14ac:dyDescent="0.3">
      <c r="A1102" s="6">
        <v>15</v>
      </c>
      <c r="B1102" t="s">
        <v>807</v>
      </c>
      <c r="C1102" s="9" t="s">
        <v>932</v>
      </c>
      <c r="D1102" s="9">
        <v>18</v>
      </c>
      <c r="E1102" s="9" t="s">
        <v>1804</v>
      </c>
      <c r="F1102" t="s">
        <v>533</v>
      </c>
      <c r="G1102" t="s">
        <v>531</v>
      </c>
      <c r="H1102" t="s">
        <v>939</v>
      </c>
    </row>
    <row r="1103" spans="1:8" outlineLevel="2" x14ac:dyDescent="0.3">
      <c r="A1103" s="6">
        <v>15</v>
      </c>
      <c r="B1103" t="s">
        <v>807</v>
      </c>
      <c r="C1103" s="9" t="s">
        <v>932</v>
      </c>
      <c r="D1103" s="9">
        <v>12</v>
      </c>
      <c r="E1103" s="9" t="s">
        <v>1804</v>
      </c>
      <c r="F1103" t="s">
        <v>143</v>
      </c>
      <c r="G1103" t="s">
        <v>144</v>
      </c>
      <c r="H1103" t="s">
        <v>1694</v>
      </c>
    </row>
    <row r="1104" spans="1:8" outlineLevel="2" x14ac:dyDescent="0.3">
      <c r="A1104" s="6">
        <v>15</v>
      </c>
      <c r="B1104" t="s">
        <v>807</v>
      </c>
      <c r="C1104" s="9" t="s">
        <v>932</v>
      </c>
      <c r="D1104" s="9">
        <v>31</v>
      </c>
      <c r="E1104" s="9" t="s">
        <v>1804</v>
      </c>
      <c r="F1104" t="s">
        <v>757</v>
      </c>
      <c r="G1104" t="s">
        <v>758</v>
      </c>
      <c r="H1104" t="s">
        <v>1226</v>
      </c>
    </row>
    <row r="1105" spans="1:8" outlineLevel="2" x14ac:dyDescent="0.3">
      <c r="A1105" s="6">
        <v>15</v>
      </c>
      <c r="B1105" t="s">
        <v>807</v>
      </c>
      <c r="C1105" s="9" t="s">
        <v>932</v>
      </c>
      <c r="D1105" s="9">
        <v>27</v>
      </c>
      <c r="E1105" s="9" t="s">
        <v>1804</v>
      </c>
      <c r="F1105" t="s">
        <v>381</v>
      </c>
      <c r="G1105" t="s">
        <v>382</v>
      </c>
      <c r="H1105" t="s">
        <v>1230</v>
      </c>
    </row>
    <row r="1106" spans="1:8" outlineLevel="2" x14ac:dyDescent="0.3">
      <c r="A1106" s="6">
        <v>15</v>
      </c>
      <c r="B1106" t="s">
        <v>807</v>
      </c>
      <c r="C1106" s="9" t="s">
        <v>932</v>
      </c>
      <c r="D1106" s="9">
        <v>18</v>
      </c>
      <c r="E1106" s="9" t="s">
        <v>1804</v>
      </c>
      <c r="F1106" t="s">
        <v>808</v>
      </c>
      <c r="G1106" t="s">
        <v>382</v>
      </c>
      <c r="H1106" t="s">
        <v>1231</v>
      </c>
    </row>
    <row r="1107" spans="1:8" outlineLevel="2" x14ac:dyDescent="0.3">
      <c r="A1107" s="6">
        <v>15</v>
      </c>
      <c r="B1107" t="s">
        <v>807</v>
      </c>
      <c r="C1107" s="9" t="s">
        <v>932</v>
      </c>
      <c r="D1107" s="9">
        <v>12</v>
      </c>
      <c r="E1107" s="9" t="s">
        <v>1804</v>
      </c>
      <c r="F1107" t="s">
        <v>771</v>
      </c>
      <c r="G1107" t="s">
        <v>382</v>
      </c>
      <c r="H1107" t="s">
        <v>1232</v>
      </c>
    </row>
    <row r="1108" spans="1:8" outlineLevel="2" x14ac:dyDescent="0.3">
      <c r="A1108" s="6">
        <v>15</v>
      </c>
      <c r="B1108" t="s">
        <v>807</v>
      </c>
      <c r="C1108" s="9" t="s">
        <v>932</v>
      </c>
      <c r="D1108" s="9">
        <v>13</v>
      </c>
      <c r="E1108" s="9" t="s">
        <v>1804</v>
      </c>
      <c r="F1108" t="s">
        <v>150</v>
      </c>
      <c r="G1108" t="s">
        <v>147</v>
      </c>
      <c r="H1108" t="s">
        <v>1379</v>
      </c>
    </row>
    <row r="1109" spans="1:8" outlineLevel="2" x14ac:dyDescent="0.3">
      <c r="A1109" s="6">
        <v>15</v>
      </c>
      <c r="B1109" t="s">
        <v>807</v>
      </c>
      <c r="C1109" s="9" t="s">
        <v>932</v>
      </c>
      <c r="D1109" s="9">
        <v>19</v>
      </c>
      <c r="E1109" s="9" t="s">
        <v>1804</v>
      </c>
      <c r="F1109" t="s">
        <v>151</v>
      </c>
      <c r="G1109" t="s">
        <v>147</v>
      </c>
      <c r="H1109" t="s">
        <v>1380</v>
      </c>
    </row>
    <row r="1110" spans="1:8" outlineLevel="2" x14ac:dyDescent="0.3">
      <c r="A1110" s="6">
        <v>15</v>
      </c>
      <c r="B1110" t="s">
        <v>807</v>
      </c>
      <c r="C1110" s="9" t="s">
        <v>932</v>
      </c>
      <c r="D1110" s="9">
        <v>30</v>
      </c>
      <c r="E1110" s="9" t="s">
        <v>1804</v>
      </c>
      <c r="F1110" t="s">
        <v>176</v>
      </c>
      <c r="G1110" t="s">
        <v>177</v>
      </c>
      <c r="H1110" t="s">
        <v>1381</v>
      </c>
    </row>
    <row r="1111" spans="1:8" outlineLevel="2" x14ac:dyDescent="0.3">
      <c r="A1111" s="6">
        <v>15</v>
      </c>
      <c r="B1111" t="s">
        <v>807</v>
      </c>
      <c r="C1111" s="9" t="s">
        <v>932</v>
      </c>
      <c r="D1111" s="9">
        <v>12</v>
      </c>
      <c r="E1111" s="9" t="s">
        <v>1804</v>
      </c>
      <c r="F1111" t="s">
        <v>663</v>
      </c>
      <c r="G1111" t="s">
        <v>177</v>
      </c>
      <c r="H1111" t="s">
        <v>1382</v>
      </c>
    </row>
    <row r="1112" spans="1:8" outlineLevel="2" x14ac:dyDescent="0.3">
      <c r="A1112" s="6">
        <v>15</v>
      </c>
      <c r="B1112" t="s">
        <v>807</v>
      </c>
      <c r="C1112" s="9" t="s">
        <v>932</v>
      </c>
      <c r="D1112" s="9">
        <v>18</v>
      </c>
      <c r="E1112" s="9" t="s">
        <v>1804</v>
      </c>
      <c r="F1112" t="s">
        <v>535</v>
      </c>
      <c r="G1112" t="s">
        <v>177</v>
      </c>
      <c r="H1112" t="s">
        <v>1383</v>
      </c>
    </row>
    <row r="1113" spans="1:8" outlineLevel="2" x14ac:dyDescent="0.3">
      <c r="A1113" s="6">
        <v>15</v>
      </c>
      <c r="B1113" t="s">
        <v>807</v>
      </c>
      <c r="C1113" s="9" t="s">
        <v>932</v>
      </c>
      <c r="D1113" s="9">
        <v>30</v>
      </c>
      <c r="E1113" s="9" t="s">
        <v>1804</v>
      </c>
      <c r="F1113" t="s">
        <v>498</v>
      </c>
      <c r="G1113" t="s">
        <v>499</v>
      </c>
      <c r="H1113" t="s">
        <v>1695</v>
      </c>
    </row>
    <row r="1114" spans="1:8" outlineLevel="2" x14ac:dyDescent="0.3">
      <c r="A1114" s="6">
        <v>15</v>
      </c>
      <c r="B1114" t="s">
        <v>807</v>
      </c>
      <c r="C1114" s="9" t="s">
        <v>932</v>
      </c>
      <c r="D1114" s="9">
        <v>12</v>
      </c>
      <c r="E1114" s="9" t="s">
        <v>1804</v>
      </c>
      <c r="F1114" t="s">
        <v>809</v>
      </c>
      <c r="G1114" t="s">
        <v>499</v>
      </c>
      <c r="H1114" t="s">
        <v>1696</v>
      </c>
    </row>
    <row r="1115" spans="1:8" outlineLevel="2" x14ac:dyDescent="0.3">
      <c r="A1115" s="6">
        <v>15</v>
      </c>
      <c r="B1115" t="s">
        <v>807</v>
      </c>
      <c r="C1115" s="9" t="s">
        <v>932</v>
      </c>
      <c r="D1115" s="9">
        <v>31</v>
      </c>
      <c r="E1115" s="9" t="s">
        <v>1804</v>
      </c>
      <c r="F1115" t="s">
        <v>189</v>
      </c>
      <c r="G1115" t="s">
        <v>190</v>
      </c>
      <c r="H1115" t="s">
        <v>1251</v>
      </c>
    </row>
    <row r="1116" spans="1:8" outlineLevel="2" x14ac:dyDescent="0.3">
      <c r="A1116" s="6">
        <v>15</v>
      </c>
      <c r="B1116" t="s">
        <v>807</v>
      </c>
      <c r="C1116" s="9" t="s">
        <v>932</v>
      </c>
      <c r="D1116" s="9">
        <v>24</v>
      </c>
      <c r="E1116" s="9" t="s">
        <v>1804</v>
      </c>
      <c r="F1116" t="s">
        <v>195</v>
      </c>
      <c r="G1116" t="s">
        <v>196</v>
      </c>
      <c r="H1116" t="s">
        <v>1263</v>
      </c>
    </row>
    <row r="1117" spans="1:8" outlineLevel="2" x14ac:dyDescent="0.3">
      <c r="A1117" s="6">
        <v>15</v>
      </c>
      <c r="B1117" t="s">
        <v>807</v>
      </c>
      <c r="C1117" s="9" t="s">
        <v>1807</v>
      </c>
      <c r="D1117" s="9">
        <v>1110</v>
      </c>
      <c r="E1117" s="9" t="s">
        <v>1808</v>
      </c>
      <c r="F1117" t="s">
        <v>802</v>
      </c>
      <c r="G1117" t="s">
        <v>196</v>
      </c>
      <c r="H1117" t="s">
        <v>1269</v>
      </c>
    </row>
    <row r="1118" spans="1:8" outlineLevel="2" x14ac:dyDescent="0.3">
      <c r="A1118" s="6">
        <v>15</v>
      </c>
      <c r="B1118" t="s">
        <v>807</v>
      </c>
      <c r="C1118" s="9" t="s">
        <v>1807</v>
      </c>
      <c r="D1118" s="9">
        <v>1300</v>
      </c>
      <c r="E1118" s="9" t="s">
        <v>1808</v>
      </c>
      <c r="F1118" t="s">
        <v>199</v>
      </c>
      <c r="G1118" t="s">
        <v>200</v>
      </c>
      <c r="H1118" t="s">
        <v>1271</v>
      </c>
    </row>
    <row r="1119" spans="1:8" outlineLevel="2" x14ac:dyDescent="0.3">
      <c r="A1119" s="6">
        <v>15</v>
      </c>
      <c r="B1119" t="s">
        <v>807</v>
      </c>
      <c r="C1119" s="9" t="s">
        <v>1807</v>
      </c>
      <c r="D1119" s="9">
        <v>1050</v>
      </c>
      <c r="E1119" s="9" t="s">
        <v>1808</v>
      </c>
      <c r="F1119" t="s">
        <v>203</v>
      </c>
      <c r="G1119" t="s">
        <v>12</v>
      </c>
      <c r="H1119" t="s">
        <v>1821</v>
      </c>
    </row>
    <row r="1120" spans="1:8" outlineLevel="2" x14ac:dyDescent="0.3">
      <c r="A1120" s="6">
        <v>15</v>
      </c>
      <c r="B1120" t="s">
        <v>807</v>
      </c>
      <c r="C1120" s="9" t="s">
        <v>932</v>
      </c>
      <c r="D1120" s="9">
        <v>42</v>
      </c>
      <c r="E1120" s="9" t="s">
        <v>1804</v>
      </c>
      <c r="F1120" t="s">
        <v>14</v>
      </c>
      <c r="G1120" t="s">
        <v>15</v>
      </c>
      <c r="H1120" t="s">
        <v>1290</v>
      </c>
    </row>
    <row r="1121" spans="1:8" outlineLevel="2" x14ac:dyDescent="0.3">
      <c r="A1121" s="6">
        <v>15</v>
      </c>
      <c r="B1121" t="s">
        <v>807</v>
      </c>
      <c r="C1121" s="9" t="s">
        <v>932</v>
      </c>
      <c r="D1121" s="9">
        <v>12</v>
      </c>
      <c r="E1121" s="9" t="s">
        <v>1804</v>
      </c>
      <c r="F1121" t="s">
        <v>204</v>
      </c>
      <c r="G1121" t="s">
        <v>15</v>
      </c>
      <c r="H1121" t="s">
        <v>1292</v>
      </c>
    </row>
    <row r="1122" spans="1:8" outlineLevel="2" x14ac:dyDescent="0.3">
      <c r="A1122" s="6">
        <v>15</v>
      </c>
      <c r="B1122" t="s">
        <v>807</v>
      </c>
      <c r="C1122" s="9" t="s">
        <v>1807</v>
      </c>
      <c r="D1122" s="9">
        <v>165</v>
      </c>
      <c r="E1122" s="9" t="s">
        <v>1808</v>
      </c>
      <c r="F1122" t="s">
        <v>410</v>
      </c>
      <c r="G1122" t="s">
        <v>411</v>
      </c>
      <c r="H1122" t="s">
        <v>1313</v>
      </c>
    </row>
    <row r="1123" spans="1:8" outlineLevel="2" x14ac:dyDescent="0.3">
      <c r="A1123" s="6">
        <v>15</v>
      </c>
      <c r="B1123" t="s">
        <v>807</v>
      </c>
      <c r="C1123" s="9" t="s">
        <v>1807</v>
      </c>
      <c r="D1123" s="9">
        <v>750</v>
      </c>
      <c r="E1123" s="9" t="s">
        <v>1808</v>
      </c>
      <c r="F1123" t="s">
        <v>210</v>
      </c>
      <c r="G1123" t="s">
        <v>212</v>
      </c>
      <c r="H1123" t="s">
        <v>1331</v>
      </c>
    </row>
    <row r="1124" spans="1:8" outlineLevel="2" x14ac:dyDescent="0.3">
      <c r="A1124" s="6">
        <v>15</v>
      </c>
      <c r="B1124" t="s">
        <v>807</v>
      </c>
      <c r="C1124" s="9" t="s">
        <v>932</v>
      </c>
      <c r="D1124" s="9">
        <v>12</v>
      </c>
      <c r="E1124" s="9" t="s">
        <v>1804</v>
      </c>
      <c r="F1124" t="s">
        <v>622</v>
      </c>
      <c r="G1124" t="s">
        <v>401</v>
      </c>
      <c r="H1124" t="s">
        <v>1178</v>
      </c>
    </row>
    <row r="1125" spans="1:8" outlineLevel="2" x14ac:dyDescent="0.3">
      <c r="A1125" s="6">
        <v>15</v>
      </c>
      <c r="B1125" t="s">
        <v>807</v>
      </c>
      <c r="C1125" s="9" t="s">
        <v>932</v>
      </c>
      <c r="D1125" s="9">
        <v>36</v>
      </c>
      <c r="E1125" s="9" t="s">
        <v>1804</v>
      </c>
      <c r="F1125" t="s">
        <v>28</v>
      </c>
      <c r="G1125" t="s">
        <v>29</v>
      </c>
      <c r="H1125" t="s">
        <v>1180</v>
      </c>
    </row>
    <row r="1126" spans="1:8" outlineLevel="2" x14ac:dyDescent="0.3">
      <c r="A1126" s="6">
        <v>15</v>
      </c>
      <c r="B1126" t="s">
        <v>807</v>
      </c>
      <c r="C1126" s="9" t="s">
        <v>932</v>
      </c>
      <c r="D1126" s="9">
        <v>12</v>
      </c>
      <c r="E1126" s="9" t="s">
        <v>1804</v>
      </c>
      <c r="F1126" t="s">
        <v>483</v>
      </c>
      <c r="G1126" t="s">
        <v>29</v>
      </c>
      <c r="H1126" t="s">
        <v>1182</v>
      </c>
    </row>
    <row r="1127" spans="1:8" outlineLevel="2" x14ac:dyDescent="0.3">
      <c r="A1127" s="6">
        <v>15</v>
      </c>
      <c r="B1127" t="s">
        <v>807</v>
      </c>
      <c r="C1127" s="9" t="s">
        <v>932</v>
      </c>
      <c r="D1127" s="9">
        <v>12</v>
      </c>
      <c r="E1127" s="9" t="s">
        <v>1804</v>
      </c>
      <c r="F1127" t="s">
        <v>588</v>
      </c>
      <c r="G1127" t="s">
        <v>29</v>
      </c>
      <c r="H1127" t="s">
        <v>1183</v>
      </c>
    </row>
    <row r="1128" spans="1:8" outlineLevel="2" x14ac:dyDescent="0.3">
      <c r="A1128" s="6">
        <v>15</v>
      </c>
      <c r="B1128" t="s">
        <v>807</v>
      </c>
      <c r="C1128" s="9" t="s">
        <v>932</v>
      </c>
      <c r="D1128" s="9">
        <v>12</v>
      </c>
      <c r="E1128" s="9" t="s">
        <v>1804</v>
      </c>
      <c r="F1128" t="s">
        <v>589</v>
      </c>
      <c r="G1128" t="s">
        <v>29</v>
      </c>
      <c r="H1128" t="s">
        <v>1184</v>
      </c>
    </row>
    <row r="1129" spans="1:8" outlineLevel="2" x14ac:dyDescent="0.3">
      <c r="A1129" s="6">
        <v>15</v>
      </c>
      <c r="B1129" t="s">
        <v>807</v>
      </c>
      <c r="C1129" s="9" t="s">
        <v>932</v>
      </c>
      <c r="D1129" s="9">
        <v>24</v>
      </c>
      <c r="E1129" s="9" t="s">
        <v>1804</v>
      </c>
      <c r="F1129" t="s">
        <v>385</v>
      </c>
      <c r="G1129" t="s">
        <v>386</v>
      </c>
      <c r="H1129" t="s">
        <v>1421</v>
      </c>
    </row>
    <row r="1130" spans="1:8" outlineLevel="2" x14ac:dyDescent="0.3">
      <c r="A1130" s="6">
        <v>15</v>
      </c>
      <c r="B1130" t="s">
        <v>807</v>
      </c>
      <c r="C1130" s="9" t="s">
        <v>932</v>
      </c>
      <c r="D1130" s="9">
        <v>18</v>
      </c>
      <c r="E1130" s="9" t="s">
        <v>1804</v>
      </c>
      <c r="F1130" t="s">
        <v>217</v>
      </c>
      <c r="G1130" t="s">
        <v>168</v>
      </c>
      <c r="H1130" t="s">
        <v>1442</v>
      </c>
    </row>
    <row r="1131" spans="1:8" outlineLevel="2" x14ac:dyDescent="0.3">
      <c r="A1131" s="6">
        <v>15</v>
      </c>
      <c r="B1131" t="s">
        <v>807</v>
      </c>
      <c r="C1131" s="9" t="s">
        <v>932</v>
      </c>
      <c r="D1131" s="9">
        <v>16</v>
      </c>
      <c r="E1131" s="9" t="s">
        <v>1804</v>
      </c>
      <c r="F1131" t="s">
        <v>502</v>
      </c>
      <c r="G1131" t="s">
        <v>168</v>
      </c>
      <c r="H1131" t="s">
        <v>1444</v>
      </c>
    </row>
    <row r="1132" spans="1:8" outlineLevel="2" x14ac:dyDescent="0.3">
      <c r="A1132" s="6">
        <v>15</v>
      </c>
      <c r="B1132" t="s">
        <v>807</v>
      </c>
      <c r="C1132" s="9" t="s">
        <v>932</v>
      </c>
      <c r="D1132" s="9">
        <v>24</v>
      </c>
      <c r="E1132" s="9" t="s">
        <v>1804</v>
      </c>
      <c r="F1132" t="s">
        <v>810</v>
      </c>
      <c r="G1132" t="s">
        <v>171</v>
      </c>
      <c r="H1132" t="s">
        <v>1448</v>
      </c>
    </row>
    <row r="1133" spans="1:8" outlineLevel="2" x14ac:dyDescent="0.3">
      <c r="A1133" s="6">
        <v>15</v>
      </c>
      <c r="B1133" t="s">
        <v>807</v>
      </c>
      <c r="C1133" s="9" t="s">
        <v>932</v>
      </c>
      <c r="D1133" s="9">
        <v>33</v>
      </c>
      <c r="E1133" s="9" t="s">
        <v>1804</v>
      </c>
      <c r="F1133" t="s">
        <v>390</v>
      </c>
      <c r="G1133" t="s">
        <v>391</v>
      </c>
      <c r="H1133" t="s">
        <v>1449</v>
      </c>
    </row>
    <row r="1134" spans="1:8" outlineLevel="2" x14ac:dyDescent="0.3">
      <c r="A1134" s="6">
        <v>15</v>
      </c>
      <c r="B1134" t="s">
        <v>807</v>
      </c>
      <c r="C1134" s="9" t="s">
        <v>932</v>
      </c>
      <c r="D1134" s="9">
        <v>15</v>
      </c>
      <c r="E1134" s="9" t="s">
        <v>1804</v>
      </c>
      <c r="F1134" t="s">
        <v>811</v>
      </c>
      <c r="G1134" t="s">
        <v>812</v>
      </c>
      <c r="H1134" t="s">
        <v>1452</v>
      </c>
    </row>
    <row r="1135" spans="1:8" outlineLevel="2" x14ac:dyDescent="0.3">
      <c r="A1135" s="6">
        <v>15</v>
      </c>
      <c r="B1135" t="s">
        <v>807</v>
      </c>
      <c r="C1135" s="9" t="s">
        <v>932</v>
      </c>
      <c r="D1135" s="9">
        <v>15</v>
      </c>
      <c r="E1135" s="9" t="s">
        <v>1804</v>
      </c>
      <c r="F1135" t="s">
        <v>814</v>
      </c>
      <c r="G1135" t="s">
        <v>812</v>
      </c>
      <c r="H1135" t="s">
        <v>1455</v>
      </c>
    </row>
    <row r="1136" spans="1:8" outlineLevel="2" x14ac:dyDescent="0.3">
      <c r="A1136" s="6">
        <v>15</v>
      </c>
      <c r="B1136" t="s">
        <v>807</v>
      </c>
      <c r="C1136" s="9" t="s">
        <v>932</v>
      </c>
      <c r="D1136" s="9">
        <v>24</v>
      </c>
      <c r="E1136" s="9" t="s">
        <v>1804</v>
      </c>
      <c r="F1136" t="s">
        <v>31</v>
      </c>
      <c r="G1136" t="s">
        <v>32</v>
      </c>
      <c r="H1136" t="s">
        <v>1483</v>
      </c>
    </row>
    <row r="1137" spans="1:8" outlineLevel="2" x14ac:dyDescent="0.3">
      <c r="A1137" s="6">
        <v>15</v>
      </c>
      <c r="B1137" t="s">
        <v>807</v>
      </c>
      <c r="C1137" s="9" t="s">
        <v>932</v>
      </c>
      <c r="D1137" s="9">
        <v>21</v>
      </c>
      <c r="E1137" s="9" t="s">
        <v>1804</v>
      </c>
      <c r="F1137" t="s">
        <v>34</v>
      </c>
      <c r="G1137" t="s">
        <v>32</v>
      </c>
      <c r="H1137" t="s">
        <v>1485</v>
      </c>
    </row>
    <row r="1138" spans="1:8" outlineLevel="2" x14ac:dyDescent="0.3">
      <c r="A1138" s="6">
        <v>15</v>
      </c>
      <c r="B1138" t="s">
        <v>807</v>
      </c>
      <c r="C1138" s="9" t="s">
        <v>932</v>
      </c>
      <c r="D1138" s="9">
        <v>36</v>
      </c>
      <c r="E1138" s="9" t="s">
        <v>1804</v>
      </c>
      <c r="F1138" t="s">
        <v>541</v>
      </c>
      <c r="G1138" t="s">
        <v>32</v>
      </c>
      <c r="H1138" t="s">
        <v>1486</v>
      </c>
    </row>
    <row r="1139" spans="1:8" outlineLevel="2" x14ac:dyDescent="0.3">
      <c r="A1139" s="6">
        <v>15</v>
      </c>
      <c r="B1139" t="s">
        <v>807</v>
      </c>
      <c r="C1139" s="9" t="s">
        <v>932</v>
      </c>
      <c r="D1139" s="9">
        <v>24</v>
      </c>
      <c r="E1139" s="9" t="s">
        <v>1804</v>
      </c>
      <c r="F1139" t="s">
        <v>542</v>
      </c>
      <c r="G1139" t="s">
        <v>32</v>
      </c>
      <c r="H1139" t="s">
        <v>1487</v>
      </c>
    </row>
    <row r="1140" spans="1:8" outlineLevel="2" x14ac:dyDescent="0.3">
      <c r="A1140" s="6">
        <v>15</v>
      </c>
      <c r="B1140" t="s">
        <v>807</v>
      </c>
      <c r="C1140" s="9" t="s">
        <v>932</v>
      </c>
      <c r="D1140" s="9">
        <v>32</v>
      </c>
      <c r="E1140" s="9" t="s">
        <v>1804</v>
      </c>
      <c r="F1140" t="s">
        <v>221</v>
      </c>
      <c r="G1140" t="s">
        <v>32</v>
      </c>
      <c r="H1140" t="s">
        <v>1490</v>
      </c>
    </row>
    <row r="1141" spans="1:8" outlineLevel="2" x14ac:dyDescent="0.3">
      <c r="A1141" s="6">
        <v>15</v>
      </c>
      <c r="B1141" t="s">
        <v>807</v>
      </c>
      <c r="C1141" s="9" t="s">
        <v>932</v>
      </c>
      <c r="D1141" s="9">
        <v>21</v>
      </c>
      <c r="E1141" s="9" t="s">
        <v>1804</v>
      </c>
      <c r="F1141" t="s">
        <v>36</v>
      </c>
      <c r="G1141" t="s">
        <v>32</v>
      </c>
      <c r="H1141" t="s">
        <v>1492</v>
      </c>
    </row>
    <row r="1142" spans="1:8" outlineLevel="2" x14ac:dyDescent="0.3">
      <c r="A1142" s="6">
        <v>15</v>
      </c>
      <c r="B1142" t="s">
        <v>807</v>
      </c>
      <c r="C1142" s="9" t="s">
        <v>932</v>
      </c>
      <c r="D1142" s="9">
        <v>19</v>
      </c>
      <c r="E1142" s="9" t="s">
        <v>1804</v>
      </c>
      <c r="F1142" t="s">
        <v>815</v>
      </c>
      <c r="G1142" t="s">
        <v>816</v>
      </c>
      <c r="H1142" t="s">
        <v>1521</v>
      </c>
    </row>
    <row r="1143" spans="1:8" outlineLevel="2" x14ac:dyDescent="0.3">
      <c r="A1143" s="6">
        <v>15</v>
      </c>
      <c r="B1143" t="s">
        <v>807</v>
      </c>
      <c r="C1143" s="9" t="s">
        <v>932</v>
      </c>
      <c r="D1143" s="9">
        <v>12</v>
      </c>
      <c r="E1143" s="9" t="s">
        <v>1804</v>
      </c>
      <c r="F1143" t="s">
        <v>153</v>
      </c>
      <c r="G1143" t="s">
        <v>108</v>
      </c>
      <c r="H1143" t="s">
        <v>1150</v>
      </c>
    </row>
    <row r="1144" spans="1:8" outlineLevel="2" x14ac:dyDescent="0.3">
      <c r="A1144" s="6">
        <v>15</v>
      </c>
      <c r="B1144" t="s">
        <v>807</v>
      </c>
      <c r="C1144" s="9" t="s">
        <v>932</v>
      </c>
      <c r="D1144" s="9">
        <v>18</v>
      </c>
      <c r="E1144" s="9" t="s">
        <v>1804</v>
      </c>
      <c r="F1144" t="s">
        <v>154</v>
      </c>
      <c r="G1144" t="s">
        <v>108</v>
      </c>
      <c r="H1144" t="s">
        <v>1151</v>
      </c>
    </row>
    <row r="1145" spans="1:8" outlineLevel="2" x14ac:dyDescent="0.3">
      <c r="A1145" s="6">
        <v>15</v>
      </c>
      <c r="B1145" t="s">
        <v>807</v>
      </c>
      <c r="C1145" s="9" t="s">
        <v>932</v>
      </c>
      <c r="D1145" s="9">
        <v>18</v>
      </c>
      <c r="E1145" s="9" t="s">
        <v>1804</v>
      </c>
      <c r="F1145" t="s">
        <v>227</v>
      </c>
      <c r="G1145" t="s">
        <v>41</v>
      </c>
      <c r="H1145" t="s">
        <v>1167</v>
      </c>
    </row>
    <row r="1146" spans="1:8" outlineLevel="2" x14ac:dyDescent="0.3">
      <c r="A1146" s="6">
        <v>15</v>
      </c>
      <c r="B1146" t="s">
        <v>807</v>
      </c>
      <c r="C1146" s="9" t="s">
        <v>932</v>
      </c>
      <c r="D1146" s="9">
        <v>27</v>
      </c>
      <c r="E1146" s="9" t="s">
        <v>1804</v>
      </c>
      <c r="F1146" t="s">
        <v>40</v>
      </c>
      <c r="G1146" t="s">
        <v>41</v>
      </c>
      <c r="H1146" t="s">
        <v>1169</v>
      </c>
    </row>
    <row r="1147" spans="1:8" outlineLevel="2" x14ac:dyDescent="0.3">
      <c r="A1147" s="6">
        <v>15</v>
      </c>
      <c r="B1147" t="s">
        <v>807</v>
      </c>
      <c r="C1147" s="9" t="s">
        <v>932</v>
      </c>
      <c r="D1147" s="9">
        <v>24</v>
      </c>
      <c r="E1147" s="9" t="s">
        <v>1804</v>
      </c>
      <c r="F1147" t="s">
        <v>232</v>
      </c>
      <c r="G1147" t="s">
        <v>144</v>
      </c>
      <c r="H1147" t="s">
        <v>1171</v>
      </c>
    </row>
    <row r="1148" spans="1:8" outlineLevel="2" x14ac:dyDescent="0.3">
      <c r="A1148" s="6">
        <v>15</v>
      </c>
      <c r="B1148" t="s">
        <v>807</v>
      </c>
      <c r="C1148" s="9" t="s">
        <v>932</v>
      </c>
      <c r="D1148" s="9">
        <v>12</v>
      </c>
      <c r="E1148" s="9" t="s">
        <v>1804</v>
      </c>
      <c r="F1148" t="s">
        <v>233</v>
      </c>
      <c r="G1148" t="s">
        <v>112</v>
      </c>
      <c r="H1148" t="s">
        <v>1146</v>
      </c>
    </row>
    <row r="1149" spans="1:8" outlineLevel="2" x14ac:dyDescent="0.3">
      <c r="A1149" s="6">
        <v>15</v>
      </c>
      <c r="B1149" t="s">
        <v>807</v>
      </c>
      <c r="C1149" s="9" t="s">
        <v>932</v>
      </c>
      <c r="D1149" s="9">
        <v>20</v>
      </c>
      <c r="E1149" s="9" t="s">
        <v>1804</v>
      </c>
      <c r="F1149" t="s">
        <v>818</v>
      </c>
      <c r="G1149" t="s">
        <v>819</v>
      </c>
      <c r="H1149" t="s">
        <v>1530</v>
      </c>
    </row>
    <row r="1150" spans="1:8" outlineLevel="2" x14ac:dyDescent="0.3">
      <c r="A1150" s="6">
        <v>15</v>
      </c>
      <c r="B1150" t="s">
        <v>807</v>
      </c>
      <c r="C1150" s="9" t="s">
        <v>932</v>
      </c>
      <c r="D1150" s="9">
        <v>12</v>
      </c>
      <c r="E1150" s="9" t="s">
        <v>1804</v>
      </c>
      <c r="F1150" t="s">
        <v>426</v>
      </c>
      <c r="G1150" t="s">
        <v>44</v>
      </c>
      <c r="H1150" t="s">
        <v>1051</v>
      </c>
    </row>
    <row r="1151" spans="1:8" outlineLevel="2" x14ac:dyDescent="0.3">
      <c r="A1151" s="6">
        <v>15</v>
      </c>
      <c r="B1151" t="s">
        <v>807</v>
      </c>
      <c r="C1151" s="9" t="s">
        <v>932</v>
      </c>
      <c r="D1151" s="9">
        <v>15</v>
      </c>
      <c r="E1151" s="9" t="s">
        <v>1804</v>
      </c>
      <c r="F1151" t="s">
        <v>515</v>
      </c>
      <c r="G1151" t="s">
        <v>238</v>
      </c>
      <c r="H1151" t="s">
        <v>1064</v>
      </c>
    </row>
    <row r="1152" spans="1:8" outlineLevel="2" x14ac:dyDescent="0.3">
      <c r="A1152" s="6">
        <v>15</v>
      </c>
      <c r="B1152" t="s">
        <v>807</v>
      </c>
      <c r="C1152" s="9" t="s">
        <v>932</v>
      </c>
      <c r="D1152" s="9">
        <v>12</v>
      </c>
      <c r="E1152" s="9" t="s">
        <v>1804</v>
      </c>
      <c r="F1152" t="s">
        <v>49</v>
      </c>
      <c r="G1152" t="s">
        <v>47</v>
      </c>
      <c r="H1152" t="s">
        <v>1410</v>
      </c>
    </row>
    <row r="1153" spans="1:8" outlineLevel="2" x14ac:dyDescent="0.3">
      <c r="A1153" s="6">
        <v>15</v>
      </c>
      <c r="B1153" t="s">
        <v>807</v>
      </c>
      <c r="C1153" s="9" t="s">
        <v>932</v>
      </c>
      <c r="D1153" s="9">
        <v>18</v>
      </c>
      <c r="E1153" s="9" t="s">
        <v>1804</v>
      </c>
      <c r="F1153" t="s">
        <v>155</v>
      </c>
      <c r="G1153" t="s">
        <v>118</v>
      </c>
      <c r="H1153" t="s">
        <v>1415</v>
      </c>
    </row>
    <row r="1154" spans="1:8" outlineLevel="2" x14ac:dyDescent="0.3">
      <c r="A1154" s="6">
        <v>15</v>
      </c>
      <c r="B1154" t="s">
        <v>807</v>
      </c>
      <c r="C1154" s="9" t="s">
        <v>932</v>
      </c>
      <c r="D1154" s="9">
        <v>18</v>
      </c>
      <c r="E1154" s="9" t="s">
        <v>1804</v>
      </c>
      <c r="F1154" t="s">
        <v>246</v>
      </c>
      <c r="G1154" t="s">
        <v>51</v>
      </c>
      <c r="H1154" t="s">
        <v>1596</v>
      </c>
    </row>
    <row r="1155" spans="1:8" outlineLevel="2" x14ac:dyDescent="0.3">
      <c r="A1155" s="6">
        <v>15</v>
      </c>
      <c r="B1155" t="s">
        <v>807</v>
      </c>
      <c r="C1155" s="9" t="s">
        <v>932</v>
      </c>
      <c r="D1155" s="9">
        <v>30</v>
      </c>
      <c r="E1155" s="9" t="s">
        <v>1804</v>
      </c>
      <c r="F1155" t="s">
        <v>247</v>
      </c>
      <c r="G1155" t="s">
        <v>51</v>
      </c>
      <c r="H1155" t="s">
        <v>1599</v>
      </c>
    </row>
    <row r="1156" spans="1:8" outlineLevel="2" x14ac:dyDescent="0.3">
      <c r="A1156" s="6">
        <v>15</v>
      </c>
      <c r="B1156" t="s">
        <v>807</v>
      </c>
      <c r="C1156" s="9" t="s">
        <v>932</v>
      </c>
      <c r="D1156" s="9">
        <v>18</v>
      </c>
      <c r="E1156" s="9" t="s">
        <v>1804</v>
      </c>
      <c r="F1156" t="s">
        <v>733</v>
      </c>
      <c r="G1156" t="s">
        <v>630</v>
      </c>
      <c r="H1156" t="s">
        <v>1629</v>
      </c>
    </row>
    <row r="1157" spans="1:8" outlineLevel="2" x14ac:dyDescent="0.3">
      <c r="A1157" s="6">
        <v>15</v>
      </c>
      <c r="B1157" t="s">
        <v>807</v>
      </c>
      <c r="C1157" s="9" t="s">
        <v>932</v>
      </c>
      <c r="D1157" s="9">
        <v>12</v>
      </c>
      <c r="E1157" s="9" t="s">
        <v>1804</v>
      </c>
      <c r="F1157" t="s">
        <v>781</v>
      </c>
      <c r="G1157" t="s">
        <v>253</v>
      </c>
      <c r="H1157" t="s">
        <v>1634</v>
      </c>
    </row>
    <row r="1158" spans="1:8" outlineLevel="2" x14ac:dyDescent="0.3">
      <c r="A1158" s="6">
        <v>15</v>
      </c>
      <c r="B1158" t="s">
        <v>807</v>
      </c>
      <c r="C1158" s="9" t="s">
        <v>932</v>
      </c>
      <c r="D1158" s="9">
        <v>18</v>
      </c>
      <c r="E1158" s="9" t="s">
        <v>1804</v>
      </c>
      <c r="F1158" t="s">
        <v>564</v>
      </c>
      <c r="G1158" t="s">
        <v>359</v>
      </c>
      <c r="H1158" t="s">
        <v>983</v>
      </c>
    </row>
    <row r="1159" spans="1:8" outlineLevel="2" x14ac:dyDescent="0.3">
      <c r="A1159" s="6">
        <v>15</v>
      </c>
      <c r="B1159" t="s">
        <v>807</v>
      </c>
      <c r="C1159" s="9" t="s">
        <v>932</v>
      </c>
      <c r="D1159" s="9">
        <v>22</v>
      </c>
      <c r="E1159" s="9" t="s">
        <v>1804</v>
      </c>
      <c r="F1159" t="s">
        <v>259</v>
      </c>
      <c r="G1159" t="s">
        <v>260</v>
      </c>
      <c r="H1159" t="s">
        <v>986</v>
      </c>
    </row>
    <row r="1160" spans="1:8" outlineLevel="2" x14ac:dyDescent="0.3">
      <c r="A1160" s="6">
        <v>15</v>
      </c>
      <c r="B1160" t="s">
        <v>807</v>
      </c>
      <c r="C1160" s="9" t="s">
        <v>932</v>
      </c>
      <c r="D1160" s="9">
        <v>14</v>
      </c>
      <c r="E1160" s="9" t="s">
        <v>1804</v>
      </c>
      <c r="F1160" t="s">
        <v>262</v>
      </c>
      <c r="G1160" t="s">
        <v>263</v>
      </c>
      <c r="H1160" t="s">
        <v>989</v>
      </c>
    </row>
    <row r="1161" spans="1:8" outlineLevel="2" x14ac:dyDescent="0.3">
      <c r="A1161" s="6">
        <v>15</v>
      </c>
      <c r="B1161" t="s">
        <v>807</v>
      </c>
      <c r="C1161" s="9" t="s">
        <v>932</v>
      </c>
      <c r="D1161" s="9">
        <v>19</v>
      </c>
      <c r="E1161" s="9" t="s">
        <v>1804</v>
      </c>
      <c r="F1161" t="s">
        <v>265</v>
      </c>
      <c r="G1161" t="s">
        <v>266</v>
      </c>
      <c r="H1161" t="s">
        <v>1337</v>
      </c>
    </row>
    <row r="1162" spans="1:8" outlineLevel="2" x14ac:dyDescent="0.3">
      <c r="A1162" s="6">
        <v>15</v>
      </c>
      <c r="B1162" t="s">
        <v>807</v>
      </c>
      <c r="C1162" s="9" t="s">
        <v>932</v>
      </c>
      <c r="D1162" s="9">
        <v>15</v>
      </c>
      <c r="E1162" s="9" t="s">
        <v>1804</v>
      </c>
      <c r="F1162" t="s">
        <v>443</v>
      </c>
      <c r="G1162" t="s">
        <v>444</v>
      </c>
      <c r="H1162" t="s">
        <v>1649</v>
      </c>
    </row>
    <row r="1163" spans="1:8" outlineLevel="2" x14ac:dyDescent="0.3">
      <c r="A1163" s="6">
        <v>15</v>
      </c>
      <c r="B1163" t="s">
        <v>807</v>
      </c>
      <c r="C1163" s="9" t="s">
        <v>1807</v>
      </c>
      <c r="D1163" s="9">
        <v>800</v>
      </c>
      <c r="E1163" s="9" t="s">
        <v>1808</v>
      </c>
      <c r="F1163" t="s">
        <v>822</v>
      </c>
      <c r="G1163" t="s">
        <v>450</v>
      </c>
      <c r="H1163" t="s">
        <v>1726</v>
      </c>
    </row>
    <row r="1164" spans="1:8" outlineLevel="2" x14ac:dyDescent="0.3">
      <c r="A1164" s="6">
        <v>15</v>
      </c>
      <c r="B1164" t="s">
        <v>807</v>
      </c>
      <c r="C1164" s="9" t="s">
        <v>932</v>
      </c>
      <c r="D1164" s="9">
        <v>16</v>
      </c>
      <c r="E1164" s="9" t="s">
        <v>1804</v>
      </c>
      <c r="F1164" t="s">
        <v>824</v>
      </c>
      <c r="G1164" t="s">
        <v>301</v>
      </c>
      <c r="H1164" t="s">
        <v>1772</v>
      </c>
    </row>
    <row r="1165" spans="1:8" outlineLevel="2" x14ac:dyDescent="0.3">
      <c r="A1165" s="6">
        <v>15</v>
      </c>
      <c r="B1165" t="s">
        <v>807</v>
      </c>
      <c r="C1165" s="9" t="s">
        <v>932</v>
      </c>
      <c r="D1165" s="9">
        <v>16</v>
      </c>
      <c r="E1165" s="9" t="s">
        <v>1804</v>
      </c>
      <c r="F1165" t="s">
        <v>825</v>
      </c>
      <c r="G1165" t="s">
        <v>301</v>
      </c>
      <c r="H1165" t="s">
        <v>1773</v>
      </c>
    </row>
    <row r="1166" spans="1:8" outlineLevel="2" x14ac:dyDescent="0.3">
      <c r="A1166" s="6">
        <v>15</v>
      </c>
      <c r="B1166" t="s">
        <v>807</v>
      </c>
      <c r="C1166" s="9" t="s">
        <v>932</v>
      </c>
      <c r="D1166" s="9">
        <v>16</v>
      </c>
      <c r="E1166" s="9" t="s">
        <v>1804</v>
      </c>
      <c r="F1166" t="s">
        <v>742</v>
      </c>
      <c r="G1166" t="s">
        <v>301</v>
      </c>
      <c r="H1166" t="s">
        <v>1774</v>
      </c>
    </row>
    <row r="1167" spans="1:8" outlineLevel="2" x14ac:dyDescent="0.3">
      <c r="A1167" s="6">
        <v>15</v>
      </c>
      <c r="B1167" t="s">
        <v>807</v>
      </c>
      <c r="C1167" s="9" t="s">
        <v>932</v>
      </c>
      <c r="D1167" s="9">
        <v>16</v>
      </c>
      <c r="E1167" s="9" t="s">
        <v>1804</v>
      </c>
      <c r="F1167" t="s">
        <v>826</v>
      </c>
      <c r="G1167" t="s">
        <v>301</v>
      </c>
      <c r="H1167" t="s">
        <v>1775</v>
      </c>
    </row>
    <row r="1168" spans="1:8" outlineLevel="2" x14ac:dyDescent="0.3">
      <c r="A1168" s="6">
        <v>15</v>
      </c>
      <c r="B1168" t="s">
        <v>807</v>
      </c>
      <c r="C1168" s="9" t="s">
        <v>932</v>
      </c>
      <c r="D1168" s="9">
        <v>24</v>
      </c>
      <c r="E1168" s="9" t="s">
        <v>1804</v>
      </c>
      <c r="F1168" t="s">
        <v>567</v>
      </c>
      <c r="G1168" t="s">
        <v>63</v>
      </c>
      <c r="H1168" t="s">
        <v>1099</v>
      </c>
    </row>
    <row r="1169" spans="1:8" outlineLevel="2" x14ac:dyDescent="0.3">
      <c r="A1169" s="6">
        <v>15</v>
      </c>
      <c r="B1169" t="s">
        <v>807</v>
      </c>
      <c r="C1169" s="9" t="s">
        <v>932</v>
      </c>
      <c r="D1169" s="9">
        <v>15</v>
      </c>
      <c r="E1169" s="9" t="s">
        <v>1804</v>
      </c>
      <c r="F1169" t="s">
        <v>62</v>
      </c>
      <c r="G1169" t="s">
        <v>63</v>
      </c>
      <c r="H1169" t="s">
        <v>1103</v>
      </c>
    </row>
    <row r="1170" spans="1:8" outlineLevel="2" x14ac:dyDescent="0.3">
      <c r="A1170" s="6">
        <v>15</v>
      </c>
      <c r="B1170" t="s">
        <v>807</v>
      </c>
      <c r="C1170" s="9" t="s">
        <v>932</v>
      </c>
      <c r="D1170" s="9">
        <v>15</v>
      </c>
      <c r="E1170" s="9" t="s">
        <v>1804</v>
      </c>
      <c r="F1170" t="s">
        <v>827</v>
      </c>
      <c r="G1170" t="s">
        <v>309</v>
      </c>
      <c r="H1170" t="s">
        <v>1789</v>
      </c>
    </row>
    <row r="1171" spans="1:8" outlineLevel="2" x14ac:dyDescent="0.3">
      <c r="A1171" s="6">
        <v>15</v>
      </c>
      <c r="B1171" t="s">
        <v>807</v>
      </c>
      <c r="C1171" s="9" t="s">
        <v>932</v>
      </c>
      <c r="D1171" s="9">
        <v>18</v>
      </c>
      <c r="E1171" s="9" t="s">
        <v>1804</v>
      </c>
      <c r="F1171" t="s">
        <v>828</v>
      </c>
      <c r="G1171" t="s">
        <v>309</v>
      </c>
      <c r="H1171" t="s">
        <v>1790</v>
      </c>
    </row>
    <row r="1172" spans="1:8" outlineLevel="2" x14ac:dyDescent="0.3">
      <c r="A1172" s="6">
        <v>15</v>
      </c>
      <c r="B1172" t="s">
        <v>807</v>
      </c>
      <c r="C1172" s="9" t="s">
        <v>932</v>
      </c>
      <c r="D1172" s="9">
        <v>18</v>
      </c>
      <c r="E1172" s="9" t="s">
        <v>1804</v>
      </c>
      <c r="F1172" t="s">
        <v>65</v>
      </c>
      <c r="G1172" t="s">
        <v>66</v>
      </c>
      <c r="H1172" t="s">
        <v>1791</v>
      </c>
    </row>
    <row r="1173" spans="1:8" outlineLevel="2" x14ac:dyDescent="0.3">
      <c r="A1173" s="6">
        <v>15</v>
      </c>
      <c r="B1173" t="s">
        <v>807</v>
      </c>
      <c r="C1173" s="9" t="s">
        <v>932</v>
      </c>
      <c r="D1173" s="9">
        <v>30</v>
      </c>
      <c r="E1173" s="9" t="s">
        <v>1804</v>
      </c>
      <c r="F1173" t="s">
        <v>829</v>
      </c>
      <c r="G1173" t="s">
        <v>832</v>
      </c>
      <c r="H1173" t="s">
        <v>1845</v>
      </c>
    </row>
    <row r="1174" spans="1:8" outlineLevel="2" x14ac:dyDescent="0.3">
      <c r="A1174" s="6">
        <v>15</v>
      </c>
      <c r="B1174" t="s">
        <v>807</v>
      </c>
      <c r="C1174" s="9" t="s">
        <v>932</v>
      </c>
      <c r="D1174" s="9">
        <v>30</v>
      </c>
      <c r="E1174" s="9" t="s">
        <v>1804</v>
      </c>
      <c r="F1174" t="s">
        <v>830</v>
      </c>
      <c r="G1174" t="s">
        <v>832</v>
      </c>
      <c r="H1174" t="s">
        <v>1846</v>
      </c>
    </row>
    <row r="1175" spans="1:8" outlineLevel="2" x14ac:dyDescent="0.3">
      <c r="A1175" s="6">
        <v>15</v>
      </c>
      <c r="B1175" t="s">
        <v>807</v>
      </c>
      <c r="C1175" s="9" t="s">
        <v>932</v>
      </c>
      <c r="D1175" s="9">
        <v>18</v>
      </c>
      <c r="E1175" s="9" t="s">
        <v>1804</v>
      </c>
      <c r="F1175" t="s">
        <v>831</v>
      </c>
      <c r="G1175" t="s">
        <v>832</v>
      </c>
      <c r="H1175" t="s">
        <v>1187</v>
      </c>
    </row>
    <row r="1176" spans="1:8" outlineLevel="2" x14ac:dyDescent="0.3">
      <c r="A1176" s="6">
        <v>15</v>
      </c>
      <c r="B1176" t="s">
        <v>807</v>
      </c>
      <c r="C1176" s="9" t="s">
        <v>932</v>
      </c>
      <c r="D1176" s="9">
        <v>28</v>
      </c>
      <c r="E1176" s="9" t="s">
        <v>1804</v>
      </c>
      <c r="F1176" t="s">
        <v>395</v>
      </c>
      <c r="G1176" t="s">
        <v>396</v>
      </c>
      <c r="H1176" t="s">
        <v>1564</v>
      </c>
    </row>
    <row r="1177" spans="1:8" outlineLevel="2" x14ac:dyDescent="0.3">
      <c r="A1177" s="6">
        <v>15</v>
      </c>
      <c r="B1177" t="s">
        <v>807</v>
      </c>
      <c r="C1177" s="9" t="s">
        <v>1807</v>
      </c>
      <c r="D1177" s="9">
        <v>770</v>
      </c>
      <c r="E1177" s="9" t="s">
        <v>1808</v>
      </c>
      <c r="F1177" t="s">
        <v>71</v>
      </c>
      <c r="G1177" t="s">
        <v>72</v>
      </c>
      <c r="H1177" t="s">
        <v>1565</v>
      </c>
    </row>
    <row r="1178" spans="1:8" outlineLevel="2" x14ac:dyDescent="0.3">
      <c r="A1178" s="6">
        <v>15</v>
      </c>
      <c r="B1178" t="s">
        <v>807</v>
      </c>
      <c r="C1178" s="9" t="s">
        <v>1807</v>
      </c>
      <c r="D1178" s="9">
        <v>68</v>
      </c>
      <c r="E1178" s="9" t="s">
        <v>1808</v>
      </c>
      <c r="F1178" t="s">
        <v>834</v>
      </c>
      <c r="G1178" t="s">
        <v>835</v>
      </c>
      <c r="H1178" t="s">
        <v>1572</v>
      </c>
    </row>
    <row r="1179" spans="1:8" outlineLevel="2" x14ac:dyDescent="0.3">
      <c r="A1179" s="6">
        <v>15</v>
      </c>
      <c r="B1179" t="s">
        <v>807</v>
      </c>
      <c r="C1179" s="9" t="s">
        <v>1807</v>
      </c>
      <c r="D1179" s="9">
        <v>40</v>
      </c>
      <c r="E1179" s="9" t="s">
        <v>1808</v>
      </c>
      <c r="F1179" t="s">
        <v>837</v>
      </c>
      <c r="G1179" t="s">
        <v>835</v>
      </c>
      <c r="H1179" t="s">
        <v>1573</v>
      </c>
    </row>
    <row r="1180" spans="1:8" outlineLevel="2" x14ac:dyDescent="0.3">
      <c r="A1180" s="6">
        <v>15</v>
      </c>
      <c r="B1180" t="s">
        <v>807</v>
      </c>
      <c r="C1180" s="9" t="s">
        <v>932</v>
      </c>
      <c r="D1180" s="9">
        <v>15</v>
      </c>
      <c r="E1180" s="9" t="s">
        <v>1804</v>
      </c>
      <c r="F1180" t="s">
        <v>575</v>
      </c>
      <c r="G1180" t="s">
        <v>576</v>
      </c>
      <c r="H1180" t="s">
        <v>1574</v>
      </c>
    </row>
    <row r="1181" spans="1:8" outlineLevel="2" x14ac:dyDescent="0.3">
      <c r="A1181" s="6">
        <v>15</v>
      </c>
      <c r="B1181" t="s">
        <v>807</v>
      </c>
      <c r="C1181" s="9" t="s">
        <v>1807</v>
      </c>
      <c r="D1181" s="9">
        <v>538</v>
      </c>
      <c r="E1181" s="9" t="s">
        <v>1808</v>
      </c>
      <c r="F1181" t="s">
        <v>75</v>
      </c>
      <c r="G1181" t="s">
        <v>76</v>
      </c>
      <c r="H1181" t="s">
        <v>1549</v>
      </c>
    </row>
    <row r="1182" spans="1:8" outlineLevel="2" x14ac:dyDescent="0.3">
      <c r="A1182" s="6">
        <v>15</v>
      </c>
      <c r="B1182" t="s">
        <v>807</v>
      </c>
      <c r="C1182" s="9" t="s">
        <v>1807</v>
      </c>
      <c r="D1182" s="9">
        <v>698</v>
      </c>
      <c r="E1182" s="9" t="s">
        <v>1808</v>
      </c>
      <c r="F1182" t="s">
        <v>485</v>
      </c>
      <c r="G1182" t="s">
        <v>76</v>
      </c>
      <c r="H1182" t="s">
        <v>1579</v>
      </c>
    </row>
    <row r="1183" spans="1:8" outlineLevel="2" x14ac:dyDescent="0.3">
      <c r="A1183" s="6">
        <v>15</v>
      </c>
      <c r="B1183" t="s">
        <v>807</v>
      </c>
      <c r="C1183" s="9" t="s">
        <v>963</v>
      </c>
      <c r="D1183" s="9">
        <v>60</v>
      </c>
      <c r="E1183" s="9" t="s">
        <v>1804</v>
      </c>
      <c r="F1183" t="s">
        <v>579</v>
      </c>
      <c r="G1183" t="s">
        <v>531</v>
      </c>
      <c r="H1183" t="s">
        <v>967</v>
      </c>
    </row>
    <row r="1184" spans="1:8" outlineLevel="2" x14ac:dyDescent="0.3">
      <c r="A1184" s="6">
        <v>15</v>
      </c>
      <c r="B1184" t="s">
        <v>807</v>
      </c>
      <c r="C1184" s="9" t="s">
        <v>963</v>
      </c>
      <c r="D1184" s="9">
        <v>63</v>
      </c>
      <c r="E1184" s="9" t="s">
        <v>1804</v>
      </c>
      <c r="F1184" t="s">
        <v>838</v>
      </c>
      <c r="G1184" t="s">
        <v>1847</v>
      </c>
      <c r="H1184" t="s">
        <v>1848</v>
      </c>
    </row>
    <row r="1185" spans="1:8" outlineLevel="2" x14ac:dyDescent="0.3">
      <c r="A1185" s="6">
        <v>15</v>
      </c>
      <c r="B1185" t="s">
        <v>807</v>
      </c>
      <c r="C1185" s="9" t="s">
        <v>963</v>
      </c>
      <c r="D1185" s="9">
        <v>60</v>
      </c>
      <c r="E1185" s="9" t="s">
        <v>1804</v>
      </c>
      <c r="F1185" t="s">
        <v>766</v>
      </c>
      <c r="G1185" t="s">
        <v>758</v>
      </c>
      <c r="H1185" t="s">
        <v>1241</v>
      </c>
    </row>
    <row r="1186" spans="1:8" outlineLevel="2" x14ac:dyDescent="0.3">
      <c r="A1186" s="6">
        <v>15</v>
      </c>
      <c r="B1186" t="s">
        <v>807</v>
      </c>
      <c r="C1186" s="9" t="s">
        <v>963</v>
      </c>
      <c r="D1186" s="9">
        <v>60</v>
      </c>
      <c r="E1186" s="9" t="s">
        <v>1804</v>
      </c>
      <c r="F1186" t="s">
        <v>79</v>
      </c>
      <c r="G1186" t="s">
        <v>80</v>
      </c>
      <c r="H1186" t="s">
        <v>1416</v>
      </c>
    </row>
    <row r="1187" spans="1:8" outlineLevel="2" x14ac:dyDescent="0.3">
      <c r="A1187" s="6">
        <v>15</v>
      </c>
      <c r="B1187" t="s">
        <v>807</v>
      </c>
      <c r="C1187" s="9" t="s">
        <v>963</v>
      </c>
      <c r="D1187" s="9">
        <v>60</v>
      </c>
      <c r="E1187" s="9" t="s">
        <v>1804</v>
      </c>
      <c r="F1187" t="s">
        <v>643</v>
      </c>
      <c r="G1187" t="s">
        <v>499</v>
      </c>
      <c r="H1187" t="s">
        <v>1703</v>
      </c>
    </row>
    <row r="1188" spans="1:8" outlineLevel="2" x14ac:dyDescent="0.3">
      <c r="A1188" s="6">
        <v>15</v>
      </c>
      <c r="B1188" t="s">
        <v>807</v>
      </c>
      <c r="C1188" s="9" t="s">
        <v>963</v>
      </c>
      <c r="D1188" s="9">
        <v>72</v>
      </c>
      <c r="E1188" s="9" t="s">
        <v>1804</v>
      </c>
      <c r="F1188" t="s">
        <v>323</v>
      </c>
      <c r="G1188" t="s">
        <v>190</v>
      </c>
      <c r="H1188" t="s">
        <v>1338</v>
      </c>
    </row>
    <row r="1189" spans="1:8" outlineLevel="2" x14ac:dyDescent="0.3">
      <c r="A1189" s="6">
        <v>15</v>
      </c>
      <c r="B1189" t="s">
        <v>807</v>
      </c>
      <c r="C1189" s="9" t="s">
        <v>963</v>
      </c>
      <c r="D1189" s="9">
        <v>88</v>
      </c>
      <c r="E1189" s="9" t="s">
        <v>1804</v>
      </c>
      <c r="F1189" t="s">
        <v>84</v>
      </c>
      <c r="G1189" t="s">
        <v>85</v>
      </c>
      <c r="H1189" t="s">
        <v>1342</v>
      </c>
    </row>
    <row r="1190" spans="1:8" outlineLevel="2" x14ac:dyDescent="0.3">
      <c r="A1190" s="6">
        <v>15</v>
      </c>
      <c r="B1190" t="s">
        <v>807</v>
      </c>
      <c r="C1190" s="9" t="s">
        <v>963</v>
      </c>
      <c r="D1190" s="9">
        <v>60</v>
      </c>
      <c r="E1190" s="9" t="s">
        <v>1804</v>
      </c>
      <c r="F1190" t="s">
        <v>612</v>
      </c>
      <c r="G1190" t="s">
        <v>613</v>
      </c>
      <c r="H1190" t="s">
        <v>1343</v>
      </c>
    </row>
    <row r="1191" spans="1:8" outlineLevel="2" x14ac:dyDescent="0.3">
      <c r="A1191" s="6">
        <v>15</v>
      </c>
      <c r="B1191" t="s">
        <v>807</v>
      </c>
      <c r="C1191" s="9" t="s">
        <v>963</v>
      </c>
      <c r="D1191" s="9">
        <v>70</v>
      </c>
      <c r="E1191" s="9" t="s">
        <v>1804</v>
      </c>
      <c r="F1191" t="s">
        <v>325</v>
      </c>
      <c r="G1191" t="s">
        <v>196</v>
      </c>
      <c r="H1191" t="s">
        <v>1344</v>
      </c>
    </row>
    <row r="1192" spans="1:8" outlineLevel="2" x14ac:dyDescent="0.3">
      <c r="A1192" s="6">
        <v>15</v>
      </c>
      <c r="B1192" t="s">
        <v>807</v>
      </c>
      <c r="C1192" s="9" t="s">
        <v>963</v>
      </c>
      <c r="D1192" s="9">
        <v>74</v>
      </c>
      <c r="E1192" s="9" t="s">
        <v>1804</v>
      </c>
      <c r="F1192" t="s">
        <v>87</v>
      </c>
      <c r="G1192" t="s">
        <v>88</v>
      </c>
      <c r="H1192" t="s">
        <v>1349</v>
      </c>
    </row>
    <row r="1193" spans="1:8" outlineLevel="2" x14ac:dyDescent="0.3">
      <c r="A1193" s="6">
        <v>15</v>
      </c>
      <c r="B1193" t="s">
        <v>807</v>
      </c>
      <c r="C1193" s="9" t="s">
        <v>963</v>
      </c>
      <c r="D1193" s="9">
        <v>73</v>
      </c>
      <c r="E1193" s="9" t="s">
        <v>1804</v>
      </c>
      <c r="F1193" t="s">
        <v>679</v>
      </c>
      <c r="G1193" t="s">
        <v>680</v>
      </c>
      <c r="H1193" t="s">
        <v>972</v>
      </c>
    </row>
    <row r="1194" spans="1:8" outlineLevel="2" x14ac:dyDescent="0.3">
      <c r="A1194" s="6">
        <v>15</v>
      </c>
      <c r="B1194" t="s">
        <v>807</v>
      </c>
      <c r="C1194" s="9" t="s">
        <v>963</v>
      </c>
      <c r="D1194" s="9">
        <v>73</v>
      </c>
      <c r="E1194" s="9" t="s">
        <v>1804</v>
      </c>
      <c r="F1194" t="s">
        <v>90</v>
      </c>
      <c r="G1194" t="s">
        <v>15</v>
      </c>
      <c r="H1194" t="s">
        <v>1351</v>
      </c>
    </row>
    <row r="1195" spans="1:8" outlineLevel="2" x14ac:dyDescent="0.3">
      <c r="A1195" s="6">
        <v>15</v>
      </c>
      <c r="B1195" t="s">
        <v>807</v>
      </c>
      <c r="C1195" s="9" t="s">
        <v>963</v>
      </c>
      <c r="D1195" s="9">
        <v>75</v>
      </c>
      <c r="E1195" s="9" t="s">
        <v>1804</v>
      </c>
      <c r="F1195" t="s">
        <v>653</v>
      </c>
      <c r="G1195" t="s">
        <v>654</v>
      </c>
      <c r="H1195" t="s">
        <v>1352</v>
      </c>
    </row>
    <row r="1196" spans="1:8" outlineLevel="2" x14ac:dyDescent="0.3">
      <c r="A1196" s="6">
        <v>15</v>
      </c>
      <c r="B1196" t="s">
        <v>807</v>
      </c>
      <c r="C1196" s="9" t="s">
        <v>963</v>
      </c>
      <c r="D1196" s="9">
        <v>77</v>
      </c>
      <c r="E1196" s="9" t="s">
        <v>1804</v>
      </c>
      <c r="F1196" t="s">
        <v>91</v>
      </c>
      <c r="G1196" t="s">
        <v>92</v>
      </c>
      <c r="H1196" t="s">
        <v>1353</v>
      </c>
    </row>
    <row r="1197" spans="1:8" outlineLevel="2" x14ac:dyDescent="0.3">
      <c r="A1197" s="6">
        <v>15</v>
      </c>
      <c r="B1197" t="s">
        <v>807</v>
      </c>
      <c r="C1197" s="9" t="s">
        <v>963</v>
      </c>
      <c r="D1197" s="9">
        <v>76</v>
      </c>
      <c r="E1197" s="9" t="s">
        <v>1804</v>
      </c>
      <c r="F1197" t="s">
        <v>94</v>
      </c>
      <c r="G1197" t="s">
        <v>95</v>
      </c>
      <c r="H1197" t="s">
        <v>1355</v>
      </c>
    </row>
    <row r="1198" spans="1:8" outlineLevel="2" x14ac:dyDescent="0.3">
      <c r="A1198" s="6">
        <v>15</v>
      </c>
      <c r="B1198" t="s">
        <v>807</v>
      </c>
      <c r="C1198" s="9" t="s">
        <v>963</v>
      </c>
      <c r="D1198" s="9">
        <v>77</v>
      </c>
      <c r="E1198" s="9" t="s">
        <v>1804</v>
      </c>
      <c r="F1198" t="s">
        <v>98</v>
      </c>
      <c r="G1198" t="s">
        <v>99</v>
      </c>
      <c r="H1198" t="s">
        <v>1357</v>
      </c>
    </row>
    <row r="1199" spans="1:8" outlineLevel="2" x14ac:dyDescent="0.3">
      <c r="A1199" s="6">
        <v>15</v>
      </c>
      <c r="B1199" t="s">
        <v>807</v>
      </c>
      <c r="C1199" s="9" t="s">
        <v>963</v>
      </c>
      <c r="D1199" s="9">
        <v>87</v>
      </c>
      <c r="E1199" s="9" t="s">
        <v>1804</v>
      </c>
      <c r="F1199" t="s">
        <v>839</v>
      </c>
      <c r="G1199" t="s">
        <v>1849</v>
      </c>
      <c r="H1199" t="s">
        <v>1850</v>
      </c>
    </row>
    <row r="1200" spans="1:8" outlineLevel="2" x14ac:dyDescent="0.3">
      <c r="A1200" s="6">
        <v>15</v>
      </c>
      <c r="B1200" t="s">
        <v>807</v>
      </c>
      <c r="C1200" s="9" t="s">
        <v>963</v>
      </c>
      <c r="D1200" s="9">
        <v>76</v>
      </c>
      <c r="E1200" s="9" t="s">
        <v>1804</v>
      </c>
      <c r="F1200" t="s">
        <v>332</v>
      </c>
      <c r="G1200" t="s">
        <v>333</v>
      </c>
      <c r="H1200" t="s">
        <v>1358</v>
      </c>
    </row>
    <row r="1201" spans="1:8" outlineLevel="2" x14ac:dyDescent="0.3">
      <c r="A1201" s="6">
        <v>15</v>
      </c>
      <c r="B1201" t="s">
        <v>807</v>
      </c>
      <c r="C1201" s="9" t="s">
        <v>963</v>
      </c>
      <c r="D1201" s="9">
        <v>76</v>
      </c>
      <c r="E1201" s="9" t="s">
        <v>1804</v>
      </c>
      <c r="F1201" t="s">
        <v>335</v>
      </c>
      <c r="G1201" t="s">
        <v>336</v>
      </c>
      <c r="H1201" t="s">
        <v>1359</v>
      </c>
    </row>
    <row r="1202" spans="1:8" outlineLevel="2" x14ac:dyDescent="0.3">
      <c r="A1202" s="6">
        <v>15</v>
      </c>
      <c r="B1202" t="s">
        <v>807</v>
      </c>
      <c r="C1202" s="9" t="s">
        <v>963</v>
      </c>
      <c r="D1202" s="9">
        <v>65</v>
      </c>
      <c r="E1202" s="9" t="s">
        <v>1804</v>
      </c>
      <c r="F1202" t="s">
        <v>399</v>
      </c>
      <c r="G1202" t="s">
        <v>1819</v>
      </c>
      <c r="H1202" t="s">
        <v>1420</v>
      </c>
    </row>
    <row r="1203" spans="1:8" outlineLevel="2" x14ac:dyDescent="0.3">
      <c r="A1203" s="6">
        <v>15</v>
      </c>
      <c r="B1203" t="s">
        <v>807</v>
      </c>
      <c r="C1203" s="9" t="s">
        <v>963</v>
      </c>
      <c r="D1203" s="9">
        <v>72</v>
      </c>
      <c r="E1203" s="9" t="s">
        <v>1804</v>
      </c>
      <c r="F1203" t="s">
        <v>461</v>
      </c>
      <c r="G1203" t="s">
        <v>462</v>
      </c>
      <c r="H1203" t="s">
        <v>1360</v>
      </c>
    </row>
    <row r="1204" spans="1:8" outlineLevel="2" x14ac:dyDescent="0.3">
      <c r="A1204" s="6">
        <v>15</v>
      </c>
      <c r="B1204" t="s">
        <v>807</v>
      </c>
      <c r="C1204" s="9" t="s">
        <v>963</v>
      </c>
      <c r="D1204" s="9">
        <v>72</v>
      </c>
      <c r="E1204" s="9" t="s">
        <v>1804</v>
      </c>
      <c r="F1204" t="s">
        <v>101</v>
      </c>
      <c r="G1204" t="s">
        <v>102</v>
      </c>
      <c r="H1204" t="s">
        <v>1365</v>
      </c>
    </row>
    <row r="1205" spans="1:8" outlineLevel="2" x14ac:dyDescent="0.3">
      <c r="A1205" s="6">
        <v>15</v>
      </c>
      <c r="B1205" t="s">
        <v>807</v>
      </c>
      <c r="C1205" s="9" t="s">
        <v>963</v>
      </c>
      <c r="D1205" s="9">
        <v>60</v>
      </c>
      <c r="E1205" s="9" t="s">
        <v>1804</v>
      </c>
      <c r="F1205" t="s">
        <v>400</v>
      </c>
      <c r="G1205" t="s">
        <v>401</v>
      </c>
      <c r="H1205" t="s">
        <v>1185</v>
      </c>
    </row>
    <row r="1206" spans="1:8" outlineLevel="2" x14ac:dyDescent="0.3">
      <c r="A1206" s="6">
        <v>15</v>
      </c>
      <c r="B1206" t="s">
        <v>807</v>
      </c>
      <c r="C1206" s="9" t="s">
        <v>963</v>
      </c>
      <c r="D1206" s="9">
        <v>75</v>
      </c>
      <c r="E1206" s="9" t="s">
        <v>1804</v>
      </c>
      <c r="F1206" t="s">
        <v>345</v>
      </c>
      <c r="G1206" t="s">
        <v>215</v>
      </c>
      <c r="H1206" t="s">
        <v>1115</v>
      </c>
    </row>
    <row r="1207" spans="1:8" outlineLevel="2" x14ac:dyDescent="0.3">
      <c r="A1207" s="6">
        <v>15</v>
      </c>
      <c r="B1207" t="s">
        <v>807</v>
      </c>
      <c r="C1207" s="9" t="s">
        <v>963</v>
      </c>
      <c r="D1207" s="9">
        <v>63</v>
      </c>
      <c r="E1207" s="9" t="s">
        <v>1804</v>
      </c>
      <c r="F1207" t="s">
        <v>840</v>
      </c>
      <c r="G1207" t="s">
        <v>168</v>
      </c>
      <c r="H1207" t="s">
        <v>1534</v>
      </c>
    </row>
    <row r="1208" spans="1:8" outlineLevel="2" x14ac:dyDescent="0.3">
      <c r="A1208" s="6">
        <v>15</v>
      </c>
      <c r="B1208" t="s">
        <v>807</v>
      </c>
      <c r="C1208" s="9" t="s">
        <v>963</v>
      </c>
      <c r="D1208" s="9">
        <v>60</v>
      </c>
      <c r="E1208" s="9" t="s">
        <v>1804</v>
      </c>
      <c r="F1208" t="s">
        <v>167</v>
      </c>
      <c r="G1208" t="s">
        <v>168</v>
      </c>
      <c r="H1208" t="s">
        <v>1533</v>
      </c>
    </row>
    <row r="1209" spans="1:8" outlineLevel="2" x14ac:dyDescent="0.3">
      <c r="A1209" s="6">
        <v>15</v>
      </c>
      <c r="B1209" t="s">
        <v>807</v>
      </c>
      <c r="C1209" s="9" t="s">
        <v>963</v>
      </c>
      <c r="D1209" s="9">
        <v>63</v>
      </c>
      <c r="E1209" s="9" t="s">
        <v>1804</v>
      </c>
      <c r="F1209" t="s">
        <v>105</v>
      </c>
      <c r="G1209" t="s">
        <v>171</v>
      </c>
      <c r="H1209" t="s">
        <v>1535</v>
      </c>
    </row>
    <row r="1210" spans="1:8" outlineLevel="2" x14ac:dyDescent="0.3">
      <c r="A1210" s="6">
        <v>15</v>
      </c>
      <c r="B1210" t="s">
        <v>807</v>
      </c>
      <c r="C1210" s="9" t="s">
        <v>963</v>
      </c>
      <c r="D1210" s="9">
        <v>60</v>
      </c>
      <c r="E1210" s="9" t="s">
        <v>1804</v>
      </c>
      <c r="F1210" t="s">
        <v>170</v>
      </c>
      <c r="G1210" t="s">
        <v>171</v>
      </c>
      <c r="H1210" t="s">
        <v>1535</v>
      </c>
    </row>
    <row r="1211" spans="1:8" outlineLevel="2" x14ac:dyDescent="0.3">
      <c r="A1211" s="6">
        <v>15</v>
      </c>
      <c r="B1211" t="s">
        <v>807</v>
      </c>
      <c r="C1211" s="9" t="s">
        <v>963</v>
      </c>
      <c r="D1211" s="9">
        <v>60</v>
      </c>
      <c r="E1211" s="9" t="s">
        <v>1804</v>
      </c>
      <c r="F1211" t="s">
        <v>106</v>
      </c>
      <c r="G1211" t="s">
        <v>32</v>
      </c>
      <c r="H1211" t="s">
        <v>1537</v>
      </c>
    </row>
    <row r="1212" spans="1:8" outlineLevel="2" x14ac:dyDescent="0.3">
      <c r="A1212" s="6">
        <v>15</v>
      </c>
      <c r="B1212" t="s">
        <v>807</v>
      </c>
      <c r="C1212" s="9" t="s">
        <v>963</v>
      </c>
      <c r="D1212" s="9">
        <v>60</v>
      </c>
      <c r="E1212" s="9" t="s">
        <v>1804</v>
      </c>
      <c r="F1212" t="s">
        <v>725</v>
      </c>
      <c r="G1212" t="s">
        <v>504</v>
      </c>
      <c r="H1212" t="s">
        <v>1539</v>
      </c>
    </row>
    <row r="1213" spans="1:8" outlineLevel="2" x14ac:dyDescent="0.3">
      <c r="A1213" s="6">
        <v>15</v>
      </c>
      <c r="B1213" t="s">
        <v>807</v>
      </c>
      <c r="C1213" s="9" t="s">
        <v>963</v>
      </c>
      <c r="D1213" s="9">
        <v>60</v>
      </c>
      <c r="E1213" s="9" t="s">
        <v>1804</v>
      </c>
      <c r="F1213" t="s">
        <v>841</v>
      </c>
      <c r="G1213" t="s">
        <v>816</v>
      </c>
      <c r="H1213" t="s">
        <v>1541</v>
      </c>
    </row>
    <row r="1214" spans="1:8" outlineLevel="2" x14ac:dyDescent="0.3">
      <c r="A1214" s="6">
        <v>15</v>
      </c>
      <c r="B1214" t="s">
        <v>807</v>
      </c>
      <c r="C1214" s="9" t="s">
        <v>963</v>
      </c>
      <c r="D1214" s="9">
        <v>60</v>
      </c>
      <c r="E1214" s="9" t="s">
        <v>1804</v>
      </c>
      <c r="F1214" t="s">
        <v>107</v>
      </c>
      <c r="G1214" t="s">
        <v>108</v>
      </c>
      <c r="H1214" t="s">
        <v>1140</v>
      </c>
    </row>
    <row r="1215" spans="1:8" outlineLevel="2" x14ac:dyDescent="0.3">
      <c r="A1215" s="6">
        <v>15</v>
      </c>
      <c r="B1215" t="s">
        <v>807</v>
      </c>
      <c r="C1215" s="9" t="s">
        <v>963</v>
      </c>
      <c r="D1215" s="9">
        <v>60</v>
      </c>
      <c r="E1215" s="9" t="s">
        <v>1804</v>
      </c>
      <c r="F1215" t="s">
        <v>110</v>
      </c>
      <c r="G1215" t="s">
        <v>41</v>
      </c>
      <c r="H1215" t="s">
        <v>1144</v>
      </c>
    </row>
    <row r="1216" spans="1:8" outlineLevel="2" x14ac:dyDescent="0.3">
      <c r="A1216" s="6">
        <v>15</v>
      </c>
      <c r="B1216" t="s">
        <v>807</v>
      </c>
      <c r="C1216" s="9" t="s">
        <v>963</v>
      </c>
      <c r="D1216" s="9">
        <v>60</v>
      </c>
      <c r="E1216" s="9" t="s">
        <v>1804</v>
      </c>
      <c r="F1216" t="s">
        <v>111</v>
      </c>
      <c r="G1216" t="s">
        <v>112</v>
      </c>
      <c r="H1216" t="s">
        <v>1146</v>
      </c>
    </row>
    <row r="1217" spans="1:8" outlineLevel="2" x14ac:dyDescent="0.3">
      <c r="A1217" s="6">
        <v>15</v>
      </c>
      <c r="B1217" t="s">
        <v>807</v>
      </c>
      <c r="C1217" s="9" t="s">
        <v>963</v>
      </c>
      <c r="D1217" s="9">
        <v>60</v>
      </c>
      <c r="E1217" s="9" t="s">
        <v>1804</v>
      </c>
      <c r="F1217" t="s">
        <v>842</v>
      </c>
      <c r="G1217" t="s">
        <v>819</v>
      </c>
      <c r="H1217" t="s">
        <v>1543</v>
      </c>
    </row>
    <row r="1218" spans="1:8" outlineLevel="2" x14ac:dyDescent="0.3">
      <c r="A1218" s="6">
        <v>15</v>
      </c>
      <c r="B1218" t="s">
        <v>807</v>
      </c>
      <c r="C1218" s="9" t="s">
        <v>963</v>
      </c>
      <c r="D1218" s="9">
        <v>66</v>
      </c>
      <c r="E1218" s="9" t="s">
        <v>1804</v>
      </c>
      <c r="F1218" t="s">
        <v>353</v>
      </c>
      <c r="G1218" t="s">
        <v>354</v>
      </c>
      <c r="H1218" t="s">
        <v>1020</v>
      </c>
    </row>
    <row r="1219" spans="1:8" outlineLevel="2" x14ac:dyDescent="0.3">
      <c r="A1219" s="6">
        <v>15</v>
      </c>
      <c r="B1219" t="s">
        <v>807</v>
      </c>
      <c r="C1219" s="9" t="s">
        <v>963</v>
      </c>
      <c r="D1219" s="9">
        <v>64</v>
      </c>
      <c r="E1219" s="9" t="s">
        <v>1804</v>
      </c>
      <c r="F1219" t="s">
        <v>843</v>
      </c>
      <c r="G1219" t="s">
        <v>428</v>
      </c>
      <c r="H1219" t="s">
        <v>1119</v>
      </c>
    </row>
    <row r="1220" spans="1:8" outlineLevel="2" x14ac:dyDescent="0.3">
      <c r="A1220" s="6">
        <v>15</v>
      </c>
      <c r="B1220" t="s">
        <v>807</v>
      </c>
      <c r="C1220" s="9" t="s">
        <v>963</v>
      </c>
      <c r="D1220" s="9">
        <v>60</v>
      </c>
      <c r="E1220" s="9" t="s">
        <v>1804</v>
      </c>
      <c r="F1220" t="s">
        <v>844</v>
      </c>
      <c r="G1220" t="s">
        <v>551</v>
      </c>
      <c r="H1220" t="s">
        <v>1120</v>
      </c>
    </row>
    <row r="1221" spans="1:8" outlineLevel="2" x14ac:dyDescent="0.3">
      <c r="A1221" s="6">
        <v>15</v>
      </c>
      <c r="B1221" t="s">
        <v>807</v>
      </c>
      <c r="C1221" s="9" t="s">
        <v>963</v>
      </c>
      <c r="D1221" s="9">
        <v>60</v>
      </c>
      <c r="E1221" s="9" t="s">
        <v>1804</v>
      </c>
      <c r="F1221" t="s">
        <v>114</v>
      </c>
      <c r="G1221" t="s">
        <v>115</v>
      </c>
      <c r="H1221" t="s">
        <v>1121</v>
      </c>
    </row>
    <row r="1222" spans="1:8" outlineLevel="2" x14ac:dyDescent="0.3">
      <c r="A1222" s="6">
        <v>15</v>
      </c>
      <c r="B1222" t="s">
        <v>807</v>
      </c>
      <c r="C1222" s="9" t="s">
        <v>963</v>
      </c>
      <c r="D1222" s="9">
        <v>64</v>
      </c>
      <c r="E1222" s="9" t="s">
        <v>1804</v>
      </c>
      <c r="F1222" t="s">
        <v>583</v>
      </c>
      <c r="G1222" t="s">
        <v>238</v>
      </c>
      <c r="H1222" t="s">
        <v>1122</v>
      </c>
    </row>
    <row r="1223" spans="1:8" outlineLevel="2" x14ac:dyDescent="0.3">
      <c r="A1223" s="6">
        <v>15</v>
      </c>
      <c r="B1223" t="s">
        <v>807</v>
      </c>
      <c r="C1223" s="9" t="s">
        <v>963</v>
      </c>
      <c r="D1223" s="9">
        <v>64</v>
      </c>
      <c r="E1223" s="9" t="s">
        <v>1804</v>
      </c>
      <c r="F1223" t="s">
        <v>845</v>
      </c>
      <c r="G1223" t="s">
        <v>238</v>
      </c>
      <c r="H1223" t="s">
        <v>1123</v>
      </c>
    </row>
    <row r="1224" spans="1:8" outlineLevel="2" x14ac:dyDescent="0.3">
      <c r="A1224" s="6">
        <v>15</v>
      </c>
      <c r="B1224" t="s">
        <v>807</v>
      </c>
      <c r="C1224" s="9" t="s">
        <v>963</v>
      </c>
      <c r="D1224" s="9">
        <v>64</v>
      </c>
      <c r="E1224" s="9" t="s">
        <v>1804</v>
      </c>
      <c r="F1224" t="s">
        <v>173</v>
      </c>
      <c r="G1224" t="s">
        <v>118</v>
      </c>
      <c r="H1224" t="s">
        <v>1419</v>
      </c>
    </row>
    <row r="1225" spans="1:8" outlineLevel="2" x14ac:dyDescent="0.3">
      <c r="A1225" s="6">
        <v>15</v>
      </c>
      <c r="B1225" t="s">
        <v>807</v>
      </c>
      <c r="C1225" s="9" t="s">
        <v>963</v>
      </c>
      <c r="D1225" s="9">
        <v>68</v>
      </c>
      <c r="E1225" s="9" t="s">
        <v>1804</v>
      </c>
      <c r="F1225" t="s">
        <v>468</v>
      </c>
      <c r="G1225" t="s">
        <v>54</v>
      </c>
      <c r="H1225" t="s">
        <v>1682</v>
      </c>
    </row>
    <row r="1226" spans="1:8" outlineLevel="2" x14ac:dyDescent="0.3">
      <c r="A1226" s="6">
        <v>15</v>
      </c>
      <c r="B1226" t="s">
        <v>807</v>
      </c>
      <c r="C1226" s="9" t="s">
        <v>963</v>
      </c>
      <c r="D1226" s="9">
        <v>64</v>
      </c>
      <c r="E1226" s="9" t="s">
        <v>1804</v>
      </c>
      <c r="F1226" t="s">
        <v>846</v>
      </c>
      <c r="G1226" t="s">
        <v>54</v>
      </c>
      <c r="H1226" t="s">
        <v>1124</v>
      </c>
    </row>
    <row r="1227" spans="1:8" outlineLevel="2" x14ac:dyDescent="0.3">
      <c r="A1227" s="6">
        <v>15</v>
      </c>
      <c r="B1227" t="s">
        <v>807</v>
      </c>
      <c r="C1227" s="9" t="s">
        <v>963</v>
      </c>
      <c r="D1227" s="9">
        <v>68</v>
      </c>
      <c r="E1227" s="9" t="s">
        <v>1804</v>
      </c>
      <c r="F1227" t="s">
        <v>796</v>
      </c>
      <c r="G1227" t="s">
        <v>54</v>
      </c>
      <c r="H1227" t="s">
        <v>1218</v>
      </c>
    </row>
    <row r="1228" spans="1:8" outlineLevel="2" x14ac:dyDescent="0.3">
      <c r="A1228" s="6">
        <v>15</v>
      </c>
      <c r="B1228" t="s">
        <v>807</v>
      </c>
      <c r="C1228" s="9" t="s">
        <v>963</v>
      </c>
      <c r="D1228" s="9">
        <v>61</v>
      </c>
      <c r="E1228" s="9" t="s">
        <v>1804</v>
      </c>
      <c r="F1228" t="s">
        <v>357</v>
      </c>
      <c r="G1228" t="s">
        <v>616</v>
      </c>
      <c r="H1228" t="s">
        <v>1827</v>
      </c>
    </row>
    <row r="1229" spans="1:8" outlineLevel="2" x14ac:dyDescent="0.3">
      <c r="A1229" s="6">
        <v>15</v>
      </c>
      <c r="B1229" t="s">
        <v>807</v>
      </c>
      <c r="C1229" s="9" t="s">
        <v>963</v>
      </c>
      <c r="D1229" s="9">
        <v>64</v>
      </c>
      <c r="E1229" s="9" t="s">
        <v>1804</v>
      </c>
      <c r="F1229" t="s">
        <v>847</v>
      </c>
      <c r="G1229" t="s">
        <v>253</v>
      </c>
      <c r="H1229" t="s">
        <v>1591</v>
      </c>
    </row>
    <row r="1230" spans="1:8" outlineLevel="2" x14ac:dyDescent="0.3">
      <c r="A1230" s="6">
        <v>15</v>
      </c>
      <c r="B1230" t="s">
        <v>807</v>
      </c>
      <c r="C1230" s="9" t="s">
        <v>963</v>
      </c>
      <c r="D1230" s="9">
        <v>60</v>
      </c>
      <c r="E1230" s="9" t="s">
        <v>1804</v>
      </c>
      <c r="F1230" t="s">
        <v>358</v>
      </c>
      <c r="G1230" t="s">
        <v>359</v>
      </c>
      <c r="H1230" t="s">
        <v>1021</v>
      </c>
    </row>
    <row r="1231" spans="1:8" outlineLevel="2" x14ac:dyDescent="0.3">
      <c r="A1231" s="6">
        <v>15</v>
      </c>
      <c r="B1231" t="s">
        <v>807</v>
      </c>
      <c r="C1231" s="9" t="s">
        <v>963</v>
      </c>
      <c r="D1231" s="9">
        <v>68</v>
      </c>
      <c r="E1231" s="9" t="s">
        <v>1804</v>
      </c>
      <c r="F1231" t="s">
        <v>472</v>
      </c>
      <c r="G1231" t="s">
        <v>473</v>
      </c>
      <c r="H1231" t="s">
        <v>1686</v>
      </c>
    </row>
    <row r="1232" spans="1:8" outlineLevel="2" x14ac:dyDescent="0.3">
      <c r="A1232" s="6">
        <v>15</v>
      </c>
      <c r="B1232" t="s">
        <v>807</v>
      </c>
      <c r="C1232" s="9" t="s">
        <v>963</v>
      </c>
      <c r="D1232" s="9">
        <v>62</v>
      </c>
      <c r="E1232" s="9" t="s">
        <v>1804</v>
      </c>
      <c r="F1232" t="s">
        <v>405</v>
      </c>
      <c r="G1232" t="s">
        <v>260</v>
      </c>
      <c r="H1232" t="s">
        <v>1022</v>
      </c>
    </row>
    <row r="1233" spans="1:8" outlineLevel="2" x14ac:dyDescent="0.3">
      <c r="A1233" s="6">
        <v>15</v>
      </c>
      <c r="B1233" t="s">
        <v>807</v>
      </c>
      <c r="C1233" s="9" t="s">
        <v>963</v>
      </c>
      <c r="D1233" s="9">
        <v>61</v>
      </c>
      <c r="E1233" s="9" t="s">
        <v>1804</v>
      </c>
      <c r="F1233" t="s">
        <v>848</v>
      </c>
      <c r="G1233" t="s">
        <v>266</v>
      </c>
      <c r="H1233" t="s">
        <v>1844</v>
      </c>
    </row>
    <row r="1234" spans="1:8" outlineLevel="2" x14ac:dyDescent="0.3">
      <c r="A1234" s="6">
        <v>15</v>
      </c>
      <c r="B1234" t="s">
        <v>807</v>
      </c>
      <c r="C1234" s="9" t="s">
        <v>963</v>
      </c>
      <c r="D1234" s="9">
        <v>64</v>
      </c>
      <c r="E1234" s="9" t="s">
        <v>1804</v>
      </c>
      <c r="F1234" t="s">
        <v>362</v>
      </c>
      <c r="G1234" t="s">
        <v>298</v>
      </c>
      <c r="H1234" t="s">
        <v>1794</v>
      </c>
    </row>
    <row r="1235" spans="1:8" outlineLevel="2" x14ac:dyDescent="0.3">
      <c r="A1235" s="6">
        <v>15</v>
      </c>
      <c r="B1235" t="s">
        <v>807</v>
      </c>
      <c r="C1235" s="9" t="s">
        <v>963</v>
      </c>
      <c r="D1235" s="9">
        <v>83</v>
      </c>
      <c r="E1235" s="9" t="s">
        <v>1804</v>
      </c>
      <c r="F1235" t="s">
        <v>364</v>
      </c>
      <c r="G1235" t="s">
        <v>301</v>
      </c>
      <c r="H1235" t="s">
        <v>1795</v>
      </c>
    </row>
    <row r="1236" spans="1:8" outlineLevel="2" x14ac:dyDescent="0.3">
      <c r="A1236" s="6">
        <v>15</v>
      </c>
      <c r="B1236" t="s">
        <v>807</v>
      </c>
      <c r="C1236" s="9" t="s">
        <v>963</v>
      </c>
      <c r="D1236" s="9">
        <v>60</v>
      </c>
      <c r="E1236" s="9" t="s">
        <v>1804</v>
      </c>
      <c r="F1236" t="s">
        <v>365</v>
      </c>
      <c r="G1236" t="s">
        <v>301</v>
      </c>
      <c r="H1236" t="s">
        <v>1796</v>
      </c>
    </row>
    <row r="1237" spans="1:8" outlineLevel="2" x14ac:dyDescent="0.3">
      <c r="A1237" s="6">
        <v>15</v>
      </c>
      <c r="B1237" t="s">
        <v>807</v>
      </c>
      <c r="C1237" s="9" t="s">
        <v>963</v>
      </c>
      <c r="D1237" s="9">
        <v>64</v>
      </c>
      <c r="E1237" s="9" t="s">
        <v>1804</v>
      </c>
      <c r="F1237" t="s">
        <v>121</v>
      </c>
      <c r="G1237" t="s">
        <v>122</v>
      </c>
      <c r="H1237" t="s">
        <v>1125</v>
      </c>
    </row>
    <row r="1238" spans="1:8" outlineLevel="2" x14ac:dyDescent="0.3">
      <c r="A1238" s="6">
        <v>15</v>
      </c>
      <c r="B1238" t="s">
        <v>807</v>
      </c>
      <c r="C1238" s="9" t="s">
        <v>963</v>
      </c>
      <c r="D1238" s="9">
        <v>64</v>
      </c>
      <c r="E1238" s="9" t="s">
        <v>1804</v>
      </c>
      <c r="F1238" t="s">
        <v>586</v>
      </c>
      <c r="G1238" t="s">
        <v>63</v>
      </c>
      <c r="H1238" t="s">
        <v>1126</v>
      </c>
    </row>
    <row r="1239" spans="1:8" outlineLevel="2" x14ac:dyDescent="0.3">
      <c r="A1239" s="6">
        <v>15</v>
      </c>
      <c r="B1239" t="s">
        <v>807</v>
      </c>
      <c r="C1239" s="9" t="s">
        <v>963</v>
      </c>
      <c r="D1239" s="9">
        <v>64</v>
      </c>
      <c r="E1239" s="9" t="s">
        <v>1804</v>
      </c>
      <c r="F1239" t="s">
        <v>475</v>
      </c>
      <c r="G1239" t="s">
        <v>476</v>
      </c>
      <c r="H1239" t="s">
        <v>1127</v>
      </c>
    </row>
    <row r="1240" spans="1:8" outlineLevel="2" x14ac:dyDescent="0.3">
      <c r="A1240" s="6">
        <v>15</v>
      </c>
      <c r="B1240" t="s">
        <v>807</v>
      </c>
      <c r="C1240" s="9" t="s">
        <v>963</v>
      </c>
      <c r="D1240" s="9">
        <v>64</v>
      </c>
      <c r="E1240" s="9" t="s">
        <v>1804</v>
      </c>
      <c r="F1240" t="s">
        <v>478</v>
      </c>
      <c r="G1240" t="s">
        <v>479</v>
      </c>
      <c r="H1240" t="s">
        <v>1128</v>
      </c>
    </row>
    <row r="1241" spans="1:8" outlineLevel="2" x14ac:dyDescent="0.3">
      <c r="A1241" s="6">
        <v>15</v>
      </c>
      <c r="B1241" t="s">
        <v>807</v>
      </c>
      <c r="C1241" s="9" t="s">
        <v>963</v>
      </c>
      <c r="D1241" s="9">
        <v>64</v>
      </c>
      <c r="E1241" s="9" t="s">
        <v>1804</v>
      </c>
      <c r="F1241" t="s">
        <v>849</v>
      </c>
      <c r="G1241" t="s">
        <v>309</v>
      </c>
      <c r="H1241" t="s">
        <v>1798</v>
      </c>
    </row>
    <row r="1242" spans="1:8" outlineLevel="2" x14ac:dyDescent="0.3">
      <c r="A1242" s="6">
        <v>15</v>
      </c>
      <c r="B1242" t="s">
        <v>807</v>
      </c>
      <c r="C1242" s="9" t="s">
        <v>963</v>
      </c>
      <c r="D1242" s="9">
        <v>60</v>
      </c>
      <c r="E1242" s="9" t="s">
        <v>1804</v>
      </c>
      <c r="F1242" t="s">
        <v>367</v>
      </c>
      <c r="G1242" t="s">
        <v>368</v>
      </c>
      <c r="H1242" t="s">
        <v>1688</v>
      </c>
    </row>
    <row r="1243" spans="1:8" outlineLevel="2" x14ac:dyDescent="0.3">
      <c r="A1243" s="6">
        <v>15</v>
      </c>
      <c r="B1243" t="s">
        <v>807</v>
      </c>
      <c r="C1243" s="9" t="s">
        <v>963</v>
      </c>
      <c r="D1243" s="9">
        <v>72</v>
      </c>
      <c r="E1243" s="9" t="s">
        <v>1804</v>
      </c>
      <c r="F1243" t="s">
        <v>373</v>
      </c>
      <c r="G1243" t="s">
        <v>832</v>
      </c>
      <c r="H1243" t="s">
        <v>1828</v>
      </c>
    </row>
    <row r="1244" spans="1:8" outlineLevel="2" x14ac:dyDescent="0.3">
      <c r="A1244" s="6">
        <v>15</v>
      </c>
      <c r="B1244" t="s">
        <v>807</v>
      </c>
      <c r="C1244" s="9" t="s">
        <v>963</v>
      </c>
      <c r="D1244" s="9">
        <v>60</v>
      </c>
      <c r="E1244" s="9" t="s">
        <v>1804</v>
      </c>
      <c r="F1244" t="s">
        <v>850</v>
      </c>
      <c r="G1244" t="s">
        <v>832</v>
      </c>
      <c r="H1244" t="s">
        <v>1192</v>
      </c>
    </row>
    <row r="1245" spans="1:8" outlineLevel="2" x14ac:dyDescent="0.3">
      <c r="A1245" s="6">
        <v>15</v>
      </c>
      <c r="B1245" t="s">
        <v>807</v>
      </c>
      <c r="C1245" s="9" t="s">
        <v>963</v>
      </c>
      <c r="D1245" s="9">
        <v>63</v>
      </c>
      <c r="E1245" s="9" t="s">
        <v>1804</v>
      </c>
      <c r="F1245" t="s">
        <v>851</v>
      </c>
      <c r="G1245" t="s">
        <v>923</v>
      </c>
      <c r="H1245" t="s">
        <v>1195</v>
      </c>
    </row>
    <row r="1246" spans="1:8" outlineLevel="2" x14ac:dyDescent="0.3">
      <c r="A1246" s="6">
        <v>15</v>
      </c>
      <c r="B1246" t="s">
        <v>807</v>
      </c>
      <c r="C1246" s="9" t="s">
        <v>963</v>
      </c>
      <c r="D1246" s="9">
        <v>63</v>
      </c>
      <c r="E1246" s="9" t="s">
        <v>1804</v>
      </c>
      <c r="F1246" t="s">
        <v>124</v>
      </c>
      <c r="G1246" t="s">
        <v>572</v>
      </c>
      <c r="H1246" t="s">
        <v>1024</v>
      </c>
    </row>
    <row r="1247" spans="1:8" outlineLevel="2" x14ac:dyDescent="0.3">
      <c r="A1247" s="6">
        <v>15</v>
      </c>
      <c r="B1247" t="s">
        <v>807</v>
      </c>
      <c r="C1247" s="9" t="s">
        <v>963</v>
      </c>
      <c r="D1247" s="9">
        <v>64</v>
      </c>
      <c r="E1247" s="9" t="s">
        <v>1804</v>
      </c>
      <c r="F1247" t="s">
        <v>125</v>
      </c>
      <c r="G1247" t="s">
        <v>126</v>
      </c>
      <c r="H1247" t="s">
        <v>1581</v>
      </c>
    </row>
    <row r="1248" spans="1:8" outlineLevel="2" x14ac:dyDescent="0.3">
      <c r="A1248" s="6">
        <v>15</v>
      </c>
      <c r="B1248" t="s">
        <v>807</v>
      </c>
      <c r="C1248" s="9" t="s">
        <v>963</v>
      </c>
      <c r="D1248" s="9">
        <v>60</v>
      </c>
      <c r="E1248" s="9" t="s">
        <v>1804</v>
      </c>
      <c r="F1248" t="s">
        <v>128</v>
      </c>
      <c r="G1248" t="s">
        <v>129</v>
      </c>
      <c r="H1248" t="s">
        <v>1582</v>
      </c>
    </row>
    <row r="1249" spans="1:8" outlineLevel="2" x14ac:dyDescent="0.3">
      <c r="A1249" s="6">
        <v>15</v>
      </c>
      <c r="B1249" t="s">
        <v>807</v>
      </c>
      <c r="C1249" s="9" t="s">
        <v>963</v>
      </c>
      <c r="D1249" s="9">
        <v>60</v>
      </c>
      <c r="E1249" s="9" t="s">
        <v>1804</v>
      </c>
      <c r="F1249" t="s">
        <v>407</v>
      </c>
      <c r="G1249" t="s">
        <v>396</v>
      </c>
      <c r="H1249" t="s">
        <v>1583</v>
      </c>
    </row>
    <row r="1250" spans="1:8" outlineLevel="2" x14ac:dyDescent="0.3">
      <c r="A1250" s="6">
        <v>15</v>
      </c>
      <c r="B1250" t="s">
        <v>807</v>
      </c>
      <c r="C1250" s="9" t="s">
        <v>963</v>
      </c>
      <c r="D1250" s="9">
        <v>60</v>
      </c>
      <c r="E1250" s="9" t="s">
        <v>1804</v>
      </c>
      <c r="F1250" t="s">
        <v>688</v>
      </c>
      <c r="G1250" t="s">
        <v>576</v>
      </c>
      <c r="H1250" t="s">
        <v>1584</v>
      </c>
    </row>
    <row r="1251" spans="1:8" outlineLevel="2" x14ac:dyDescent="0.3">
      <c r="A1251" s="6">
        <v>15</v>
      </c>
      <c r="B1251" t="s">
        <v>807</v>
      </c>
      <c r="C1251" s="9" t="s">
        <v>963</v>
      </c>
      <c r="D1251" s="9">
        <v>60</v>
      </c>
      <c r="E1251" s="9" t="s">
        <v>1804</v>
      </c>
      <c r="F1251" t="s">
        <v>690</v>
      </c>
      <c r="G1251" t="s">
        <v>691</v>
      </c>
      <c r="H1251" t="s">
        <v>1585</v>
      </c>
    </row>
    <row r="1252" spans="1:8" outlineLevel="2" x14ac:dyDescent="0.3">
      <c r="A1252" s="6">
        <v>15</v>
      </c>
      <c r="B1252" t="s">
        <v>807</v>
      </c>
      <c r="C1252" s="9" t="s">
        <v>963</v>
      </c>
      <c r="D1252" s="9">
        <v>60</v>
      </c>
      <c r="E1252" s="9" t="s">
        <v>1804</v>
      </c>
      <c r="F1252" t="s">
        <v>131</v>
      </c>
      <c r="G1252" t="s">
        <v>376</v>
      </c>
      <c r="H1252" t="s">
        <v>1818</v>
      </c>
    </row>
    <row r="1253" spans="1:8" outlineLevel="1" x14ac:dyDescent="0.3">
      <c r="A1253" s="16" t="s">
        <v>2201</v>
      </c>
      <c r="H1253">
        <f>SUBTOTAL(3,H1101:H1252)</f>
        <v>152</v>
      </c>
    </row>
    <row r="1254" spans="1:8" outlineLevel="2" x14ac:dyDescent="0.3">
      <c r="A1254" s="6">
        <v>16</v>
      </c>
      <c r="B1254" t="s">
        <v>801</v>
      </c>
      <c r="C1254" s="9" t="s">
        <v>932</v>
      </c>
      <c r="D1254" s="9">
        <v>37</v>
      </c>
      <c r="E1254" s="9" t="s">
        <v>1804</v>
      </c>
      <c r="F1254" t="s">
        <v>198</v>
      </c>
      <c r="G1254" t="s">
        <v>196</v>
      </c>
      <c r="H1254" t="s">
        <v>1267</v>
      </c>
    </row>
    <row r="1255" spans="1:8" outlineLevel="2" x14ac:dyDescent="0.3">
      <c r="A1255" s="6">
        <v>16</v>
      </c>
      <c r="B1255" t="s">
        <v>801</v>
      </c>
      <c r="C1255" s="9" t="s">
        <v>1807</v>
      </c>
      <c r="D1255" s="9">
        <v>1110</v>
      </c>
      <c r="E1255" s="9" t="s">
        <v>1808</v>
      </c>
      <c r="F1255" t="s">
        <v>802</v>
      </c>
      <c r="G1255" t="s">
        <v>196</v>
      </c>
      <c r="H1255" t="s">
        <v>1269</v>
      </c>
    </row>
    <row r="1256" spans="1:8" outlineLevel="2" x14ac:dyDescent="0.3">
      <c r="A1256" s="6">
        <v>16</v>
      </c>
      <c r="B1256" t="s">
        <v>801</v>
      </c>
      <c r="C1256" s="9" t="s">
        <v>932</v>
      </c>
      <c r="D1256" s="9">
        <v>42</v>
      </c>
      <c r="E1256" s="9" t="s">
        <v>1804</v>
      </c>
      <c r="F1256" t="s">
        <v>14</v>
      </c>
      <c r="G1256" t="s">
        <v>15</v>
      </c>
      <c r="H1256" t="s">
        <v>1290</v>
      </c>
    </row>
    <row r="1257" spans="1:8" outlineLevel="2" x14ac:dyDescent="0.3">
      <c r="A1257" s="6">
        <v>16</v>
      </c>
      <c r="B1257" t="s">
        <v>801</v>
      </c>
      <c r="C1257" s="9" t="s">
        <v>932</v>
      </c>
      <c r="D1257" s="9">
        <v>12</v>
      </c>
      <c r="E1257" s="9" t="s">
        <v>1804</v>
      </c>
      <c r="F1257" t="s">
        <v>204</v>
      </c>
      <c r="G1257" t="s">
        <v>15</v>
      </c>
      <c r="H1257" t="s">
        <v>1292</v>
      </c>
    </row>
    <row r="1258" spans="1:8" outlineLevel="2" x14ac:dyDescent="0.3">
      <c r="A1258" s="6">
        <v>16</v>
      </c>
      <c r="B1258" t="s">
        <v>801</v>
      </c>
      <c r="C1258" s="9" t="s">
        <v>1807</v>
      </c>
      <c r="D1258" s="9">
        <v>1350</v>
      </c>
      <c r="E1258" s="9" t="s">
        <v>1808</v>
      </c>
      <c r="F1258" t="s">
        <v>413</v>
      </c>
      <c r="G1258" t="s">
        <v>414</v>
      </c>
      <c r="H1258" t="s">
        <v>1332</v>
      </c>
    </row>
    <row r="1259" spans="1:8" outlineLevel="2" x14ac:dyDescent="0.3">
      <c r="A1259" s="6">
        <v>16</v>
      </c>
      <c r="B1259" t="s">
        <v>801</v>
      </c>
      <c r="C1259" s="9" t="s">
        <v>1807</v>
      </c>
      <c r="D1259" s="9">
        <v>45</v>
      </c>
      <c r="E1259" s="9" t="s">
        <v>1808</v>
      </c>
      <c r="F1259" t="s">
        <v>803</v>
      </c>
      <c r="G1259" t="s">
        <v>343</v>
      </c>
      <c r="H1259" t="s">
        <v>1179</v>
      </c>
    </row>
    <row r="1260" spans="1:8" outlineLevel="2" x14ac:dyDescent="0.3">
      <c r="A1260" s="6">
        <v>16</v>
      </c>
      <c r="B1260" t="s">
        <v>801</v>
      </c>
      <c r="C1260" s="9" t="s">
        <v>1807</v>
      </c>
      <c r="D1260" s="9">
        <v>600</v>
      </c>
      <c r="E1260" s="9" t="s">
        <v>1808</v>
      </c>
      <c r="F1260" t="s">
        <v>623</v>
      </c>
      <c r="G1260" t="s">
        <v>29</v>
      </c>
      <c r="H1260" t="s">
        <v>1185</v>
      </c>
    </row>
    <row r="1261" spans="1:8" outlineLevel="2" x14ac:dyDescent="0.3">
      <c r="A1261" s="6">
        <v>16</v>
      </c>
      <c r="B1261" t="s">
        <v>801</v>
      </c>
      <c r="C1261" s="9" t="s">
        <v>932</v>
      </c>
      <c r="D1261" s="9">
        <v>18</v>
      </c>
      <c r="E1261" s="9" t="s">
        <v>1804</v>
      </c>
      <c r="F1261" t="s">
        <v>154</v>
      </c>
      <c r="G1261" t="s">
        <v>108</v>
      </c>
      <c r="H1261" t="s">
        <v>1151</v>
      </c>
    </row>
    <row r="1262" spans="1:8" outlineLevel="2" x14ac:dyDescent="0.3">
      <c r="A1262" s="6">
        <v>16</v>
      </c>
      <c r="B1262" t="s">
        <v>801</v>
      </c>
      <c r="C1262" s="9" t="s">
        <v>932</v>
      </c>
      <c r="D1262" s="9">
        <v>21</v>
      </c>
      <c r="E1262" s="9" t="s">
        <v>1804</v>
      </c>
      <c r="F1262" t="s">
        <v>507</v>
      </c>
      <c r="G1262" t="s">
        <v>108</v>
      </c>
      <c r="H1262" t="s">
        <v>1154</v>
      </c>
    </row>
    <row r="1263" spans="1:8" outlineLevel="2" x14ac:dyDescent="0.3">
      <c r="A1263" s="6">
        <v>16</v>
      </c>
      <c r="B1263" t="s">
        <v>801</v>
      </c>
      <c r="C1263" s="9" t="s">
        <v>932</v>
      </c>
      <c r="D1263" s="9">
        <v>18</v>
      </c>
      <c r="E1263" s="9" t="s">
        <v>1804</v>
      </c>
      <c r="F1263" t="s">
        <v>227</v>
      </c>
      <c r="G1263" t="s">
        <v>41</v>
      </c>
      <c r="H1263" t="s">
        <v>1167</v>
      </c>
    </row>
    <row r="1264" spans="1:8" outlineLevel="2" x14ac:dyDescent="0.3">
      <c r="A1264" s="6">
        <v>16</v>
      </c>
      <c r="B1264" t="s">
        <v>801</v>
      </c>
      <c r="C1264" s="9" t="s">
        <v>932</v>
      </c>
      <c r="D1264" s="9">
        <v>12</v>
      </c>
      <c r="E1264" s="9" t="s">
        <v>1804</v>
      </c>
      <c r="F1264" t="s">
        <v>228</v>
      </c>
      <c r="G1264" t="s">
        <v>41</v>
      </c>
      <c r="H1264" t="s">
        <v>1168</v>
      </c>
    </row>
    <row r="1265" spans="1:8" outlineLevel="2" x14ac:dyDescent="0.3">
      <c r="A1265" s="6">
        <v>16</v>
      </c>
      <c r="B1265" t="s">
        <v>801</v>
      </c>
      <c r="C1265" s="9" t="s">
        <v>1807</v>
      </c>
      <c r="D1265" s="9">
        <v>1050</v>
      </c>
      <c r="E1265" s="9" t="s">
        <v>1808</v>
      </c>
      <c r="F1265" t="s">
        <v>804</v>
      </c>
      <c r="G1265" t="s">
        <v>805</v>
      </c>
      <c r="H1265" t="s">
        <v>1157</v>
      </c>
    </row>
    <row r="1266" spans="1:8" outlineLevel="2" x14ac:dyDescent="0.3">
      <c r="A1266" s="6">
        <v>16</v>
      </c>
      <c r="B1266" t="s">
        <v>801</v>
      </c>
      <c r="C1266" s="9" t="s">
        <v>932</v>
      </c>
      <c r="D1266" s="9">
        <v>18</v>
      </c>
      <c r="E1266" s="9" t="s">
        <v>1804</v>
      </c>
      <c r="F1266" t="s">
        <v>246</v>
      </c>
      <c r="G1266" t="s">
        <v>51</v>
      </c>
      <c r="H1266" t="s">
        <v>1596</v>
      </c>
    </row>
    <row r="1267" spans="1:8" outlineLevel="2" x14ac:dyDescent="0.3">
      <c r="A1267" s="6">
        <v>16</v>
      </c>
      <c r="B1267" t="s">
        <v>801</v>
      </c>
      <c r="C1267" s="9" t="s">
        <v>1807</v>
      </c>
      <c r="D1267" s="9">
        <v>600</v>
      </c>
      <c r="E1267" s="9" t="s">
        <v>1808</v>
      </c>
      <c r="F1267" t="s">
        <v>602</v>
      </c>
      <c r="G1267" t="s">
        <v>57</v>
      </c>
      <c r="H1267" t="s">
        <v>1624</v>
      </c>
    </row>
    <row r="1268" spans="1:8" outlineLevel="2" x14ac:dyDescent="0.3">
      <c r="A1268" s="6">
        <v>16</v>
      </c>
      <c r="B1268" t="s">
        <v>801</v>
      </c>
      <c r="C1268" s="9" t="s">
        <v>932</v>
      </c>
      <c r="D1268" s="9">
        <v>12</v>
      </c>
      <c r="E1268" s="9" t="s">
        <v>1804</v>
      </c>
      <c r="F1268" t="s">
        <v>781</v>
      </c>
      <c r="G1268" t="s">
        <v>253</v>
      </c>
      <c r="H1268" t="s">
        <v>1634</v>
      </c>
    </row>
    <row r="1269" spans="1:8" outlineLevel="2" x14ac:dyDescent="0.3">
      <c r="A1269" s="6">
        <v>16</v>
      </c>
      <c r="B1269" t="s">
        <v>801</v>
      </c>
      <c r="C1269" s="9" t="s">
        <v>932</v>
      </c>
      <c r="D1269" s="9">
        <v>12</v>
      </c>
      <c r="E1269" s="9" t="s">
        <v>1804</v>
      </c>
      <c r="F1269" t="s">
        <v>252</v>
      </c>
      <c r="G1269" t="s">
        <v>253</v>
      </c>
      <c r="H1269" t="s">
        <v>1635</v>
      </c>
    </row>
    <row r="1270" spans="1:8" outlineLevel="2" x14ac:dyDescent="0.3">
      <c r="A1270" s="6">
        <v>16</v>
      </c>
      <c r="B1270" t="s">
        <v>801</v>
      </c>
      <c r="C1270" s="9" t="s">
        <v>1807</v>
      </c>
      <c r="D1270" s="9">
        <v>320</v>
      </c>
      <c r="E1270" s="9" t="s">
        <v>1808</v>
      </c>
      <c r="F1270" t="s">
        <v>304</v>
      </c>
      <c r="G1270" t="s">
        <v>305</v>
      </c>
      <c r="H1270" t="s">
        <v>1785</v>
      </c>
    </row>
    <row r="1271" spans="1:8" outlineLevel="2" x14ac:dyDescent="0.3">
      <c r="A1271" s="6">
        <v>16</v>
      </c>
      <c r="B1271" t="s">
        <v>801</v>
      </c>
      <c r="C1271" s="9" t="s">
        <v>1807</v>
      </c>
      <c r="D1271" s="9">
        <v>770</v>
      </c>
      <c r="E1271" s="9" t="s">
        <v>1808</v>
      </c>
      <c r="F1271" t="s">
        <v>71</v>
      </c>
      <c r="G1271" t="s">
        <v>72</v>
      </c>
      <c r="H1271" t="s">
        <v>1565</v>
      </c>
    </row>
    <row r="1272" spans="1:8" outlineLevel="2" x14ac:dyDescent="0.3">
      <c r="A1272" s="6">
        <v>16</v>
      </c>
      <c r="B1272" t="s">
        <v>801</v>
      </c>
      <c r="C1272" s="9" t="s">
        <v>1807</v>
      </c>
      <c r="D1272" s="9">
        <v>518</v>
      </c>
      <c r="E1272" s="9" t="s">
        <v>1808</v>
      </c>
      <c r="F1272" t="s">
        <v>74</v>
      </c>
      <c r="G1272" t="s">
        <v>72</v>
      </c>
      <c r="H1272" t="s">
        <v>1566</v>
      </c>
    </row>
    <row r="1273" spans="1:8" outlineLevel="2" x14ac:dyDescent="0.3">
      <c r="A1273" s="6">
        <v>16</v>
      </c>
      <c r="B1273" t="s">
        <v>801</v>
      </c>
      <c r="C1273" s="9" t="s">
        <v>963</v>
      </c>
      <c r="D1273" s="9">
        <v>73</v>
      </c>
      <c r="E1273" s="9" t="s">
        <v>1804</v>
      </c>
      <c r="F1273" t="s">
        <v>90</v>
      </c>
      <c r="G1273" t="s">
        <v>15</v>
      </c>
      <c r="H1273" t="s">
        <v>1351</v>
      </c>
    </row>
    <row r="1274" spans="1:8" outlineLevel="2" x14ac:dyDescent="0.3">
      <c r="A1274" s="6">
        <v>16</v>
      </c>
      <c r="B1274" t="s">
        <v>801</v>
      </c>
      <c r="C1274" s="9" t="s">
        <v>963</v>
      </c>
      <c r="D1274" s="9">
        <v>72</v>
      </c>
      <c r="E1274" s="9" t="s">
        <v>1804</v>
      </c>
      <c r="F1274" t="s">
        <v>101</v>
      </c>
      <c r="G1274" t="s">
        <v>102</v>
      </c>
      <c r="H1274" t="s">
        <v>1365</v>
      </c>
    </row>
    <row r="1275" spans="1:8" outlineLevel="2" x14ac:dyDescent="0.3">
      <c r="A1275" s="6">
        <v>16</v>
      </c>
      <c r="B1275" t="s">
        <v>801</v>
      </c>
      <c r="C1275" s="9" t="s">
        <v>963</v>
      </c>
      <c r="D1275" s="9">
        <v>60</v>
      </c>
      <c r="E1275" s="9" t="s">
        <v>1804</v>
      </c>
      <c r="F1275" t="s">
        <v>107</v>
      </c>
      <c r="G1275" t="s">
        <v>108</v>
      </c>
      <c r="H1275" t="s">
        <v>1140</v>
      </c>
    </row>
    <row r="1276" spans="1:8" outlineLevel="2" x14ac:dyDescent="0.3">
      <c r="A1276" s="6">
        <v>16</v>
      </c>
      <c r="B1276" t="s">
        <v>801</v>
      </c>
      <c r="C1276" s="9" t="s">
        <v>963</v>
      </c>
      <c r="D1276" s="9">
        <v>60</v>
      </c>
      <c r="E1276" s="9" t="s">
        <v>1804</v>
      </c>
      <c r="F1276" t="s">
        <v>110</v>
      </c>
      <c r="G1276" t="s">
        <v>41</v>
      </c>
      <c r="H1276" t="s">
        <v>1144</v>
      </c>
    </row>
    <row r="1277" spans="1:8" outlineLevel="2" x14ac:dyDescent="0.3">
      <c r="A1277" s="6">
        <v>16</v>
      </c>
      <c r="B1277" t="s">
        <v>801</v>
      </c>
      <c r="C1277" s="9" t="s">
        <v>963</v>
      </c>
      <c r="D1277" s="9">
        <v>60</v>
      </c>
      <c r="E1277" s="9" t="s">
        <v>1804</v>
      </c>
      <c r="F1277" t="s">
        <v>120</v>
      </c>
      <c r="G1277" t="s">
        <v>51</v>
      </c>
      <c r="H1277" t="s">
        <v>1590</v>
      </c>
    </row>
    <row r="1278" spans="1:8" outlineLevel="2" x14ac:dyDescent="0.3">
      <c r="A1278" s="6">
        <v>16</v>
      </c>
      <c r="B1278" t="s">
        <v>801</v>
      </c>
      <c r="C1278" s="9" t="s">
        <v>963</v>
      </c>
      <c r="D1278" s="9">
        <v>60</v>
      </c>
      <c r="E1278" s="9" t="s">
        <v>1804</v>
      </c>
      <c r="F1278" t="s">
        <v>128</v>
      </c>
      <c r="G1278" t="s">
        <v>129</v>
      </c>
      <c r="H1278" t="s">
        <v>1582</v>
      </c>
    </row>
    <row r="1279" spans="1:8" outlineLevel="1" x14ac:dyDescent="0.3">
      <c r="A1279" s="16" t="s">
        <v>2202</v>
      </c>
      <c r="H1279">
        <f>SUBTOTAL(3,H1254:H1278)</f>
        <v>25</v>
      </c>
    </row>
    <row r="1280" spans="1:8" outlineLevel="2" x14ac:dyDescent="0.3">
      <c r="A1280" s="6">
        <v>17</v>
      </c>
      <c r="B1280" t="s">
        <v>797</v>
      </c>
      <c r="C1280" s="9" t="s">
        <v>932</v>
      </c>
      <c r="D1280" s="9">
        <v>30</v>
      </c>
      <c r="E1280" s="9" t="s">
        <v>1804</v>
      </c>
      <c r="F1280" t="s">
        <v>146</v>
      </c>
      <c r="G1280" t="s">
        <v>147</v>
      </c>
      <c r="H1280" t="s">
        <v>1377</v>
      </c>
    </row>
    <row r="1281" spans="1:8" outlineLevel="2" x14ac:dyDescent="0.3">
      <c r="A1281" s="6">
        <v>17</v>
      </c>
      <c r="B1281" t="s">
        <v>797</v>
      </c>
      <c r="C1281" s="9" t="s">
        <v>932</v>
      </c>
      <c r="D1281" s="9">
        <v>15</v>
      </c>
      <c r="E1281" s="9" t="s">
        <v>1804</v>
      </c>
      <c r="F1281" t="s">
        <v>149</v>
      </c>
      <c r="G1281" t="s">
        <v>147</v>
      </c>
      <c r="H1281" t="s">
        <v>1378</v>
      </c>
    </row>
    <row r="1282" spans="1:8" outlineLevel="2" x14ac:dyDescent="0.3">
      <c r="A1282" s="6">
        <v>17</v>
      </c>
      <c r="B1282" t="s">
        <v>797</v>
      </c>
      <c r="C1282" s="9" t="s">
        <v>932</v>
      </c>
      <c r="D1282" s="9">
        <v>30</v>
      </c>
      <c r="E1282" s="9" t="s">
        <v>1804</v>
      </c>
      <c r="F1282" t="s">
        <v>176</v>
      </c>
      <c r="G1282" t="s">
        <v>177</v>
      </c>
      <c r="H1282" t="s">
        <v>1381</v>
      </c>
    </row>
    <row r="1283" spans="1:8" outlineLevel="2" x14ac:dyDescent="0.3">
      <c r="A1283" s="6">
        <v>17</v>
      </c>
      <c r="B1283" t="s">
        <v>797</v>
      </c>
      <c r="C1283" s="9" t="s">
        <v>932</v>
      </c>
      <c r="D1283" s="9">
        <v>12</v>
      </c>
      <c r="E1283" s="9" t="s">
        <v>1804</v>
      </c>
      <c r="F1283" t="s">
        <v>663</v>
      </c>
      <c r="G1283" t="s">
        <v>177</v>
      </c>
      <c r="H1283" t="s">
        <v>1382</v>
      </c>
    </row>
    <row r="1284" spans="1:8" outlineLevel="2" x14ac:dyDescent="0.3">
      <c r="A1284" s="6">
        <v>17</v>
      </c>
      <c r="B1284" t="s">
        <v>797</v>
      </c>
      <c r="C1284" s="9" t="s">
        <v>932</v>
      </c>
      <c r="D1284" s="9">
        <v>18</v>
      </c>
      <c r="E1284" s="9" t="s">
        <v>1804</v>
      </c>
      <c r="F1284" t="s">
        <v>535</v>
      </c>
      <c r="G1284" t="s">
        <v>177</v>
      </c>
      <c r="H1284" t="s">
        <v>1383</v>
      </c>
    </row>
    <row r="1285" spans="1:8" outlineLevel="2" x14ac:dyDescent="0.3">
      <c r="A1285" s="6">
        <v>17</v>
      </c>
      <c r="B1285" t="s">
        <v>797</v>
      </c>
      <c r="C1285" s="9" t="s">
        <v>932</v>
      </c>
      <c r="D1285" s="9">
        <v>24</v>
      </c>
      <c r="E1285" s="9" t="s">
        <v>1804</v>
      </c>
      <c r="F1285" t="s">
        <v>536</v>
      </c>
      <c r="G1285" t="s">
        <v>537</v>
      </c>
      <c r="H1285" t="s">
        <v>1384</v>
      </c>
    </row>
    <row r="1286" spans="1:8" outlineLevel="2" x14ac:dyDescent="0.3">
      <c r="A1286" s="6">
        <v>17</v>
      </c>
      <c r="B1286" t="s">
        <v>797</v>
      </c>
      <c r="C1286" s="9" t="s">
        <v>1807</v>
      </c>
      <c r="D1286" s="9">
        <v>1230</v>
      </c>
      <c r="E1286" s="9" t="s">
        <v>1808</v>
      </c>
      <c r="F1286" t="s">
        <v>10</v>
      </c>
      <c r="G1286" t="s">
        <v>526</v>
      </c>
      <c r="H1286" t="s">
        <v>1812</v>
      </c>
    </row>
    <row r="1287" spans="1:8" outlineLevel="2" x14ac:dyDescent="0.3">
      <c r="A1287" s="6">
        <v>17</v>
      </c>
      <c r="B1287" t="s">
        <v>797</v>
      </c>
      <c r="C1287" s="9" t="s">
        <v>932</v>
      </c>
      <c r="D1287" s="9">
        <v>37</v>
      </c>
      <c r="E1287" s="9" t="s">
        <v>1804</v>
      </c>
      <c r="F1287" t="s">
        <v>198</v>
      </c>
      <c r="G1287" t="s">
        <v>196</v>
      </c>
      <c r="H1287" t="s">
        <v>1267</v>
      </c>
    </row>
    <row r="1288" spans="1:8" outlineLevel="2" x14ac:dyDescent="0.3">
      <c r="A1288" s="6">
        <v>17</v>
      </c>
      <c r="B1288" t="s">
        <v>797</v>
      </c>
      <c r="C1288" s="9" t="s">
        <v>932</v>
      </c>
      <c r="D1288" s="9">
        <v>11</v>
      </c>
      <c r="E1288" s="9" t="s">
        <v>1804</v>
      </c>
      <c r="F1288" t="s">
        <v>798</v>
      </c>
      <c r="G1288" t="s">
        <v>15</v>
      </c>
      <c r="H1288" t="s">
        <v>1851</v>
      </c>
    </row>
    <row r="1289" spans="1:8" outlineLevel="2" x14ac:dyDescent="0.3">
      <c r="A1289" s="6">
        <v>17</v>
      </c>
      <c r="B1289" t="s">
        <v>797</v>
      </c>
      <c r="C1289" s="9" t="s">
        <v>932</v>
      </c>
      <c r="D1289" s="9">
        <v>42</v>
      </c>
      <c r="E1289" s="9" t="s">
        <v>1804</v>
      </c>
      <c r="F1289" t="s">
        <v>14</v>
      </c>
      <c r="G1289" t="s">
        <v>15</v>
      </c>
      <c r="H1289" t="s">
        <v>1290</v>
      </c>
    </row>
    <row r="1290" spans="1:8" outlineLevel="2" x14ac:dyDescent="0.3">
      <c r="A1290" s="6">
        <v>17</v>
      </c>
      <c r="B1290" t="s">
        <v>797</v>
      </c>
      <c r="C1290" s="9" t="s">
        <v>932</v>
      </c>
      <c r="D1290" s="9">
        <v>12</v>
      </c>
      <c r="E1290" s="9" t="s">
        <v>1804</v>
      </c>
      <c r="F1290" t="s">
        <v>204</v>
      </c>
      <c r="G1290" t="s">
        <v>15</v>
      </c>
      <c r="H1290" t="s">
        <v>1292</v>
      </c>
    </row>
    <row r="1291" spans="1:8" outlineLevel="2" x14ac:dyDescent="0.3">
      <c r="A1291" s="6">
        <v>17</v>
      </c>
      <c r="B1291" t="s">
        <v>797</v>
      </c>
      <c r="C1291" s="9" t="s">
        <v>932</v>
      </c>
      <c r="D1291" s="9">
        <v>36</v>
      </c>
      <c r="E1291" s="9" t="s">
        <v>1804</v>
      </c>
      <c r="F1291" t="s">
        <v>28</v>
      </c>
      <c r="G1291" t="s">
        <v>29</v>
      </c>
      <c r="H1291" t="s">
        <v>1180</v>
      </c>
    </row>
    <row r="1292" spans="1:8" outlineLevel="2" x14ac:dyDescent="0.3">
      <c r="A1292" s="6">
        <v>17</v>
      </c>
      <c r="B1292" t="s">
        <v>797</v>
      </c>
      <c r="C1292" s="9" t="s">
        <v>932</v>
      </c>
      <c r="D1292" s="9">
        <v>12</v>
      </c>
      <c r="E1292" s="9" t="s">
        <v>1804</v>
      </c>
      <c r="F1292" t="s">
        <v>483</v>
      </c>
      <c r="G1292" t="s">
        <v>29</v>
      </c>
      <c r="H1292" t="s">
        <v>1182</v>
      </c>
    </row>
    <row r="1293" spans="1:8" outlineLevel="2" x14ac:dyDescent="0.3">
      <c r="A1293" s="6">
        <v>17</v>
      </c>
      <c r="B1293" t="s">
        <v>797</v>
      </c>
      <c r="C1293" s="9" t="s">
        <v>932</v>
      </c>
      <c r="D1293" s="9">
        <v>12</v>
      </c>
      <c r="E1293" s="9" t="s">
        <v>1804</v>
      </c>
      <c r="F1293" t="s">
        <v>588</v>
      </c>
      <c r="G1293" t="s">
        <v>29</v>
      </c>
      <c r="H1293" t="s">
        <v>1183</v>
      </c>
    </row>
    <row r="1294" spans="1:8" outlineLevel="2" x14ac:dyDescent="0.3">
      <c r="A1294" s="6">
        <v>17</v>
      </c>
      <c r="B1294" t="s">
        <v>797</v>
      </c>
      <c r="C1294" s="9" t="s">
        <v>932</v>
      </c>
      <c r="D1294" s="9">
        <v>12</v>
      </c>
      <c r="E1294" s="9" t="s">
        <v>1804</v>
      </c>
      <c r="F1294" t="s">
        <v>589</v>
      </c>
      <c r="G1294" t="s">
        <v>29</v>
      </c>
      <c r="H1294" t="s">
        <v>1184</v>
      </c>
    </row>
    <row r="1295" spans="1:8" outlineLevel="2" x14ac:dyDescent="0.3">
      <c r="A1295" s="6">
        <v>17</v>
      </c>
      <c r="B1295" t="s">
        <v>797</v>
      </c>
      <c r="C1295" s="9" t="s">
        <v>932</v>
      </c>
      <c r="D1295" s="9">
        <v>18</v>
      </c>
      <c r="E1295" s="9" t="s">
        <v>1804</v>
      </c>
      <c r="F1295" t="s">
        <v>389</v>
      </c>
      <c r="G1295" t="s">
        <v>171</v>
      </c>
      <c r="H1295" t="s">
        <v>1447</v>
      </c>
    </row>
    <row r="1296" spans="1:8" outlineLevel="2" x14ac:dyDescent="0.3">
      <c r="A1296" s="6">
        <v>17</v>
      </c>
      <c r="B1296" t="s">
        <v>797</v>
      </c>
      <c r="C1296" s="9" t="s">
        <v>932</v>
      </c>
      <c r="D1296" s="9">
        <v>33</v>
      </c>
      <c r="E1296" s="9" t="s">
        <v>1804</v>
      </c>
      <c r="F1296" t="s">
        <v>390</v>
      </c>
      <c r="G1296" t="s">
        <v>391</v>
      </c>
      <c r="H1296" t="s">
        <v>1449</v>
      </c>
    </row>
    <row r="1297" spans="1:8" outlineLevel="2" x14ac:dyDescent="0.3">
      <c r="A1297" s="6">
        <v>17</v>
      </c>
      <c r="B1297" t="s">
        <v>797</v>
      </c>
      <c r="C1297" s="9" t="s">
        <v>932</v>
      </c>
      <c r="D1297" s="9">
        <v>30</v>
      </c>
      <c r="E1297" s="9" t="s">
        <v>1804</v>
      </c>
      <c r="F1297" t="s">
        <v>35</v>
      </c>
      <c r="G1297" t="s">
        <v>32</v>
      </c>
      <c r="H1297" t="s">
        <v>1489</v>
      </c>
    </row>
    <row r="1298" spans="1:8" outlineLevel="2" x14ac:dyDescent="0.3">
      <c r="A1298" s="6">
        <v>17</v>
      </c>
      <c r="B1298" t="s">
        <v>797</v>
      </c>
      <c r="C1298" s="9" t="s">
        <v>932</v>
      </c>
      <c r="D1298" s="9">
        <v>32</v>
      </c>
      <c r="E1298" s="9" t="s">
        <v>1804</v>
      </c>
      <c r="F1298" t="s">
        <v>221</v>
      </c>
      <c r="G1298" t="s">
        <v>32</v>
      </c>
      <c r="H1298" t="s">
        <v>1490</v>
      </c>
    </row>
    <row r="1299" spans="1:8" outlineLevel="2" x14ac:dyDescent="0.3">
      <c r="A1299" s="6">
        <v>17</v>
      </c>
      <c r="B1299" t="s">
        <v>797</v>
      </c>
      <c r="C1299" s="9" t="s">
        <v>932</v>
      </c>
      <c r="D1299" s="9">
        <v>18</v>
      </c>
      <c r="E1299" s="9" t="s">
        <v>1804</v>
      </c>
      <c r="F1299" t="s">
        <v>503</v>
      </c>
      <c r="G1299" t="s">
        <v>504</v>
      </c>
      <c r="H1299" t="s">
        <v>1501</v>
      </c>
    </row>
    <row r="1300" spans="1:8" outlineLevel="2" x14ac:dyDescent="0.3">
      <c r="A1300" s="6">
        <v>17</v>
      </c>
      <c r="B1300" t="s">
        <v>797</v>
      </c>
      <c r="C1300" s="9" t="s">
        <v>932</v>
      </c>
      <c r="D1300" s="9">
        <v>34</v>
      </c>
      <c r="E1300" s="9" t="s">
        <v>1804</v>
      </c>
      <c r="F1300" t="s">
        <v>422</v>
      </c>
      <c r="G1300" t="s">
        <v>423</v>
      </c>
      <c r="H1300" t="s">
        <v>1149</v>
      </c>
    </row>
    <row r="1301" spans="1:8" outlineLevel="2" x14ac:dyDescent="0.3">
      <c r="A1301" s="6">
        <v>17</v>
      </c>
      <c r="B1301" t="s">
        <v>797</v>
      </c>
      <c r="C1301" s="9" t="s">
        <v>932</v>
      </c>
      <c r="D1301" s="9">
        <v>12</v>
      </c>
      <c r="E1301" s="9" t="s">
        <v>1804</v>
      </c>
      <c r="F1301" t="s">
        <v>153</v>
      </c>
      <c r="G1301" t="s">
        <v>108</v>
      </c>
      <c r="H1301" t="s">
        <v>1150</v>
      </c>
    </row>
    <row r="1302" spans="1:8" outlineLevel="2" x14ac:dyDescent="0.3">
      <c r="A1302" s="6">
        <v>17</v>
      </c>
      <c r="B1302" t="s">
        <v>797</v>
      </c>
      <c r="C1302" s="9" t="s">
        <v>976</v>
      </c>
      <c r="D1302" s="9">
        <v>60</v>
      </c>
      <c r="E1302" s="9" t="s">
        <v>1804</v>
      </c>
      <c r="F1302" t="s">
        <v>696</v>
      </c>
      <c r="G1302" t="s">
        <v>108</v>
      </c>
      <c r="H1302" t="s">
        <v>1145</v>
      </c>
    </row>
    <row r="1303" spans="1:8" outlineLevel="2" x14ac:dyDescent="0.3">
      <c r="A1303" s="6">
        <v>17</v>
      </c>
      <c r="B1303" t="s">
        <v>797</v>
      </c>
      <c r="C1303" s="9" t="s">
        <v>932</v>
      </c>
      <c r="D1303" s="9">
        <v>27</v>
      </c>
      <c r="E1303" s="9" t="s">
        <v>1804</v>
      </c>
      <c r="F1303" t="s">
        <v>37</v>
      </c>
      <c r="G1303" t="s">
        <v>38</v>
      </c>
      <c r="H1303" t="s">
        <v>1164</v>
      </c>
    </row>
    <row r="1304" spans="1:8" outlineLevel="2" x14ac:dyDescent="0.3">
      <c r="A1304" s="6">
        <v>17</v>
      </c>
      <c r="B1304" t="s">
        <v>797</v>
      </c>
      <c r="C1304" s="9" t="s">
        <v>932</v>
      </c>
      <c r="D1304" s="9">
        <v>27</v>
      </c>
      <c r="E1304" s="9" t="s">
        <v>1804</v>
      </c>
      <c r="F1304" t="s">
        <v>40</v>
      </c>
      <c r="G1304" t="s">
        <v>41</v>
      </c>
      <c r="H1304" t="s">
        <v>1169</v>
      </c>
    </row>
    <row r="1305" spans="1:8" outlineLevel="2" x14ac:dyDescent="0.3">
      <c r="A1305" s="6">
        <v>17</v>
      </c>
      <c r="B1305" t="s">
        <v>797</v>
      </c>
      <c r="C1305" s="9" t="s">
        <v>932</v>
      </c>
      <c r="D1305" s="9">
        <v>18</v>
      </c>
      <c r="E1305" s="9" t="s">
        <v>1804</v>
      </c>
      <c r="F1305" t="s">
        <v>229</v>
      </c>
      <c r="G1305" t="s">
        <v>230</v>
      </c>
      <c r="H1305" t="s">
        <v>1170</v>
      </c>
    </row>
    <row r="1306" spans="1:8" outlineLevel="2" x14ac:dyDescent="0.3">
      <c r="A1306" s="6">
        <v>17</v>
      </c>
      <c r="B1306" t="s">
        <v>797</v>
      </c>
      <c r="C1306" s="9" t="s">
        <v>932</v>
      </c>
      <c r="D1306" s="9">
        <v>24</v>
      </c>
      <c r="E1306" s="9" t="s">
        <v>1804</v>
      </c>
      <c r="F1306" t="s">
        <v>232</v>
      </c>
      <c r="G1306" t="s">
        <v>144</v>
      </c>
      <c r="H1306" t="s">
        <v>1171</v>
      </c>
    </row>
    <row r="1307" spans="1:8" outlineLevel="2" x14ac:dyDescent="0.3">
      <c r="A1307" s="6">
        <v>17</v>
      </c>
      <c r="B1307" t="s">
        <v>797</v>
      </c>
      <c r="C1307" s="9" t="s">
        <v>932</v>
      </c>
      <c r="D1307" s="9">
        <v>25</v>
      </c>
      <c r="E1307" s="9" t="s">
        <v>1804</v>
      </c>
      <c r="F1307" t="s">
        <v>394</v>
      </c>
      <c r="G1307" t="s">
        <v>112</v>
      </c>
      <c r="H1307" t="s">
        <v>1172</v>
      </c>
    </row>
    <row r="1308" spans="1:8" outlineLevel="2" x14ac:dyDescent="0.3">
      <c r="A1308" s="6">
        <v>17</v>
      </c>
      <c r="B1308" t="s">
        <v>797</v>
      </c>
      <c r="C1308" s="9" t="s">
        <v>932</v>
      </c>
      <c r="D1308" s="9">
        <v>12</v>
      </c>
      <c r="E1308" s="9" t="s">
        <v>1804</v>
      </c>
      <c r="F1308" t="s">
        <v>511</v>
      </c>
      <c r="G1308" t="s">
        <v>235</v>
      </c>
      <c r="H1308" t="s">
        <v>1046</v>
      </c>
    </row>
    <row r="1309" spans="1:8" outlineLevel="2" x14ac:dyDescent="0.3">
      <c r="A1309" s="6">
        <v>17</v>
      </c>
      <c r="B1309" t="s">
        <v>797</v>
      </c>
      <c r="C1309" s="9" t="s">
        <v>932</v>
      </c>
      <c r="D1309" s="9">
        <v>17</v>
      </c>
      <c r="E1309" s="9" t="s">
        <v>1804</v>
      </c>
      <c r="F1309" t="s">
        <v>591</v>
      </c>
      <c r="G1309" t="s">
        <v>235</v>
      </c>
      <c r="H1309" t="s">
        <v>1049</v>
      </c>
    </row>
    <row r="1310" spans="1:8" outlineLevel="2" x14ac:dyDescent="0.3">
      <c r="A1310" s="6">
        <v>17</v>
      </c>
      <c r="B1310" t="s">
        <v>797</v>
      </c>
      <c r="C1310" s="9" t="s">
        <v>932</v>
      </c>
      <c r="D1310" s="9">
        <v>15</v>
      </c>
      <c r="E1310" s="9" t="s">
        <v>1804</v>
      </c>
      <c r="F1310" t="s">
        <v>515</v>
      </c>
      <c r="G1310" t="s">
        <v>238</v>
      </c>
      <c r="H1310" t="s">
        <v>1064</v>
      </c>
    </row>
    <row r="1311" spans="1:8" outlineLevel="2" x14ac:dyDescent="0.3">
      <c r="A1311" s="6">
        <v>17</v>
      </c>
      <c r="B1311" t="s">
        <v>797</v>
      </c>
      <c r="C1311" s="9" t="s">
        <v>932</v>
      </c>
      <c r="D1311" s="9">
        <v>24</v>
      </c>
      <c r="E1311" s="9" t="s">
        <v>1804</v>
      </c>
      <c r="F1311" t="s">
        <v>237</v>
      </c>
      <c r="G1311" t="s">
        <v>238</v>
      </c>
      <c r="H1311" t="s">
        <v>1065</v>
      </c>
    </row>
    <row r="1312" spans="1:8" outlineLevel="2" x14ac:dyDescent="0.3">
      <c r="A1312" s="6">
        <v>17</v>
      </c>
      <c r="B1312" t="s">
        <v>797</v>
      </c>
      <c r="C1312" s="9" t="s">
        <v>932</v>
      </c>
      <c r="D1312" s="9">
        <v>35</v>
      </c>
      <c r="E1312" s="9" t="s">
        <v>1804</v>
      </c>
      <c r="F1312" t="s">
        <v>46</v>
      </c>
      <c r="G1312" t="s">
        <v>47</v>
      </c>
      <c r="H1312" t="s">
        <v>1409</v>
      </c>
    </row>
    <row r="1313" spans="1:8" outlineLevel="2" x14ac:dyDescent="0.3">
      <c r="A1313" s="6">
        <v>17</v>
      </c>
      <c r="B1313" t="s">
        <v>797</v>
      </c>
      <c r="C1313" s="9" t="s">
        <v>932</v>
      </c>
      <c r="D1313" s="9">
        <v>12</v>
      </c>
      <c r="E1313" s="9" t="s">
        <v>1804</v>
      </c>
      <c r="F1313" t="s">
        <v>49</v>
      </c>
      <c r="G1313" t="s">
        <v>47</v>
      </c>
      <c r="H1313" t="s">
        <v>1410</v>
      </c>
    </row>
    <row r="1314" spans="1:8" outlineLevel="2" x14ac:dyDescent="0.3">
      <c r="A1314" s="6">
        <v>17</v>
      </c>
      <c r="B1314" t="s">
        <v>797</v>
      </c>
      <c r="C1314" s="9" t="s">
        <v>932</v>
      </c>
      <c r="D1314" s="9">
        <v>18</v>
      </c>
      <c r="E1314" s="9" t="s">
        <v>1804</v>
      </c>
      <c r="F1314" t="s">
        <v>155</v>
      </c>
      <c r="G1314" t="s">
        <v>118</v>
      </c>
      <c r="H1314" t="s">
        <v>1415</v>
      </c>
    </row>
    <row r="1315" spans="1:8" outlineLevel="2" x14ac:dyDescent="0.3">
      <c r="A1315" s="6">
        <v>17</v>
      </c>
      <c r="B1315" t="s">
        <v>797</v>
      </c>
      <c r="C1315" s="9" t="s">
        <v>932</v>
      </c>
      <c r="D1315" s="9">
        <v>18</v>
      </c>
      <c r="E1315" s="9" t="s">
        <v>1804</v>
      </c>
      <c r="F1315" t="s">
        <v>246</v>
      </c>
      <c r="G1315" t="s">
        <v>51</v>
      </c>
      <c r="H1315" t="s">
        <v>1596</v>
      </c>
    </row>
    <row r="1316" spans="1:8" outlineLevel="2" x14ac:dyDescent="0.3">
      <c r="A1316" s="6">
        <v>17</v>
      </c>
      <c r="B1316" t="s">
        <v>797</v>
      </c>
      <c r="C1316" s="9" t="s">
        <v>932</v>
      </c>
      <c r="D1316" s="9">
        <v>24</v>
      </c>
      <c r="E1316" s="9" t="s">
        <v>1804</v>
      </c>
      <c r="F1316" t="s">
        <v>799</v>
      </c>
      <c r="G1316" t="s">
        <v>51</v>
      </c>
      <c r="H1316" t="s">
        <v>1597</v>
      </c>
    </row>
    <row r="1317" spans="1:8" outlineLevel="2" x14ac:dyDescent="0.3">
      <c r="A1317" s="6">
        <v>17</v>
      </c>
      <c r="B1317" t="s">
        <v>797</v>
      </c>
      <c r="C1317" s="9" t="s">
        <v>932</v>
      </c>
      <c r="D1317" s="9">
        <v>14</v>
      </c>
      <c r="E1317" s="9" t="s">
        <v>1804</v>
      </c>
      <c r="F1317" t="s">
        <v>262</v>
      </c>
      <c r="G1317" t="s">
        <v>263</v>
      </c>
      <c r="H1317" t="s">
        <v>989</v>
      </c>
    </row>
    <row r="1318" spans="1:8" outlineLevel="2" x14ac:dyDescent="0.3">
      <c r="A1318" s="6">
        <v>17</v>
      </c>
      <c r="B1318" t="s">
        <v>797</v>
      </c>
      <c r="C1318" s="9" t="s">
        <v>932</v>
      </c>
      <c r="D1318" s="9">
        <v>15</v>
      </c>
      <c r="E1318" s="9" t="s">
        <v>1804</v>
      </c>
      <c r="F1318" t="s">
        <v>443</v>
      </c>
      <c r="G1318" t="s">
        <v>444</v>
      </c>
      <c r="H1318" t="s">
        <v>1649</v>
      </c>
    </row>
    <row r="1319" spans="1:8" outlineLevel="2" x14ac:dyDescent="0.3">
      <c r="A1319" s="6">
        <v>17</v>
      </c>
      <c r="B1319" t="s">
        <v>797</v>
      </c>
      <c r="C1319" s="9" t="s">
        <v>1807</v>
      </c>
      <c r="D1319" s="9">
        <v>1050</v>
      </c>
      <c r="E1319" s="9" t="s">
        <v>1808</v>
      </c>
      <c r="F1319" t="s">
        <v>291</v>
      </c>
      <c r="G1319" t="s">
        <v>292</v>
      </c>
      <c r="H1319" t="s">
        <v>1678</v>
      </c>
    </row>
    <row r="1320" spans="1:8" outlineLevel="2" x14ac:dyDescent="0.3">
      <c r="A1320" s="6">
        <v>17</v>
      </c>
      <c r="B1320" t="s">
        <v>797</v>
      </c>
      <c r="C1320" s="9" t="s">
        <v>1807</v>
      </c>
      <c r="D1320" s="9">
        <v>750</v>
      </c>
      <c r="E1320" s="9" t="s">
        <v>1808</v>
      </c>
      <c r="F1320" t="s">
        <v>456</v>
      </c>
      <c r="G1320" t="s">
        <v>292</v>
      </c>
      <c r="H1320" t="s">
        <v>1679</v>
      </c>
    </row>
    <row r="1321" spans="1:8" outlineLevel="2" x14ac:dyDescent="0.3">
      <c r="A1321" s="6">
        <v>17</v>
      </c>
      <c r="B1321" t="s">
        <v>797</v>
      </c>
      <c r="C1321" s="9" t="s">
        <v>932</v>
      </c>
      <c r="D1321" s="9">
        <v>12</v>
      </c>
      <c r="E1321" s="9" t="s">
        <v>1804</v>
      </c>
      <c r="F1321" t="s">
        <v>294</v>
      </c>
      <c r="G1321" t="s">
        <v>295</v>
      </c>
      <c r="H1321" t="s">
        <v>1680</v>
      </c>
    </row>
    <row r="1322" spans="1:8" outlineLevel="2" x14ac:dyDescent="0.3">
      <c r="A1322" s="6">
        <v>17</v>
      </c>
      <c r="B1322" t="s">
        <v>797</v>
      </c>
      <c r="C1322" s="9" t="s">
        <v>932</v>
      </c>
      <c r="D1322" s="9">
        <v>15</v>
      </c>
      <c r="E1322" s="9" t="s">
        <v>1804</v>
      </c>
      <c r="F1322" t="s">
        <v>62</v>
      </c>
      <c r="G1322" t="s">
        <v>63</v>
      </c>
      <c r="H1322" t="s">
        <v>1103</v>
      </c>
    </row>
    <row r="1323" spans="1:8" outlineLevel="2" x14ac:dyDescent="0.3">
      <c r="A1323" s="6">
        <v>17</v>
      </c>
      <c r="B1323" t="s">
        <v>797</v>
      </c>
      <c r="C1323" s="9" t="s">
        <v>1807</v>
      </c>
      <c r="D1323" s="9">
        <v>420</v>
      </c>
      <c r="E1323" s="9" t="s">
        <v>1808</v>
      </c>
      <c r="F1323" t="s">
        <v>68</v>
      </c>
      <c r="G1323" t="s">
        <v>69</v>
      </c>
      <c r="H1323" t="s">
        <v>1551</v>
      </c>
    </row>
    <row r="1324" spans="1:8" outlineLevel="2" x14ac:dyDescent="0.3">
      <c r="A1324" s="6">
        <v>17</v>
      </c>
      <c r="B1324" t="s">
        <v>797</v>
      </c>
      <c r="C1324" s="9" t="s">
        <v>1807</v>
      </c>
      <c r="D1324" s="9">
        <v>770</v>
      </c>
      <c r="E1324" s="9" t="s">
        <v>1808</v>
      </c>
      <c r="F1324" t="s">
        <v>71</v>
      </c>
      <c r="G1324" t="s">
        <v>72</v>
      </c>
      <c r="H1324" t="s">
        <v>1565</v>
      </c>
    </row>
    <row r="1325" spans="1:8" outlineLevel="2" x14ac:dyDescent="0.3">
      <c r="A1325" s="6">
        <v>17</v>
      </c>
      <c r="B1325" t="s">
        <v>797</v>
      </c>
      <c r="C1325" s="9" t="s">
        <v>932</v>
      </c>
      <c r="D1325" s="9">
        <v>12</v>
      </c>
      <c r="E1325" s="9" t="s">
        <v>1804</v>
      </c>
      <c r="F1325" t="s">
        <v>578</v>
      </c>
      <c r="G1325" t="s">
        <v>376</v>
      </c>
      <c r="H1325" t="s">
        <v>1577</v>
      </c>
    </row>
    <row r="1326" spans="1:8" outlineLevel="2" x14ac:dyDescent="0.3">
      <c r="A1326" s="6">
        <v>17</v>
      </c>
      <c r="B1326" t="s">
        <v>797</v>
      </c>
      <c r="C1326" s="9" t="s">
        <v>1807</v>
      </c>
      <c r="D1326" s="9">
        <v>398</v>
      </c>
      <c r="E1326" s="9" t="s">
        <v>1808</v>
      </c>
      <c r="F1326" t="s">
        <v>318</v>
      </c>
      <c r="G1326" t="s">
        <v>76</v>
      </c>
      <c r="H1326" t="s">
        <v>1578</v>
      </c>
    </row>
    <row r="1327" spans="1:8" outlineLevel="2" x14ac:dyDescent="0.3">
      <c r="A1327" s="6">
        <v>17</v>
      </c>
      <c r="B1327" t="s">
        <v>797</v>
      </c>
      <c r="C1327" s="9" t="s">
        <v>1807</v>
      </c>
      <c r="D1327" s="9">
        <v>698</v>
      </c>
      <c r="E1327" s="9" t="s">
        <v>1808</v>
      </c>
      <c r="F1327" t="s">
        <v>485</v>
      </c>
      <c r="G1327" t="s">
        <v>76</v>
      </c>
      <c r="H1327" t="s">
        <v>1579</v>
      </c>
    </row>
    <row r="1328" spans="1:8" outlineLevel="2" x14ac:dyDescent="0.3">
      <c r="A1328" s="6">
        <v>17</v>
      </c>
      <c r="B1328" t="s">
        <v>797</v>
      </c>
      <c r="C1328" s="9" t="s">
        <v>932</v>
      </c>
      <c r="D1328" s="9">
        <v>24</v>
      </c>
      <c r="E1328" s="9" t="s">
        <v>1804</v>
      </c>
      <c r="F1328" t="s">
        <v>319</v>
      </c>
      <c r="G1328" t="s">
        <v>320</v>
      </c>
      <c r="H1328" t="s">
        <v>1245</v>
      </c>
    </row>
    <row r="1329" spans="1:8" outlineLevel="2" x14ac:dyDescent="0.3">
      <c r="A1329" s="6">
        <v>17</v>
      </c>
      <c r="B1329" t="s">
        <v>797</v>
      </c>
      <c r="C1329" s="9" t="s">
        <v>932</v>
      </c>
      <c r="D1329" s="9">
        <v>24</v>
      </c>
      <c r="E1329" s="9" t="s">
        <v>1804</v>
      </c>
      <c r="F1329" t="s">
        <v>322</v>
      </c>
      <c r="G1329" t="s">
        <v>320</v>
      </c>
      <c r="H1329" t="s">
        <v>1246</v>
      </c>
    </row>
    <row r="1330" spans="1:8" outlineLevel="2" x14ac:dyDescent="0.3">
      <c r="A1330" s="6">
        <v>17</v>
      </c>
      <c r="B1330" t="s">
        <v>797</v>
      </c>
      <c r="C1330" s="9" t="s">
        <v>963</v>
      </c>
      <c r="D1330" s="9">
        <v>60</v>
      </c>
      <c r="E1330" s="9" t="s">
        <v>1804</v>
      </c>
      <c r="F1330" t="s">
        <v>800</v>
      </c>
      <c r="G1330" t="s">
        <v>1852</v>
      </c>
      <c r="H1330" t="s">
        <v>1853</v>
      </c>
    </row>
    <row r="1331" spans="1:8" outlineLevel="2" x14ac:dyDescent="0.3">
      <c r="A1331" s="6">
        <v>17</v>
      </c>
      <c r="B1331" t="s">
        <v>797</v>
      </c>
      <c r="C1331" s="9" t="s">
        <v>963</v>
      </c>
      <c r="D1331" s="9">
        <v>60</v>
      </c>
      <c r="E1331" s="9" t="s">
        <v>1804</v>
      </c>
      <c r="F1331" t="s">
        <v>79</v>
      </c>
      <c r="G1331" t="s">
        <v>80</v>
      </c>
      <c r="H1331" t="s">
        <v>1416</v>
      </c>
    </row>
    <row r="1332" spans="1:8" outlineLevel="2" x14ac:dyDescent="0.3">
      <c r="A1332" s="6">
        <v>17</v>
      </c>
      <c r="B1332" t="s">
        <v>797</v>
      </c>
      <c r="C1332" s="9" t="s">
        <v>963</v>
      </c>
      <c r="D1332" s="9">
        <v>60</v>
      </c>
      <c r="E1332" s="9" t="s">
        <v>1804</v>
      </c>
      <c r="F1332" t="s">
        <v>612</v>
      </c>
      <c r="G1332" t="s">
        <v>613</v>
      </c>
      <c r="H1332" t="s">
        <v>1343</v>
      </c>
    </row>
    <row r="1333" spans="1:8" outlineLevel="2" x14ac:dyDescent="0.3">
      <c r="A1333" s="6">
        <v>17</v>
      </c>
      <c r="B1333" t="s">
        <v>797</v>
      </c>
      <c r="C1333" s="9" t="s">
        <v>963</v>
      </c>
      <c r="D1333" s="9">
        <v>73</v>
      </c>
      <c r="E1333" s="9" t="s">
        <v>1804</v>
      </c>
      <c r="F1333" t="s">
        <v>90</v>
      </c>
      <c r="G1333" t="s">
        <v>15</v>
      </c>
      <c r="H1333" t="s">
        <v>1351</v>
      </c>
    </row>
    <row r="1334" spans="1:8" outlineLevel="2" x14ac:dyDescent="0.3">
      <c r="A1334" s="6">
        <v>17</v>
      </c>
      <c r="B1334" t="s">
        <v>797</v>
      </c>
      <c r="C1334" s="9" t="s">
        <v>963</v>
      </c>
      <c r="D1334" s="9">
        <v>77</v>
      </c>
      <c r="E1334" s="9" t="s">
        <v>1804</v>
      </c>
      <c r="F1334" t="s">
        <v>91</v>
      </c>
      <c r="G1334" t="s">
        <v>92</v>
      </c>
      <c r="H1334" t="s">
        <v>1353</v>
      </c>
    </row>
    <row r="1335" spans="1:8" outlineLevel="2" x14ac:dyDescent="0.3">
      <c r="A1335" s="6">
        <v>17</v>
      </c>
      <c r="B1335" t="s">
        <v>797</v>
      </c>
      <c r="C1335" s="9" t="s">
        <v>963</v>
      </c>
      <c r="D1335" s="9">
        <v>72</v>
      </c>
      <c r="E1335" s="9" t="s">
        <v>1804</v>
      </c>
      <c r="F1335" t="s">
        <v>101</v>
      </c>
      <c r="G1335" t="s">
        <v>102</v>
      </c>
      <c r="H1335" t="s">
        <v>1365</v>
      </c>
    </row>
    <row r="1336" spans="1:8" outlineLevel="2" x14ac:dyDescent="0.3">
      <c r="A1336" s="6">
        <v>17</v>
      </c>
      <c r="B1336" t="s">
        <v>797</v>
      </c>
      <c r="C1336" s="9" t="s">
        <v>963</v>
      </c>
      <c r="D1336" s="9">
        <v>60</v>
      </c>
      <c r="E1336" s="9" t="s">
        <v>1804</v>
      </c>
      <c r="F1336" t="s">
        <v>400</v>
      </c>
      <c r="G1336" t="s">
        <v>401</v>
      </c>
      <c r="H1336" t="s">
        <v>1185</v>
      </c>
    </row>
    <row r="1337" spans="1:8" outlineLevel="2" x14ac:dyDescent="0.3">
      <c r="A1337" s="6">
        <v>17</v>
      </c>
      <c r="B1337" t="s">
        <v>797</v>
      </c>
      <c r="C1337" s="9" t="s">
        <v>963</v>
      </c>
      <c r="D1337" s="9">
        <v>60</v>
      </c>
      <c r="E1337" s="9" t="s">
        <v>1804</v>
      </c>
      <c r="F1337" t="s">
        <v>167</v>
      </c>
      <c r="G1337" t="s">
        <v>168</v>
      </c>
      <c r="H1337" t="s">
        <v>1533</v>
      </c>
    </row>
    <row r="1338" spans="1:8" outlineLevel="2" x14ac:dyDescent="0.3">
      <c r="A1338" s="6">
        <v>17</v>
      </c>
      <c r="B1338" t="s">
        <v>797</v>
      </c>
      <c r="C1338" s="9" t="s">
        <v>963</v>
      </c>
      <c r="D1338" s="9">
        <v>60</v>
      </c>
      <c r="E1338" s="9" t="s">
        <v>1804</v>
      </c>
      <c r="F1338" t="s">
        <v>170</v>
      </c>
      <c r="G1338" t="s">
        <v>171</v>
      </c>
      <c r="H1338" t="s">
        <v>1535</v>
      </c>
    </row>
    <row r="1339" spans="1:8" outlineLevel="2" x14ac:dyDescent="0.3">
      <c r="A1339" s="6">
        <v>17</v>
      </c>
      <c r="B1339" t="s">
        <v>797</v>
      </c>
      <c r="C1339" s="9" t="s">
        <v>963</v>
      </c>
      <c r="D1339" s="9">
        <v>60</v>
      </c>
      <c r="E1339" s="9" t="s">
        <v>1804</v>
      </c>
      <c r="F1339" t="s">
        <v>686</v>
      </c>
      <c r="G1339" t="s">
        <v>115</v>
      </c>
      <c r="H1339" t="s">
        <v>1536</v>
      </c>
    </row>
    <row r="1340" spans="1:8" outlineLevel="2" x14ac:dyDescent="0.3">
      <c r="A1340" s="6">
        <v>17</v>
      </c>
      <c r="B1340" t="s">
        <v>797</v>
      </c>
      <c r="C1340" s="9" t="s">
        <v>963</v>
      </c>
      <c r="D1340" s="9">
        <v>60</v>
      </c>
      <c r="E1340" s="9" t="s">
        <v>1804</v>
      </c>
      <c r="F1340" t="s">
        <v>106</v>
      </c>
      <c r="G1340" t="s">
        <v>32</v>
      </c>
      <c r="H1340" t="s">
        <v>1537</v>
      </c>
    </row>
    <row r="1341" spans="1:8" outlineLevel="2" x14ac:dyDescent="0.3">
      <c r="A1341" s="6">
        <v>17</v>
      </c>
      <c r="B1341" t="s">
        <v>797</v>
      </c>
      <c r="C1341" s="9" t="s">
        <v>963</v>
      </c>
      <c r="D1341" s="9">
        <v>60</v>
      </c>
      <c r="E1341" s="9" t="s">
        <v>1804</v>
      </c>
      <c r="F1341" t="s">
        <v>656</v>
      </c>
      <c r="G1341" t="s">
        <v>504</v>
      </c>
      <c r="H1341" t="s">
        <v>1538</v>
      </c>
    </row>
    <row r="1342" spans="1:8" outlineLevel="2" x14ac:dyDescent="0.3">
      <c r="A1342" s="6">
        <v>17</v>
      </c>
      <c r="B1342" t="s">
        <v>797</v>
      </c>
      <c r="C1342" s="9" t="s">
        <v>963</v>
      </c>
      <c r="D1342" s="9">
        <v>60</v>
      </c>
      <c r="E1342" s="9" t="s">
        <v>1804</v>
      </c>
      <c r="F1342" t="s">
        <v>725</v>
      </c>
      <c r="G1342" t="s">
        <v>504</v>
      </c>
      <c r="H1342" t="s">
        <v>1539</v>
      </c>
    </row>
    <row r="1343" spans="1:8" outlineLevel="2" x14ac:dyDescent="0.3">
      <c r="A1343" s="6">
        <v>17</v>
      </c>
      <c r="B1343" t="s">
        <v>797</v>
      </c>
      <c r="C1343" s="9" t="s">
        <v>963</v>
      </c>
      <c r="D1343" s="9">
        <v>60</v>
      </c>
      <c r="E1343" s="9" t="s">
        <v>1804</v>
      </c>
      <c r="F1343" t="s">
        <v>107</v>
      </c>
      <c r="G1343" t="s">
        <v>108</v>
      </c>
      <c r="H1343" t="s">
        <v>1140</v>
      </c>
    </row>
    <row r="1344" spans="1:8" outlineLevel="2" x14ac:dyDescent="0.3">
      <c r="A1344" s="6">
        <v>17</v>
      </c>
      <c r="B1344" t="s">
        <v>797</v>
      </c>
      <c r="C1344" s="9" t="s">
        <v>963</v>
      </c>
      <c r="D1344" s="9">
        <v>60</v>
      </c>
      <c r="E1344" s="9" t="s">
        <v>1804</v>
      </c>
      <c r="F1344" t="s">
        <v>351</v>
      </c>
      <c r="G1344" t="s">
        <v>38</v>
      </c>
      <c r="H1344" t="s">
        <v>1142</v>
      </c>
    </row>
    <row r="1345" spans="1:8" outlineLevel="2" x14ac:dyDescent="0.3">
      <c r="A1345" s="6">
        <v>17</v>
      </c>
      <c r="B1345" t="s">
        <v>797</v>
      </c>
      <c r="C1345" s="9" t="s">
        <v>963</v>
      </c>
      <c r="D1345" s="9">
        <v>60</v>
      </c>
      <c r="E1345" s="9" t="s">
        <v>1804</v>
      </c>
      <c r="F1345" t="s">
        <v>110</v>
      </c>
      <c r="G1345" t="s">
        <v>41</v>
      </c>
      <c r="H1345" t="s">
        <v>1144</v>
      </c>
    </row>
    <row r="1346" spans="1:8" outlineLevel="2" x14ac:dyDescent="0.3">
      <c r="A1346" s="6">
        <v>17</v>
      </c>
      <c r="B1346" t="s">
        <v>797</v>
      </c>
      <c r="C1346" s="9" t="s">
        <v>963</v>
      </c>
      <c r="D1346" s="9">
        <v>66</v>
      </c>
      <c r="E1346" s="9" t="s">
        <v>1804</v>
      </c>
      <c r="F1346" t="s">
        <v>353</v>
      </c>
      <c r="G1346" t="s">
        <v>354</v>
      </c>
      <c r="H1346" t="s">
        <v>1020</v>
      </c>
    </row>
    <row r="1347" spans="1:8" outlineLevel="2" x14ac:dyDescent="0.3">
      <c r="A1347" s="6">
        <v>17</v>
      </c>
      <c r="B1347" t="s">
        <v>797</v>
      </c>
      <c r="C1347" s="9" t="s">
        <v>963</v>
      </c>
      <c r="D1347" s="9">
        <v>60</v>
      </c>
      <c r="E1347" s="9" t="s">
        <v>1804</v>
      </c>
      <c r="F1347" t="s">
        <v>114</v>
      </c>
      <c r="G1347" t="s">
        <v>115</v>
      </c>
      <c r="H1347" t="s">
        <v>1121</v>
      </c>
    </row>
    <row r="1348" spans="1:8" outlineLevel="2" x14ac:dyDescent="0.3">
      <c r="A1348" s="6">
        <v>17</v>
      </c>
      <c r="B1348" t="s">
        <v>797</v>
      </c>
      <c r="C1348" s="9" t="s">
        <v>963</v>
      </c>
      <c r="D1348" s="9">
        <v>64</v>
      </c>
      <c r="E1348" s="9" t="s">
        <v>1804</v>
      </c>
      <c r="F1348" t="s">
        <v>583</v>
      </c>
      <c r="G1348" t="s">
        <v>238</v>
      </c>
      <c r="H1348" t="s">
        <v>1122</v>
      </c>
    </row>
    <row r="1349" spans="1:8" outlineLevel="2" x14ac:dyDescent="0.3">
      <c r="A1349" s="6">
        <v>17</v>
      </c>
      <c r="B1349" t="s">
        <v>797</v>
      </c>
      <c r="C1349" s="9" t="s">
        <v>963</v>
      </c>
      <c r="D1349" s="9">
        <v>60</v>
      </c>
      <c r="E1349" s="9" t="s">
        <v>1804</v>
      </c>
      <c r="F1349" t="s">
        <v>120</v>
      </c>
      <c r="G1349" t="s">
        <v>51</v>
      </c>
      <c r="H1349" t="s">
        <v>1590</v>
      </c>
    </row>
    <row r="1350" spans="1:8" outlineLevel="2" x14ac:dyDescent="0.3">
      <c r="A1350" s="6">
        <v>17</v>
      </c>
      <c r="B1350" t="s">
        <v>797</v>
      </c>
      <c r="C1350" s="9" t="s">
        <v>963</v>
      </c>
      <c r="D1350" s="9">
        <v>62</v>
      </c>
      <c r="E1350" s="9" t="s">
        <v>1804</v>
      </c>
      <c r="F1350" t="s">
        <v>769</v>
      </c>
      <c r="G1350" t="s">
        <v>470</v>
      </c>
      <c r="H1350" t="s">
        <v>1792</v>
      </c>
    </row>
    <row r="1351" spans="1:8" outlineLevel="2" x14ac:dyDescent="0.3">
      <c r="A1351" s="6">
        <v>17</v>
      </c>
      <c r="B1351" t="s">
        <v>797</v>
      </c>
      <c r="C1351" s="9" t="s">
        <v>963</v>
      </c>
      <c r="D1351" s="9">
        <v>68</v>
      </c>
      <c r="E1351" s="9" t="s">
        <v>1804</v>
      </c>
      <c r="F1351" t="s">
        <v>472</v>
      </c>
      <c r="G1351" t="s">
        <v>473</v>
      </c>
      <c r="H1351" t="s">
        <v>1686</v>
      </c>
    </row>
    <row r="1352" spans="1:8" outlineLevel="2" x14ac:dyDescent="0.3">
      <c r="A1352" s="6">
        <v>17</v>
      </c>
      <c r="B1352" t="s">
        <v>797</v>
      </c>
      <c r="C1352" s="9" t="s">
        <v>963</v>
      </c>
      <c r="D1352" s="9">
        <v>62</v>
      </c>
      <c r="E1352" s="9" t="s">
        <v>1804</v>
      </c>
      <c r="F1352" t="s">
        <v>405</v>
      </c>
      <c r="G1352" t="s">
        <v>260</v>
      </c>
      <c r="H1352" t="s">
        <v>1022</v>
      </c>
    </row>
    <row r="1353" spans="1:8" outlineLevel="2" x14ac:dyDescent="0.3">
      <c r="A1353" s="6">
        <v>17</v>
      </c>
      <c r="B1353" t="s">
        <v>797</v>
      </c>
      <c r="C1353" s="9" t="s">
        <v>963</v>
      </c>
      <c r="D1353" s="9">
        <v>64</v>
      </c>
      <c r="E1353" s="9" t="s">
        <v>1804</v>
      </c>
      <c r="F1353" t="s">
        <v>121</v>
      </c>
      <c r="G1353" t="s">
        <v>122</v>
      </c>
      <c r="H1353" t="s">
        <v>1125</v>
      </c>
    </row>
    <row r="1354" spans="1:8" outlineLevel="2" x14ac:dyDescent="0.3">
      <c r="A1354" s="6">
        <v>17</v>
      </c>
      <c r="B1354" t="s">
        <v>797</v>
      </c>
      <c r="C1354" s="9" t="s">
        <v>963</v>
      </c>
      <c r="D1354" s="9">
        <v>64</v>
      </c>
      <c r="E1354" s="9" t="s">
        <v>1804</v>
      </c>
      <c r="F1354" t="s">
        <v>478</v>
      </c>
      <c r="G1354" t="s">
        <v>479</v>
      </c>
      <c r="H1354" t="s">
        <v>1128</v>
      </c>
    </row>
    <row r="1355" spans="1:8" outlineLevel="2" x14ac:dyDescent="0.3">
      <c r="A1355" s="6">
        <v>17</v>
      </c>
      <c r="B1355" t="s">
        <v>797</v>
      </c>
      <c r="C1355" s="9" t="s">
        <v>963</v>
      </c>
      <c r="D1355" s="9">
        <v>60</v>
      </c>
      <c r="E1355" s="9" t="s">
        <v>1804</v>
      </c>
      <c r="F1355" t="s">
        <v>367</v>
      </c>
      <c r="G1355" t="s">
        <v>368</v>
      </c>
      <c r="H1355" t="s">
        <v>1688</v>
      </c>
    </row>
    <row r="1356" spans="1:8" outlineLevel="2" x14ac:dyDescent="0.3">
      <c r="A1356" s="6">
        <v>17</v>
      </c>
      <c r="B1356" t="s">
        <v>797</v>
      </c>
      <c r="C1356" s="9" t="s">
        <v>963</v>
      </c>
      <c r="D1356" s="9">
        <v>64</v>
      </c>
      <c r="E1356" s="9" t="s">
        <v>1804</v>
      </c>
      <c r="F1356" t="s">
        <v>125</v>
      </c>
      <c r="G1356" t="s">
        <v>126</v>
      </c>
      <c r="H1356" t="s">
        <v>1581</v>
      </c>
    </row>
    <row r="1357" spans="1:8" outlineLevel="2" x14ac:dyDescent="0.3">
      <c r="A1357" s="6">
        <v>17</v>
      </c>
      <c r="B1357" t="s">
        <v>797</v>
      </c>
      <c r="C1357" s="9" t="s">
        <v>963</v>
      </c>
      <c r="D1357" s="9">
        <v>60</v>
      </c>
      <c r="E1357" s="9" t="s">
        <v>1804</v>
      </c>
      <c r="F1357" t="s">
        <v>486</v>
      </c>
      <c r="G1357" t="s">
        <v>487</v>
      </c>
      <c r="H1357" t="s">
        <v>1196</v>
      </c>
    </row>
    <row r="1358" spans="1:8" outlineLevel="2" x14ac:dyDescent="0.3">
      <c r="A1358" s="6">
        <v>17</v>
      </c>
      <c r="B1358" t="s">
        <v>797</v>
      </c>
      <c r="C1358" s="9" t="s">
        <v>963</v>
      </c>
      <c r="D1358" s="9">
        <v>60</v>
      </c>
      <c r="E1358" s="9" t="s">
        <v>1804</v>
      </c>
      <c r="F1358" t="s">
        <v>128</v>
      </c>
      <c r="G1358" t="s">
        <v>129</v>
      </c>
      <c r="H1358" t="s">
        <v>1582</v>
      </c>
    </row>
    <row r="1359" spans="1:8" outlineLevel="2" x14ac:dyDescent="0.3">
      <c r="A1359" s="6">
        <v>17</v>
      </c>
      <c r="B1359" t="s">
        <v>797</v>
      </c>
      <c r="C1359" s="9" t="s">
        <v>963</v>
      </c>
      <c r="D1359" s="9">
        <v>60</v>
      </c>
      <c r="E1359" s="9" t="s">
        <v>1804</v>
      </c>
      <c r="F1359" t="s">
        <v>375</v>
      </c>
      <c r="G1359" t="s">
        <v>376</v>
      </c>
      <c r="H1359" t="s">
        <v>1586</v>
      </c>
    </row>
    <row r="1360" spans="1:8" outlineLevel="2" x14ac:dyDescent="0.3">
      <c r="A1360" s="6">
        <v>17</v>
      </c>
      <c r="B1360" t="s">
        <v>797</v>
      </c>
      <c r="C1360" s="9" t="s">
        <v>963</v>
      </c>
      <c r="D1360" s="9">
        <v>60</v>
      </c>
      <c r="E1360" s="9" t="s">
        <v>1804</v>
      </c>
      <c r="F1360" t="s">
        <v>378</v>
      </c>
      <c r="G1360" t="s">
        <v>320</v>
      </c>
      <c r="H1360" t="s">
        <v>1247</v>
      </c>
    </row>
    <row r="1361" spans="1:8" outlineLevel="1" x14ac:dyDescent="0.3">
      <c r="A1361" s="16" t="s">
        <v>2203</v>
      </c>
      <c r="H1361">
        <f>SUBTOTAL(3,H1280:H1360)</f>
        <v>81</v>
      </c>
    </row>
    <row r="1362" spans="1:8" outlineLevel="2" x14ac:dyDescent="0.3">
      <c r="A1362" s="6">
        <v>18</v>
      </c>
      <c r="B1362" t="s">
        <v>770</v>
      </c>
      <c r="C1362" s="9" t="s">
        <v>932</v>
      </c>
      <c r="D1362" s="9">
        <v>12</v>
      </c>
      <c r="E1362" s="9" t="s">
        <v>1804</v>
      </c>
      <c r="F1362" t="s">
        <v>530</v>
      </c>
      <c r="G1362" t="s">
        <v>531</v>
      </c>
      <c r="H1362" t="s">
        <v>938</v>
      </c>
    </row>
    <row r="1363" spans="1:8" outlineLevel="2" x14ac:dyDescent="0.3">
      <c r="A1363" s="6">
        <v>18</v>
      </c>
      <c r="B1363" t="s">
        <v>770</v>
      </c>
      <c r="C1363" s="9" t="s">
        <v>932</v>
      </c>
      <c r="D1363" s="9">
        <v>18</v>
      </c>
      <c r="E1363" s="9" t="s">
        <v>1804</v>
      </c>
      <c r="F1363" t="s">
        <v>533</v>
      </c>
      <c r="G1363" t="s">
        <v>531</v>
      </c>
      <c r="H1363" t="s">
        <v>939</v>
      </c>
    </row>
    <row r="1364" spans="1:8" outlineLevel="2" x14ac:dyDescent="0.3">
      <c r="A1364" s="6">
        <v>18</v>
      </c>
      <c r="B1364" t="s">
        <v>770</v>
      </c>
      <c r="C1364" s="9" t="s">
        <v>932</v>
      </c>
      <c r="D1364" s="9">
        <v>30</v>
      </c>
      <c r="E1364" s="9" t="s">
        <v>1804</v>
      </c>
      <c r="F1364" t="s">
        <v>534</v>
      </c>
      <c r="G1364" t="s">
        <v>531</v>
      </c>
      <c r="H1364" t="s">
        <v>940</v>
      </c>
    </row>
    <row r="1365" spans="1:8" outlineLevel="2" x14ac:dyDescent="0.3">
      <c r="A1365" s="6">
        <v>18</v>
      </c>
      <c r="B1365" t="s">
        <v>770</v>
      </c>
      <c r="C1365" s="9" t="s">
        <v>932</v>
      </c>
      <c r="D1365" s="9">
        <v>12</v>
      </c>
      <c r="E1365" s="9" t="s">
        <v>1804</v>
      </c>
      <c r="F1365" t="s">
        <v>143</v>
      </c>
      <c r="G1365" t="s">
        <v>144</v>
      </c>
      <c r="H1365" t="s">
        <v>1694</v>
      </c>
    </row>
    <row r="1366" spans="1:8" outlineLevel="2" x14ac:dyDescent="0.3">
      <c r="A1366" s="6">
        <v>18</v>
      </c>
      <c r="B1366" t="s">
        <v>770</v>
      </c>
      <c r="C1366" s="9" t="s">
        <v>932</v>
      </c>
      <c r="D1366" s="9">
        <v>12</v>
      </c>
      <c r="E1366" s="9" t="s">
        <v>1804</v>
      </c>
      <c r="F1366" t="s">
        <v>771</v>
      </c>
      <c r="G1366" t="s">
        <v>382</v>
      </c>
      <c r="H1366" t="s">
        <v>1232</v>
      </c>
    </row>
    <row r="1367" spans="1:8" outlineLevel="2" x14ac:dyDescent="0.3">
      <c r="A1367" s="6">
        <v>18</v>
      </c>
      <c r="B1367" t="s">
        <v>770</v>
      </c>
      <c r="C1367" s="9" t="s">
        <v>932</v>
      </c>
      <c r="D1367" s="9">
        <v>30</v>
      </c>
      <c r="E1367" s="9" t="s">
        <v>1804</v>
      </c>
      <c r="F1367" t="s">
        <v>146</v>
      </c>
      <c r="G1367" t="s">
        <v>147</v>
      </c>
      <c r="H1367" t="s">
        <v>1377</v>
      </c>
    </row>
    <row r="1368" spans="1:8" outlineLevel="2" x14ac:dyDescent="0.3">
      <c r="A1368" s="6">
        <v>18</v>
      </c>
      <c r="B1368" t="s">
        <v>770</v>
      </c>
      <c r="C1368" s="9" t="s">
        <v>932</v>
      </c>
      <c r="D1368" s="9">
        <v>30</v>
      </c>
      <c r="E1368" s="9" t="s">
        <v>1804</v>
      </c>
      <c r="F1368" t="s">
        <v>176</v>
      </c>
      <c r="G1368" t="s">
        <v>177</v>
      </c>
      <c r="H1368" t="s">
        <v>1381</v>
      </c>
    </row>
    <row r="1369" spans="1:8" outlineLevel="2" x14ac:dyDescent="0.3">
      <c r="A1369" s="6">
        <v>18</v>
      </c>
      <c r="B1369" t="s">
        <v>770</v>
      </c>
      <c r="C1369" s="9" t="s">
        <v>1807</v>
      </c>
      <c r="D1369" s="9">
        <v>45</v>
      </c>
      <c r="E1369" s="9" t="s">
        <v>1808</v>
      </c>
      <c r="F1369" t="s">
        <v>772</v>
      </c>
      <c r="G1369" t="s">
        <v>180</v>
      </c>
      <c r="H1369" t="s">
        <v>1697</v>
      </c>
    </row>
    <row r="1370" spans="1:8" outlineLevel="2" x14ac:dyDescent="0.3">
      <c r="A1370" s="6">
        <v>18</v>
      </c>
      <c r="B1370" t="s">
        <v>770</v>
      </c>
      <c r="C1370" s="9" t="s">
        <v>1807</v>
      </c>
      <c r="D1370" s="9">
        <v>200</v>
      </c>
      <c r="E1370" s="9" t="s">
        <v>1808</v>
      </c>
      <c r="F1370" t="s">
        <v>185</v>
      </c>
      <c r="G1370" t="s">
        <v>183</v>
      </c>
      <c r="H1370" t="s">
        <v>1233</v>
      </c>
    </row>
    <row r="1371" spans="1:8" outlineLevel="2" x14ac:dyDescent="0.3">
      <c r="A1371" s="6">
        <v>18</v>
      </c>
      <c r="B1371" t="s">
        <v>770</v>
      </c>
      <c r="C1371" s="9" t="s">
        <v>1807</v>
      </c>
      <c r="D1371" s="9">
        <v>40</v>
      </c>
      <c r="E1371" s="9" t="s">
        <v>1808</v>
      </c>
      <c r="F1371" t="s">
        <v>186</v>
      </c>
      <c r="G1371" t="s">
        <v>183</v>
      </c>
      <c r="H1371" t="s">
        <v>1234</v>
      </c>
    </row>
    <row r="1372" spans="1:8" outlineLevel="2" x14ac:dyDescent="0.3">
      <c r="A1372" s="6">
        <v>18</v>
      </c>
      <c r="B1372" t="s">
        <v>770</v>
      </c>
      <c r="C1372" s="9" t="s">
        <v>1807</v>
      </c>
      <c r="D1372" s="9">
        <v>60</v>
      </c>
      <c r="E1372" s="9" t="s">
        <v>1808</v>
      </c>
      <c r="F1372" t="s">
        <v>773</v>
      </c>
      <c r="G1372" t="s">
        <v>183</v>
      </c>
      <c r="H1372" t="s">
        <v>1236</v>
      </c>
    </row>
    <row r="1373" spans="1:8" outlineLevel="2" x14ac:dyDescent="0.3">
      <c r="A1373" s="6">
        <v>18</v>
      </c>
      <c r="B1373" t="s">
        <v>770</v>
      </c>
      <c r="C1373" s="9" t="s">
        <v>932</v>
      </c>
      <c r="D1373" s="9">
        <v>30</v>
      </c>
      <c r="E1373" s="9" t="s">
        <v>1804</v>
      </c>
      <c r="F1373" t="s">
        <v>192</v>
      </c>
      <c r="G1373" t="s">
        <v>193</v>
      </c>
      <c r="H1373" t="s">
        <v>1252</v>
      </c>
    </row>
    <row r="1374" spans="1:8" outlineLevel="2" x14ac:dyDescent="0.3">
      <c r="A1374" s="6">
        <v>18</v>
      </c>
      <c r="B1374" t="s">
        <v>770</v>
      </c>
      <c r="C1374" s="9" t="s">
        <v>1807</v>
      </c>
      <c r="D1374" s="9">
        <v>1230</v>
      </c>
      <c r="E1374" s="9" t="s">
        <v>1808</v>
      </c>
      <c r="F1374" t="s">
        <v>10</v>
      </c>
      <c r="G1374" t="s">
        <v>526</v>
      </c>
      <c r="H1374" t="s">
        <v>1812</v>
      </c>
    </row>
    <row r="1375" spans="1:8" outlineLevel="2" x14ac:dyDescent="0.3">
      <c r="A1375" s="6">
        <v>18</v>
      </c>
      <c r="B1375" t="s">
        <v>770</v>
      </c>
      <c r="C1375" s="9" t="s">
        <v>1266</v>
      </c>
      <c r="D1375" s="9">
        <v>33</v>
      </c>
      <c r="E1375" s="9" t="s">
        <v>1804</v>
      </c>
      <c r="F1375" t="s">
        <v>774</v>
      </c>
      <c r="G1375" t="s">
        <v>196</v>
      </c>
      <c r="H1375" t="s">
        <v>1854</v>
      </c>
    </row>
    <row r="1376" spans="1:8" outlineLevel="2" x14ac:dyDescent="0.3">
      <c r="A1376" s="6">
        <v>18</v>
      </c>
      <c r="B1376" t="s">
        <v>770</v>
      </c>
      <c r="C1376" s="9" t="s">
        <v>932</v>
      </c>
      <c r="D1376" s="9">
        <v>24</v>
      </c>
      <c r="E1376" s="9" t="s">
        <v>1804</v>
      </c>
      <c r="F1376" t="s">
        <v>195</v>
      </c>
      <c r="G1376" t="s">
        <v>196</v>
      </c>
      <c r="H1376" t="s">
        <v>1263</v>
      </c>
    </row>
    <row r="1377" spans="1:8" outlineLevel="2" x14ac:dyDescent="0.3">
      <c r="A1377" s="6">
        <v>18</v>
      </c>
      <c r="B1377" t="s">
        <v>770</v>
      </c>
      <c r="C1377" s="9" t="s">
        <v>932</v>
      </c>
      <c r="D1377" s="9">
        <v>37</v>
      </c>
      <c r="E1377" s="9" t="s">
        <v>1804</v>
      </c>
      <c r="F1377" t="s">
        <v>198</v>
      </c>
      <c r="G1377" t="s">
        <v>196</v>
      </c>
      <c r="H1377" t="s">
        <v>1267</v>
      </c>
    </row>
    <row r="1378" spans="1:8" outlineLevel="2" x14ac:dyDescent="0.3">
      <c r="A1378" s="6">
        <v>18</v>
      </c>
      <c r="B1378" t="s">
        <v>770</v>
      </c>
      <c r="C1378" s="9" t="s">
        <v>1807</v>
      </c>
      <c r="D1378" s="9">
        <v>1300</v>
      </c>
      <c r="E1378" s="9" t="s">
        <v>1808</v>
      </c>
      <c r="F1378" t="s">
        <v>199</v>
      </c>
      <c r="G1378" t="s">
        <v>200</v>
      </c>
      <c r="H1378" t="s">
        <v>1271</v>
      </c>
    </row>
    <row r="1379" spans="1:8" outlineLevel="2" x14ac:dyDescent="0.3">
      <c r="A1379" s="6">
        <v>18</v>
      </c>
      <c r="B1379" t="s">
        <v>770</v>
      </c>
      <c r="C1379" s="9" t="s">
        <v>1266</v>
      </c>
      <c r="D1379" s="9">
        <v>11</v>
      </c>
      <c r="E1379" s="9" t="s">
        <v>1804</v>
      </c>
      <c r="F1379" t="s">
        <v>666</v>
      </c>
      <c r="G1379" t="s">
        <v>15</v>
      </c>
      <c r="H1379" t="s">
        <v>1855</v>
      </c>
    </row>
    <row r="1380" spans="1:8" outlineLevel="2" x14ac:dyDescent="0.3">
      <c r="A1380" s="6">
        <v>18</v>
      </c>
      <c r="B1380" t="s">
        <v>770</v>
      </c>
      <c r="C1380" s="9" t="s">
        <v>932</v>
      </c>
      <c r="D1380" s="9">
        <v>42</v>
      </c>
      <c r="E1380" s="9" t="s">
        <v>1804</v>
      </c>
      <c r="F1380" t="s">
        <v>14</v>
      </c>
      <c r="G1380" t="s">
        <v>15</v>
      </c>
      <c r="H1380" t="s">
        <v>1290</v>
      </c>
    </row>
    <row r="1381" spans="1:8" outlineLevel="2" x14ac:dyDescent="0.3">
      <c r="A1381" s="6">
        <v>18</v>
      </c>
      <c r="B1381" t="s">
        <v>770</v>
      </c>
      <c r="C1381" s="9" t="s">
        <v>932</v>
      </c>
      <c r="D1381" s="9">
        <v>12</v>
      </c>
      <c r="E1381" s="9" t="s">
        <v>1804</v>
      </c>
      <c r="F1381" t="s">
        <v>204</v>
      </c>
      <c r="G1381" t="s">
        <v>15</v>
      </c>
      <c r="H1381" t="s">
        <v>1292</v>
      </c>
    </row>
    <row r="1382" spans="1:8" outlineLevel="2" x14ac:dyDescent="0.3">
      <c r="A1382" s="6">
        <v>18</v>
      </c>
      <c r="B1382" t="s">
        <v>770</v>
      </c>
      <c r="C1382" s="9" t="s">
        <v>1807</v>
      </c>
      <c r="D1382" s="9">
        <v>1330</v>
      </c>
      <c r="E1382" s="9" t="s">
        <v>1808</v>
      </c>
      <c r="F1382" t="s">
        <v>207</v>
      </c>
      <c r="G1382" t="s">
        <v>19</v>
      </c>
      <c r="H1382" t="s">
        <v>1301</v>
      </c>
    </row>
    <row r="1383" spans="1:8" outlineLevel="2" x14ac:dyDescent="0.3">
      <c r="A1383" s="6">
        <v>18</v>
      </c>
      <c r="B1383" t="s">
        <v>770</v>
      </c>
      <c r="C1383" s="9" t="s">
        <v>932</v>
      </c>
      <c r="D1383" s="9">
        <v>47</v>
      </c>
      <c r="E1383" s="9" t="s">
        <v>1804</v>
      </c>
      <c r="F1383" t="s">
        <v>776</v>
      </c>
      <c r="G1383" t="s">
        <v>99</v>
      </c>
      <c r="H1383" t="s">
        <v>1303</v>
      </c>
    </row>
    <row r="1384" spans="1:8" outlineLevel="2" x14ac:dyDescent="0.3">
      <c r="A1384" s="6">
        <v>18</v>
      </c>
      <c r="B1384" t="s">
        <v>770</v>
      </c>
      <c r="C1384" s="9" t="s">
        <v>1807</v>
      </c>
      <c r="D1384" s="9">
        <v>750</v>
      </c>
      <c r="E1384" s="9" t="s">
        <v>1808</v>
      </c>
      <c r="F1384" t="s">
        <v>211</v>
      </c>
      <c r="G1384" t="s">
        <v>212</v>
      </c>
      <c r="H1384" t="s">
        <v>1331</v>
      </c>
    </row>
    <row r="1385" spans="1:8" outlineLevel="2" x14ac:dyDescent="0.3">
      <c r="A1385" s="6">
        <v>18</v>
      </c>
      <c r="B1385" t="s">
        <v>770</v>
      </c>
      <c r="C1385" s="9" t="s">
        <v>1807</v>
      </c>
      <c r="D1385" s="9">
        <v>1350</v>
      </c>
      <c r="E1385" s="9" t="s">
        <v>1808</v>
      </c>
      <c r="F1385" t="s">
        <v>413</v>
      </c>
      <c r="G1385" t="s">
        <v>414</v>
      </c>
      <c r="H1385" t="s">
        <v>1332</v>
      </c>
    </row>
    <row r="1386" spans="1:8" outlineLevel="2" x14ac:dyDescent="0.3">
      <c r="A1386" s="6">
        <v>18</v>
      </c>
      <c r="B1386" t="s">
        <v>770</v>
      </c>
      <c r="C1386" s="9" t="s">
        <v>1807</v>
      </c>
      <c r="D1386" s="9">
        <v>290</v>
      </c>
      <c r="E1386" s="9" t="s">
        <v>1808</v>
      </c>
      <c r="F1386" t="s">
        <v>777</v>
      </c>
      <c r="G1386" t="s">
        <v>26</v>
      </c>
      <c r="H1386" t="s">
        <v>1334</v>
      </c>
    </row>
    <row r="1387" spans="1:8" outlineLevel="2" x14ac:dyDescent="0.3">
      <c r="A1387" s="6">
        <v>18</v>
      </c>
      <c r="B1387" t="s">
        <v>770</v>
      </c>
      <c r="C1387" s="9" t="s">
        <v>1807</v>
      </c>
      <c r="D1387" s="9">
        <v>30</v>
      </c>
      <c r="E1387" s="9" t="s">
        <v>1808</v>
      </c>
      <c r="F1387" t="s">
        <v>779</v>
      </c>
      <c r="G1387" t="s">
        <v>29</v>
      </c>
      <c r="H1387" t="s">
        <v>1181</v>
      </c>
    </row>
    <row r="1388" spans="1:8" outlineLevel="2" x14ac:dyDescent="0.3">
      <c r="A1388" s="6">
        <v>18</v>
      </c>
      <c r="B1388" t="s">
        <v>770</v>
      </c>
      <c r="C1388" s="9" t="s">
        <v>932</v>
      </c>
      <c r="D1388" s="9">
        <v>12</v>
      </c>
      <c r="E1388" s="9" t="s">
        <v>1804</v>
      </c>
      <c r="F1388" t="s">
        <v>483</v>
      </c>
      <c r="G1388" t="s">
        <v>29</v>
      </c>
      <c r="H1388" t="s">
        <v>1182</v>
      </c>
    </row>
    <row r="1389" spans="1:8" outlineLevel="2" x14ac:dyDescent="0.3">
      <c r="A1389" s="6">
        <v>18</v>
      </c>
      <c r="B1389" t="s">
        <v>770</v>
      </c>
      <c r="C1389" s="9" t="s">
        <v>932</v>
      </c>
      <c r="D1389" s="9">
        <v>12</v>
      </c>
      <c r="E1389" s="9" t="s">
        <v>1804</v>
      </c>
      <c r="F1389" t="s">
        <v>588</v>
      </c>
      <c r="G1389" t="s">
        <v>29</v>
      </c>
      <c r="H1389" t="s">
        <v>1183</v>
      </c>
    </row>
    <row r="1390" spans="1:8" outlineLevel="2" x14ac:dyDescent="0.3">
      <c r="A1390" s="6">
        <v>18</v>
      </c>
      <c r="B1390" t="s">
        <v>770</v>
      </c>
      <c r="C1390" s="9" t="s">
        <v>932</v>
      </c>
      <c r="D1390" s="9">
        <v>12</v>
      </c>
      <c r="E1390" s="9" t="s">
        <v>1804</v>
      </c>
      <c r="F1390" t="s">
        <v>589</v>
      </c>
      <c r="G1390" t="s">
        <v>29</v>
      </c>
      <c r="H1390" t="s">
        <v>1184</v>
      </c>
    </row>
    <row r="1391" spans="1:8" outlineLevel="2" x14ac:dyDescent="0.3">
      <c r="A1391" s="6">
        <v>18</v>
      </c>
      <c r="B1391" t="s">
        <v>770</v>
      </c>
      <c r="C1391" s="9" t="s">
        <v>1807</v>
      </c>
      <c r="D1391" s="9">
        <v>600</v>
      </c>
      <c r="E1391" s="9" t="s">
        <v>1808</v>
      </c>
      <c r="F1391" t="s">
        <v>623</v>
      </c>
      <c r="G1391" t="s">
        <v>29</v>
      </c>
      <c r="H1391" t="s">
        <v>1185</v>
      </c>
    </row>
    <row r="1392" spans="1:8" outlineLevel="2" x14ac:dyDescent="0.3">
      <c r="A1392" s="6">
        <v>18</v>
      </c>
      <c r="B1392" t="s">
        <v>770</v>
      </c>
      <c r="C1392" s="9" t="s">
        <v>1807</v>
      </c>
      <c r="D1392" s="9">
        <v>120</v>
      </c>
      <c r="E1392" s="9" t="s">
        <v>1808</v>
      </c>
      <c r="F1392" t="s">
        <v>780</v>
      </c>
      <c r="G1392" t="s">
        <v>29</v>
      </c>
      <c r="H1392" t="s">
        <v>1186</v>
      </c>
    </row>
    <row r="1393" spans="1:8" outlineLevel="2" x14ac:dyDescent="0.3">
      <c r="A1393" s="6">
        <v>18</v>
      </c>
      <c r="B1393" t="s">
        <v>770</v>
      </c>
      <c r="C1393" s="9" t="s">
        <v>932</v>
      </c>
      <c r="D1393" s="9">
        <v>24</v>
      </c>
      <c r="E1393" s="9" t="s">
        <v>1804</v>
      </c>
      <c r="F1393" t="s">
        <v>385</v>
      </c>
      <c r="G1393" t="s">
        <v>386</v>
      </c>
      <c r="H1393" t="s">
        <v>1421</v>
      </c>
    </row>
    <row r="1394" spans="1:8" outlineLevel="2" x14ac:dyDescent="0.3">
      <c r="A1394" s="6">
        <v>18</v>
      </c>
      <c r="B1394" t="s">
        <v>770</v>
      </c>
      <c r="C1394" s="9" t="s">
        <v>932</v>
      </c>
      <c r="D1394" s="9">
        <v>18</v>
      </c>
      <c r="E1394" s="9" t="s">
        <v>1804</v>
      </c>
      <c r="F1394" t="s">
        <v>388</v>
      </c>
      <c r="G1394" t="s">
        <v>386</v>
      </c>
      <c r="H1394" t="s">
        <v>1425</v>
      </c>
    </row>
    <row r="1395" spans="1:8" outlineLevel="2" x14ac:dyDescent="0.3">
      <c r="A1395" s="6">
        <v>18</v>
      </c>
      <c r="B1395" t="s">
        <v>770</v>
      </c>
      <c r="C1395" s="9" t="s">
        <v>932</v>
      </c>
      <c r="D1395" s="9">
        <v>18</v>
      </c>
      <c r="E1395" s="9" t="s">
        <v>1804</v>
      </c>
      <c r="F1395" t="s">
        <v>670</v>
      </c>
      <c r="G1395" t="s">
        <v>386</v>
      </c>
      <c r="H1395" t="s">
        <v>1426</v>
      </c>
    </row>
    <row r="1396" spans="1:8" outlineLevel="2" x14ac:dyDescent="0.3">
      <c r="A1396" s="6">
        <v>18</v>
      </c>
      <c r="B1396" t="s">
        <v>770</v>
      </c>
      <c r="C1396" s="9" t="s">
        <v>932</v>
      </c>
      <c r="D1396" s="9">
        <v>18</v>
      </c>
      <c r="E1396" s="9" t="s">
        <v>1804</v>
      </c>
      <c r="F1396" t="s">
        <v>418</v>
      </c>
      <c r="G1396" t="s">
        <v>168</v>
      </c>
      <c r="H1396" t="s">
        <v>1440</v>
      </c>
    </row>
    <row r="1397" spans="1:8" outlineLevel="2" x14ac:dyDescent="0.3">
      <c r="A1397" s="6">
        <v>18</v>
      </c>
      <c r="B1397" t="s">
        <v>770</v>
      </c>
      <c r="C1397" s="9" t="s">
        <v>932</v>
      </c>
      <c r="D1397" s="9">
        <v>18</v>
      </c>
      <c r="E1397" s="9" t="s">
        <v>1804</v>
      </c>
      <c r="F1397" t="s">
        <v>217</v>
      </c>
      <c r="G1397" t="s">
        <v>168</v>
      </c>
      <c r="H1397" t="s">
        <v>1442</v>
      </c>
    </row>
    <row r="1398" spans="1:8" outlineLevel="2" x14ac:dyDescent="0.3">
      <c r="A1398" s="6">
        <v>18</v>
      </c>
      <c r="B1398" t="s">
        <v>770</v>
      </c>
      <c r="C1398" s="9" t="s">
        <v>932</v>
      </c>
      <c r="D1398" s="9">
        <v>27</v>
      </c>
      <c r="E1398" s="9" t="s">
        <v>1804</v>
      </c>
      <c r="F1398" t="s">
        <v>218</v>
      </c>
      <c r="G1398" t="s">
        <v>168</v>
      </c>
      <c r="H1398" t="s">
        <v>1443</v>
      </c>
    </row>
    <row r="1399" spans="1:8" outlineLevel="2" x14ac:dyDescent="0.3">
      <c r="A1399" s="6">
        <v>18</v>
      </c>
      <c r="B1399" t="s">
        <v>770</v>
      </c>
      <c r="C1399" s="9" t="s">
        <v>932</v>
      </c>
      <c r="D1399" s="9">
        <v>18</v>
      </c>
      <c r="E1399" s="9" t="s">
        <v>1804</v>
      </c>
      <c r="F1399" t="s">
        <v>389</v>
      </c>
      <c r="G1399" t="s">
        <v>171</v>
      </c>
      <c r="H1399" t="s">
        <v>1447</v>
      </c>
    </row>
    <row r="1400" spans="1:8" outlineLevel="2" x14ac:dyDescent="0.3">
      <c r="A1400" s="6">
        <v>18</v>
      </c>
      <c r="B1400" t="s">
        <v>770</v>
      </c>
      <c r="C1400" s="9" t="s">
        <v>932</v>
      </c>
      <c r="D1400" s="9">
        <v>33</v>
      </c>
      <c r="E1400" s="9" t="s">
        <v>1804</v>
      </c>
      <c r="F1400" t="s">
        <v>390</v>
      </c>
      <c r="G1400" t="s">
        <v>391</v>
      </c>
      <c r="H1400" t="s">
        <v>1449</v>
      </c>
    </row>
    <row r="1401" spans="1:8" outlineLevel="2" x14ac:dyDescent="0.3">
      <c r="A1401" s="6">
        <v>18</v>
      </c>
      <c r="B1401" t="s">
        <v>770</v>
      </c>
      <c r="C1401" s="9" t="s">
        <v>932</v>
      </c>
      <c r="D1401" s="9">
        <v>35</v>
      </c>
      <c r="E1401" s="9" t="s">
        <v>1804</v>
      </c>
      <c r="F1401" t="s">
        <v>421</v>
      </c>
      <c r="G1401" t="s">
        <v>115</v>
      </c>
      <c r="H1401" t="s">
        <v>1464</v>
      </c>
    </row>
    <row r="1402" spans="1:8" outlineLevel="2" x14ac:dyDescent="0.3">
      <c r="A1402" s="6">
        <v>18</v>
      </c>
      <c r="B1402" t="s">
        <v>770</v>
      </c>
      <c r="C1402" s="9" t="s">
        <v>932</v>
      </c>
      <c r="D1402" s="9">
        <v>24</v>
      </c>
      <c r="E1402" s="9" t="s">
        <v>1804</v>
      </c>
      <c r="F1402" t="s">
        <v>31</v>
      </c>
      <c r="G1402" t="s">
        <v>32</v>
      </c>
      <c r="H1402" t="s">
        <v>1483</v>
      </c>
    </row>
    <row r="1403" spans="1:8" outlineLevel="2" x14ac:dyDescent="0.3">
      <c r="A1403" s="6">
        <v>18</v>
      </c>
      <c r="B1403" t="s">
        <v>770</v>
      </c>
      <c r="C1403" s="9" t="s">
        <v>932</v>
      </c>
      <c r="D1403" s="9">
        <v>21</v>
      </c>
      <c r="E1403" s="9" t="s">
        <v>1804</v>
      </c>
      <c r="F1403" t="s">
        <v>34</v>
      </c>
      <c r="G1403" t="s">
        <v>32</v>
      </c>
      <c r="H1403" t="s">
        <v>1485</v>
      </c>
    </row>
    <row r="1404" spans="1:8" outlineLevel="2" x14ac:dyDescent="0.3">
      <c r="A1404" s="6">
        <v>18</v>
      </c>
      <c r="B1404" t="s">
        <v>770</v>
      </c>
      <c r="C1404" s="9" t="s">
        <v>932</v>
      </c>
      <c r="D1404" s="9">
        <v>36</v>
      </c>
      <c r="E1404" s="9" t="s">
        <v>1804</v>
      </c>
      <c r="F1404" t="s">
        <v>541</v>
      </c>
      <c r="G1404" t="s">
        <v>32</v>
      </c>
      <c r="H1404" t="s">
        <v>1486</v>
      </c>
    </row>
    <row r="1405" spans="1:8" outlineLevel="2" x14ac:dyDescent="0.3">
      <c r="A1405" s="6">
        <v>18</v>
      </c>
      <c r="B1405" t="s">
        <v>770</v>
      </c>
      <c r="C1405" s="9" t="s">
        <v>932</v>
      </c>
      <c r="D1405" s="9">
        <v>30</v>
      </c>
      <c r="E1405" s="9" t="s">
        <v>1804</v>
      </c>
      <c r="F1405" t="s">
        <v>35</v>
      </c>
      <c r="G1405" t="s">
        <v>32</v>
      </c>
      <c r="H1405" t="s">
        <v>1489</v>
      </c>
    </row>
    <row r="1406" spans="1:8" outlineLevel="2" x14ac:dyDescent="0.3">
      <c r="A1406" s="6">
        <v>18</v>
      </c>
      <c r="B1406" t="s">
        <v>770</v>
      </c>
      <c r="C1406" s="9" t="s">
        <v>932</v>
      </c>
      <c r="D1406" s="9">
        <v>21</v>
      </c>
      <c r="E1406" s="9" t="s">
        <v>1804</v>
      </c>
      <c r="F1406" t="s">
        <v>36</v>
      </c>
      <c r="G1406" t="s">
        <v>32</v>
      </c>
      <c r="H1406" t="s">
        <v>1492</v>
      </c>
    </row>
    <row r="1407" spans="1:8" outlineLevel="2" x14ac:dyDescent="0.3">
      <c r="A1407" s="6">
        <v>18</v>
      </c>
      <c r="B1407" t="s">
        <v>770</v>
      </c>
      <c r="C1407" s="9" t="s">
        <v>932</v>
      </c>
      <c r="D1407" s="9">
        <v>12</v>
      </c>
      <c r="E1407" s="9" t="s">
        <v>1804</v>
      </c>
      <c r="F1407" t="s">
        <v>153</v>
      </c>
      <c r="G1407" t="s">
        <v>108</v>
      </c>
      <c r="H1407" t="s">
        <v>1150</v>
      </c>
    </row>
    <row r="1408" spans="1:8" outlineLevel="2" x14ac:dyDescent="0.3">
      <c r="A1408" s="6">
        <v>18</v>
      </c>
      <c r="B1408" t="s">
        <v>770</v>
      </c>
      <c r="C1408" s="9" t="s">
        <v>932</v>
      </c>
      <c r="D1408" s="9">
        <v>18</v>
      </c>
      <c r="E1408" s="9" t="s">
        <v>1804</v>
      </c>
      <c r="F1408" t="s">
        <v>154</v>
      </c>
      <c r="G1408" t="s">
        <v>108</v>
      </c>
      <c r="H1408" t="s">
        <v>1151</v>
      </c>
    </row>
    <row r="1409" spans="1:8" outlineLevel="2" x14ac:dyDescent="0.3">
      <c r="A1409" s="6">
        <v>18</v>
      </c>
      <c r="B1409" t="s">
        <v>770</v>
      </c>
      <c r="C1409" s="9" t="s">
        <v>932</v>
      </c>
      <c r="D1409" s="9">
        <v>18</v>
      </c>
      <c r="E1409" s="9" t="s">
        <v>1804</v>
      </c>
      <c r="F1409" t="s">
        <v>697</v>
      </c>
      <c r="G1409" t="s">
        <v>108</v>
      </c>
      <c r="H1409" t="s">
        <v>1155</v>
      </c>
    </row>
    <row r="1410" spans="1:8" outlineLevel="2" x14ac:dyDescent="0.3">
      <c r="A1410" s="6">
        <v>18</v>
      </c>
      <c r="B1410" t="s">
        <v>770</v>
      </c>
      <c r="C1410" s="9" t="s">
        <v>932</v>
      </c>
      <c r="D1410" s="9">
        <v>27</v>
      </c>
      <c r="E1410" s="9" t="s">
        <v>1804</v>
      </c>
      <c r="F1410" t="s">
        <v>40</v>
      </c>
      <c r="G1410" t="s">
        <v>41</v>
      </c>
      <c r="H1410" t="s">
        <v>1169</v>
      </c>
    </row>
    <row r="1411" spans="1:8" outlineLevel="2" x14ac:dyDescent="0.3">
      <c r="A1411" s="6">
        <v>18</v>
      </c>
      <c r="B1411" t="s">
        <v>770</v>
      </c>
      <c r="C1411" s="9" t="s">
        <v>932</v>
      </c>
      <c r="D1411" s="9">
        <v>24</v>
      </c>
      <c r="E1411" s="9" t="s">
        <v>1804</v>
      </c>
      <c r="F1411" t="s">
        <v>232</v>
      </c>
      <c r="G1411" t="s">
        <v>144</v>
      </c>
      <c r="H1411" t="s">
        <v>1171</v>
      </c>
    </row>
    <row r="1412" spans="1:8" outlineLevel="2" x14ac:dyDescent="0.3">
      <c r="A1412" s="6">
        <v>18</v>
      </c>
      <c r="B1412" t="s">
        <v>770</v>
      </c>
      <c r="C1412" s="9" t="s">
        <v>932</v>
      </c>
      <c r="D1412" s="9">
        <v>15</v>
      </c>
      <c r="E1412" s="9" t="s">
        <v>1804</v>
      </c>
      <c r="F1412" t="s">
        <v>515</v>
      </c>
      <c r="G1412" t="s">
        <v>238</v>
      </c>
      <c r="H1412" t="s">
        <v>1064</v>
      </c>
    </row>
    <row r="1413" spans="1:8" outlineLevel="2" x14ac:dyDescent="0.3">
      <c r="A1413" s="6">
        <v>18</v>
      </c>
      <c r="B1413" t="s">
        <v>770</v>
      </c>
      <c r="C1413" s="9" t="s">
        <v>932</v>
      </c>
      <c r="D1413" s="9">
        <v>24</v>
      </c>
      <c r="E1413" s="9" t="s">
        <v>1804</v>
      </c>
      <c r="F1413" t="s">
        <v>237</v>
      </c>
      <c r="G1413" t="s">
        <v>238</v>
      </c>
      <c r="H1413" t="s">
        <v>1065</v>
      </c>
    </row>
    <row r="1414" spans="1:8" outlineLevel="2" x14ac:dyDescent="0.3">
      <c r="A1414" s="6">
        <v>18</v>
      </c>
      <c r="B1414" t="s">
        <v>770</v>
      </c>
      <c r="C1414" s="9" t="s">
        <v>932</v>
      </c>
      <c r="D1414" s="9">
        <v>24</v>
      </c>
      <c r="E1414" s="9" t="s">
        <v>1804</v>
      </c>
      <c r="F1414" t="s">
        <v>553</v>
      </c>
      <c r="G1414" t="s">
        <v>238</v>
      </c>
      <c r="H1414" t="s">
        <v>1066</v>
      </c>
    </row>
    <row r="1415" spans="1:8" outlineLevel="2" x14ac:dyDescent="0.3">
      <c r="A1415" s="6">
        <v>18</v>
      </c>
      <c r="B1415" t="s">
        <v>770</v>
      </c>
      <c r="C1415" s="9" t="s">
        <v>1807</v>
      </c>
      <c r="D1415" s="9">
        <v>1200</v>
      </c>
      <c r="E1415" s="9" t="s">
        <v>1808</v>
      </c>
      <c r="F1415" t="s">
        <v>240</v>
      </c>
      <c r="G1415" t="s">
        <v>241</v>
      </c>
      <c r="H1415" t="s">
        <v>1427</v>
      </c>
    </row>
    <row r="1416" spans="1:8" outlineLevel="2" x14ac:dyDescent="0.3">
      <c r="A1416" s="6">
        <v>18</v>
      </c>
      <c r="B1416" t="s">
        <v>770</v>
      </c>
      <c r="C1416" s="9" t="s">
        <v>1807</v>
      </c>
      <c r="D1416" s="9">
        <v>1200</v>
      </c>
      <c r="E1416" s="9" t="s">
        <v>1808</v>
      </c>
      <c r="F1416" t="s">
        <v>430</v>
      </c>
      <c r="G1416" t="s">
        <v>431</v>
      </c>
      <c r="H1416" t="s">
        <v>1428</v>
      </c>
    </row>
    <row r="1417" spans="1:8" outlineLevel="2" x14ac:dyDescent="0.3">
      <c r="A1417" s="6">
        <v>18</v>
      </c>
      <c r="B1417" t="s">
        <v>770</v>
      </c>
      <c r="C1417" s="9" t="s">
        <v>1807</v>
      </c>
      <c r="D1417" s="9">
        <v>260</v>
      </c>
      <c r="E1417" s="9" t="s">
        <v>1808</v>
      </c>
      <c r="F1417" t="s">
        <v>243</v>
      </c>
      <c r="G1417" t="s">
        <v>244</v>
      </c>
      <c r="H1417" t="s">
        <v>1429</v>
      </c>
    </row>
    <row r="1418" spans="1:8" outlineLevel="2" x14ac:dyDescent="0.3">
      <c r="A1418" s="6">
        <v>18</v>
      </c>
      <c r="B1418" t="s">
        <v>770</v>
      </c>
      <c r="C1418" s="9" t="s">
        <v>1807</v>
      </c>
      <c r="D1418" s="9">
        <v>240</v>
      </c>
      <c r="E1418" s="9" t="s">
        <v>1808</v>
      </c>
      <c r="F1418" t="s">
        <v>715</v>
      </c>
      <c r="G1418" t="s">
        <v>716</v>
      </c>
      <c r="H1418" t="s">
        <v>1431</v>
      </c>
    </row>
    <row r="1419" spans="1:8" outlineLevel="2" x14ac:dyDescent="0.3">
      <c r="A1419" s="6">
        <v>18</v>
      </c>
      <c r="B1419" t="s">
        <v>770</v>
      </c>
      <c r="C1419" s="9" t="s">
        <v>932</v>
      </c>
      <c r="D1419" s="9">
        <v>18</v>
      </c>
      <c r="E1419" s="9" t="s">
        <v>1804</v>
      </c>
      <c r="F1419" t="s">
        <v>246</v>
      </c>
      <c r="G1419" t="s">
        <v>51</v>
      </c>
      <c r="H1419" t="s">
        <v>1596</v>
      </c>
    </row>
    <row r="1420" spans="1:8" outlineLevel="2" x14ac:dyDescent="0.3">
      <c r="A1420" s="6">
        <v>18</v>
      </c>
      <c r="B1420" t="s">
        <v>770</v>
      </c>
      <c r="C1420" s="9" t="s">
        <v>932</v>
      </c>
      <c r="D1420" s="9">
        <v>12</v>
      </c>
      <c r="E1420" s="9" t="s">
        <v>1804</v>
      </c>
      <c r="F1420" t="s">
        <v>50</v>
      </c>
      <c r="G1420" t="s">
        <v>51</v>
      </c>
      <c r="H1420" t="s">
        <v>1598</v>
      </c>
    </row>
    <row r="1421" spans="1:8" outlineLevel="2" x14ac:dyDescent="0.3">
      <c r="A1421" s="6">
        <v>18</v>
      </c>
      <c r="B1421" t="s">
        <v>770</v>
      </c>
      <c r="C1421" s="9" t="s">
        <v>932</v>
      </c>
      <c r="D1421" s="9">
        <v>30</v>
      </c>
      <c r="E1421" s="9" t="s">
        <v>1804</v>
      </c>
      <c r="F1421" t="s">
        <v>247</v>
      </c>
      <c r="G1421" t="s">
        <v>51</v>
      </c>
      <c r="H1421" t="s">
        <v>1599</v>
      </c>
    </row>
    <row r="1422" spans="1:8" outlineLevel="2" x14ac:dyDescent="0.3">
      <c r="A1422" s="6">
        <v>18</v>
      </c>
      <c r="B1422" t="s">
        <v>770</v>
      </c>
      <c r="C1422" s="9" t="s">
        <v>1807</v>
      </c>
      <c r="D1422" s="9">
        <v>750</v>
      </c>
      <c r="E1422" s="9" t="s">
        <v>1808</v>
      </c>
      <c r="F1422" t="s">
        <v>248</v>
      </c>
      <c r="G1422" t="s">
        <v>249</v>
      </c>
      <c r="H1422" t="s">
        <v>979</v>
      </c>
    </row>
    <row r="1423" spans="1:8" outlineLevel="2" x14ac:dyDescent="0.3">
      <c r="A1423" s="6">
        <v>18</v>
      </c>
      <c r="B1423" t="s">
        <v>770</v>
      </c>
      <c r="C1423" s="9" t="s">
        <v>932</v>
      </c>
      <c r="D1423" s="9">
        <v>18</v>
      </c>
      <c r="E1423" s="9" t="s">
        <v>1804</v>
      </c>
      <c r="F1423" t="s">
        <v>629</v>
      </c>
      <c r="G1423" t="s">
        <v>630</v>
      </c>
      <c r="H1423" t="s">
        <v>1198</v>
      </c>
    </row>
    <row r="1424" spans="1:8" outlineLevel="2" x14ac:dyDescent="0.3">
      <c r="A1424" s="6">
        <v>18</v>
      </c>
      <c r="B1424" t="s">
        <v>770</v>
      </c>
      <c r="C1424" s="9" t="s">
        <v>932</v>
      </c>
      <c r="D1424" s="9">
        <v>12</v>
      </c>
      <c r="E1424" s="9" t="s">
        <v>1804</v>
      </c>
      <c r="F1424" t="s">
        <v>781</v>
      </c>
      <c r="G1424" t="s">
        <v>253</v>
      </c>
      <c r="H1424" t="s">
        <v>1634</v>
      </c>
    </row>
    <row r="1425" spans="1:8" outlineLevel="2" x14ac:dyDescent="0.3">
      <c r="A1425" s="6">
        <v>18</v>
      </c>
      <c r="B1425" t="s">
        <v>770</v>
      </c>
      <c r="C1425" s="9" t="s">
        <v>932</v>
      </c>
      <c r="D1425" s="9">
        <v>19</v>
      </c>
      <c r="E1425" s="9" t="s">
        <v>1804</v>
      </c>
      <c r="F1425" t="s">
        <v>265</v>
      </c>
      <c r="G1425" t="s">
        <v>266</v>
      </c>
      <c r="H1425" t="s">
        <v>1337</v>
      </c>
    </row>
    <row r="1426" spans="1:8" outlineLevel="2" x14ac:dyDescent="0.3">
      <c r="A1426" s="6">
        <v>18</v>
      </c>
      <c r="B1426" t="s">
        <v>770</v>
      </c>
      <c r="C1426" s="9" t="s">
        <v>1807</v>
      </c>
      <c r="D1426" s="9">
        <v>1200</v>
      </c>
      <c r="E1426" s="9" t="s">
        <v>1808</v>
      </c>
      <c r="F1426" t="s">
        <v>272</v>
      </c>
      <c r="G1426" t="s">
        <v>273</v>
      </c>
      <c r="H1426" t="s">
        <v>997</v>
      </c>
    </row>
    <row r="1427" spans="1:8" outlineLevel="2" x14ac:dyDescent="0.3">
      <c r="A1427" s="6">
        <v>18</v>
      </c>
      <c r="B1427" t="s">
        <v>770</v>
      </c>
      <c r="C1427" s="9" t="s">
        <v>1807</v>
      </c>
      <c r="D1427" s="9">
        <v>750</v>
      </c>
      <c r="E1427" s="9" t="s">
        <v>1808</v>
      </c>
      <c r="F1427" t="s">
        <v>782</v>
      </c>
      <c r="G1427" t="s">
        <v>783</v>
      </c>
      <c r="H1427" t="s">
        <v>1011</v>
      </c>
    </row>
    <row r="1428" spans="1:8" outlineLevel="2" x14ac:dyDescent="0.3">
      <c r="A1428" s="6">
        <v>18</v>
      </c>
      <c r="B1428" t="s">
        <v>770</v>
      </c>
      <c r="C1428" s="9" t="s">
        <v>1807</v>
      </c>
      <c r="D1428" s="9">
        <v>1350</v>
      </c>
      <c r="E1428" s="9" t="s">
        <v>1808</v>
      </c>
      <c r="F1428" t="s">
        <v>275</v>
      </c>
      <c r="G1428" t="s">
        <v>276</v>
      </c>
      <c r="H1428" t="s">
        <v>1012</v>
      </c>
    </row>
    <row r="1429" spans="1:8" outlineLevel="2" x14ac:dyDescent="0.3">
      <c r="A1429" s="6">
        <v>18</v>
      </c>
      <c r="B1429" t="s">
        <v>770</v>
      </c>
      <c r="C1429" s="9" t="s">
        <v>1807</v>
      </c>
      <c r="D1429" s="9">
        <v>1800</v>
      </c>
      <c r="E1429" s="9" t="s">
        <v>1808</v>
      </c>
      <c r="F1429" t="s">
        <v>785</v>
      </c>
      <c r="G1429" t="s">
        <v>786</v>
      </c>
      <c r="H1429" t="s">
        <v>1718</v>
      </c>
    </row>
    <row r="1430" spans="1:8" outlineLevel="2" x14ac:dyDescent="0.3">
      <c r="A1430" s="6">
        <v>18</v>
      </c>
      <c r="B1430" t="s">
        <v>770</v>
      </c>
      <c r="C1430" s="9" t="s">
        <v>1807</v>
      </c>
      <c r="D1430" s="9">
        <v>1800</v>
      </c>
      <c r="E1430" s="9" t="s">
        <v>1808</v>
      </c>
      <c r="F1430" t="s">
        <v>449</v>
      </c>
      <c r="G1430" t="s">
        <v>450</v>
      </c>
      <c r="H1430" t="s">
        <v>1711</v>
      </c>
    </row>
    <row r="1431" spans="1:8" outlineLevel="2" x14ac:dyDescent="0.3">
      <c r="A1431" s="6">
        <v>18</v>
      </c>
      <c r="B1431" t="s">
        <v>770</v>
      </c>
      <c r="C1431" s="9" t="s">
        <v>1807</v>
      </c>
      <c r="D1431" s="9">
        <v>1050</v>
      </c>
      <c r="E1431" s="9" t="s">
        <v>1808</v>
      </c>
      <c r="F1431" t="s">
        <v>788</v>
      </c>
      <c r="G1431" t="s">
        <v>450</v>
      </c>
      <c r="H1431" t="s">
        <v>1724</v>
      </c>
    </row>
    <row r="1432" spans="1:8" outlineLevel="2" x14ac:dyDescent="0.3">
      <c r="A1432" s="6">
        <v>18</v>
      </c>
      <c r="B1432" t="s">
        <v>770</v>
      </c>
      <c r="C1432" s="9" t="s">
        <v>1807</v>
      </c>
      <c r="D1432" s="9">
        <v>750</v>
      </c>
      <c r="E1432" s="9" t="s">
        <v>1808</v>
      </c>
      <c r="F1432" t="s">
        <v>789</v>
      </c>
      <c r="G1432" t="s">
        <v>450</v>
      </c>
      <c r="H1432" t="s">
        <v>1725</v>
      </c>
    </row>
    <row r="1433" spans="1:8" outlineLevel="2" x14ac:dyDescent="0.3">
      <c r="A1433" s="6">
        <v>18</v>
      </c>
      <c r="B1433" t="s">
        <v>770</v>
      </c>
      <c r="C1433" s="9" t="s">
        <v>1807</v>
      </c>
      <c r="D1433" s="9">
        <v>600</v>
      </c>
      <c r="E1433" s="9" t="s">
        <v>1808</v>
      </c>
      <c r="F1433" t="s">
        <v>790</v>
      </c>
      <c r="G1433" t="s">
        <v>450</v>
      </c>
      <c r="H1433" t="s">
        <v>1735</v>
      </c>
    </row>
    <row r="1434" spans="1:8" outlineLevel="2" x14ac:dyDescent="0.3">
      <c r="A1434" s="6">
        <v>18</v>
      </c>
      <c r="B1434" t="s">
        <v>770</v>
      </c>
      <c r="C1434" s="9" t="s">
        <v>1807</v>
      </c>
      <c r="D1434" s="9">
        <v>1800</v>
      </c>
      <c r="E1434" s="9" t="s">
        <v>1808</v>
      </c>
      <c r="F1434" t="s">
        <v>280</v>
      </c>
      <c r="G1434" t="s">
        <v>157</v>
      </c>
      <c r="H1434" t="s">
        <v>1823</v>
      </c>
    </row>
    <row r="1435" spans="1:8" outlineLevel="2" x14ac:dyDescent="0.3">
      <c r="A1435" s="6">
        <v>18</v>
      </c>
      <c r="B1435" t="s">
        <v>770</v>
      </c>
      <c r="C1435" s="9" t="s">
        <v>1807</v>
      </c>
      <c r="D1435" s="9">
        <v>1050</v>
      </c>
      <c r="E1435" s="9" t="s">
        <v>1808</v>
      </c>
      <c r="F1435" t="s">
        <v>288</v>
      </c>
      <c r="G1435" t="s">
        <v>289</v>
      </c>
      <c r="H1435" t="s">
        <v>1764</v>
      </c>
    </row>
    <row r="1436" spans="1:8" outlineLevel="2" x14ac:dyDescent="0.3">
      <c r="A1436" s="6">
        <v>18</v>
      </c>
      <c r="B1436" t="s">
        <v>770</v>
      </c>
      <c r="C1436" s="9" t="s">
        <v>1807</v>
      </c>
      <c r="D1436" s="9">
        <v>1350</v>
      </c>
      <c r="E1436" s="9" t="s">
        <v>1808</v>
      </c>
      <c r="F1436" t="s">
        <v>791</v>
      </c>
      <c r="G1436" t="s">
        <v>792</v>
      </c>
      <c r="H1436" t="s">
        <v>1770</v>
      </c>
    </row>
    <row r="1437" spans="1:8" outlineLevel="2" x14ac:dyDescent="0.3">
      <c r="A1437" s="6">
        <v>18</v>
      </c>
      <c r="B1437" t="s">
        <v>770</v>
      </c>
      <c r="C1437" s="9" t="s">
        <v>1807</v>
      </c>
      <c r="D1437" s="9">
        <v>1500</v>
      </c>
      <c r="E1437" s="9" t="s">
        <v>1808</v>
      </c>
      <c r="F1437" t="s">
        <v>794</v>
      </c>
      <c r="G1437" t="s">
        <v>454</v>
      </c>
      <c r="H1437" t="s">
        <v>1676</v>
      </c>
    </row>
    <row r="1438" spans="1:8" outlineLevel="2" x14ac:dyDescent="0.3">
      <c r="A1438" s="6">
        <v>18</v>
      </c>
      <c r="B1438" t="s">
        <v>770</v>
      </c>
      <c r="C1438" s="9" t="s">
        <v>1807</v>
      </c>
      <c r="D1438" s="9">
        <v>1050</v>
      </c>
      <c r="E1438" s="9" t="s">
        <v>1808</v>
      </c>
      <c r="F1438" t="s">
        <v>291</v>
      </c>
      <c r="G1438" t="s">
        <v>292</v>
      </c>
      <c r="H1438" t="s">
        <v>1678</v>
      </c>
    </row>
    <row r="1439" spans="1:8" outlineLevel="2" x14ac:dyDescent="0.3">
      <c r="A1439" s="6">
        <v>18</v>
      </c>
      <c r="B1439" t="s">
        <v>770</v>
      </c>
      <c r="C1439" s="9" t="s">
        <v>932</v>
      </c>
      <c r="D1439" s="9">
        <v>24</v>
      </c>
      <c r="E1439" s="9" t="s">
        <v>1804</v>
      </c>
      <c r="F1439" t="s">
        <v>567</v>
      </c>
      <c r="G1439" t="s">
        <v>63</v>
      </c>
      <c r="H1439" t="s">
        <v>1099</v>
      </c>
    </row>
    <row r="1440" spans="1:8" outlineLevel="2" x14ac:dyDescent="0.3">
      <c r="A1440" s="6">
        <v>18</v>
      </c>
      <c r="B1440" t="s">
        <v>770</v>
      </c>
      <c r="C1440" s="9" t="s">
        <v>932</v>
      </c>
      <c r="D1440" s="9">
        <v>16</v>
      </c>
      <c r="E1440" s="9" t="s">
        <v>1804</v>
      </c>
      <c r="F1440" t="s">
        <v>744</v>
      </c>
      <c r="G1440" t="s">
        <v>63</v>
      </c>
      <c r="H1440" t="s">
        <v>1100</v>
      </c>
    </row>
    <row r="1441" spans="1:8" outlineLevel="2" x14ac:dyDescent="0.3">
      <c r="A1441" s="6">
        <v>18</v>
      </c>
      <c r="B1441" t="s">
        <v>770</v>
      </c>
      <c r="C1441" s="9" t="s">
        <v>932</v>
      </c>
      <c r="D1441" s="9">
        <v>16</v>
      </c>
      <c r="E1441" s="9" t="s">
        <v>1804</v>
      </c>
      <c r="F1441" t="s">
        <v>745</v>
      </c>
      <c r="G1441" t="s">
        <v>63</v>
      </c>
      <c r="H1441" t="s">
        <v>1101</v>
      </c>
    </row>
    <row r="1442" spans="1:8" outlineLevel="2" x14ac:dyDescent="0.3">
      <c r="A1442" s="6">
        <v>18</v>
      </c>
      <c r="B1442" t="s">
        <v>770</v>
      </c>
      <c r="C1442" s="9" t="s">
        <v>932</v>
      </c>
      <c r="D1442" s="9">
        <v>16</v>
      </c>
      <c r="E1442" s="9" t="s">
        <v>1804</v>
      </c>
      <c r="F1442" t="s">
        <v>746</v>
      </c>
      <c r="G1442" t="s">
        <v>63</v>
      </c>
      <c r="H1442" t="s">
        <v>1102</v>
      </c>
    </row>
    <row r="1443" spans="1:8" outlineLevel="2" x14ac:dyDescent="0.3">
      <c r="A1443" s="6">
        <v>18</v>
      </c>
      <c r="B1443" t="s">
        <v>770</v>
      </c>
      <c r="C1443" s="9" t="s">
        <v>932</v>
      </c>
      <c r="D1443" s="9">
        <v>18</v>
      </c>
      <c r="E1443" s="9" t="s">
        <v>1804</v>
      </c>
      <c r="F1443" t="s">
        <v>65</v>
      </c>
      <c r="G1443" t="s">
        <v>66</v>
      </c>
      <c r="H1443" t="s">
        <v>1791</v>
      </c>
    </row>
    <row r="1444" spans="1:8" outlineLevel="2" x14ac:dyDescent="0.3">
      <c r="A1444" s="6">
        <v>18</v>
      </c>
      <c r="B1444" t="s">
        <v>770</v>
      </c>
      <c r="C1444" s="9" t="s">
        <v>932</v>
      </c>
      <c r="D1444" s="9">
        <v>14</v>
      </c>
      <c r="E1444" s="9" t="s">
        <v>1804</v>
      </c>
      <c r="F1444" t="s">
        <v>311</v>
      </c>
      <c r="G1444" t="s">
        <v>312</v>
      </c>
      <c r="H1444" t="s">
        <v>951</v>
      </c>
    </row>
    <row r="1445" spans="1:8" outlineLevel="2" x14ac:dyDescent="0.3">
      <c r="A1445" s="6">
        <v>18</v>
      </c>
      <c r="B1445" t="s">
        <v>770</v>
      </c>
      <c r="C1445" s="9" t="s">
        <v>932</v>
      </c>
      <c r="D1445" s="9">
        <v>30</v>
      </c>
      <c r="E1445" s="9" t="s">
        <v>1804</v>
      </c>
      <c r="F1445" t="s">
        <v>314</v>
      </c>
      <c r="G1445" t="s">
        <v>312</v>
      </c>
      <c r="H1445" t="s">
        <v>953</v>
      </c>
    </row>
    <row r="1446" spans="1:8" outlineLevel="2" x14ac:dyDescent="0.3">
      <c r="A1446" s="6">
        <v>18</v>
      </c>
      <c r="B1446" t="s">
        <v>770</v>
      </c>
      <c r="C1446" s="9" t="s">
        <v>1807</v>
      </c>
      <c r="D1446" s="9">
        <v>420</v>
      </c>
      <c r="E1446" s="9" t="s">
        <v>1808</v>
      </c>
      <c r="F1446" t="s">
        <v>68</v>
      </c>
      <c r="G1446" t="s">
        <v>69</v>
      </c>
      <c r="H1446" t="s">
        <v>1551</v>
      </c>
    </row>
    <row r="1447" spans="1:8" outlineLevel="2" x14ac:dyDescent="0.3">
      <c r="A1447" s="6">
        <v>18</v>
      </c>
      <c r="B1447" t="s">
        <v>770</v>
      </c>
      <c r="C1447" s="9" t="s">
        <v>1807</v>
      </c>
      <c r="D1447" s="9">
        <v>198</v>
      </c>
      <c r="E1447" s="9" t="s">
        <v>1808</v>
      </c>
      <c r="F1447" t="s">
        <v>484</v>
      </c>
      <c r="G1447" t="s">
        <v>69</v>
      </c>
      <c r="H1447" t="s">
        <v>1556</v>
      </c>
    </row>
    <row r="1448" spans="1:8" outlineLevel="2" x14ac:dyDescent="0.3">
      <c r="A1448" s="6">
        <v>18</v>
      </c>
      <c r="B1448" t="s">
        <v>770</v>
      </c>
      <c r="C1448" s="9" t="s">
        <v>932</v>
      </c>
      <c r="D1448" s="9">
        <v>28</v>
      </c>
      <c r="E1448" s="9" t="s">
        <v>1804</v>
      </c>
      <c r="F1448" t="s">
        <v>395</v>
      </c>
      <c r="G1448" t="s">
        <v>396</v>
      </c>
      <c r="H1448" t="s">
        <v>1564</v>
      </c>
    </row>
    <row r="1449" spans="1:8" outlineLevel="2" x14ac:dyDescent="0.3">
      <c r="A1449" s="6">
        <v>18</v>
      </c>
      <c r="B1449" t="s">
        <v>770</v>
      </c>
      <c r="C1449" s="9" t="s">
        <v>1807</v>
      </c>
      <c r="D1449" s="9">
        <v>770</v>
      </c>
      <c r="E1449" s="9" t="s">
        <v>1808</v>
      </c>
      <c r="F1449" t="s">
        <v>71</v>
      </c>
      <c r="G1449" t="s">
        <v>72</v>
      </c>
      <c r="H1449" t="s">
        <v>1565</v>
      </c>
    </row>
    <row r="1450" spans="1:8" outlineLevel="2" x14ac:dyDescent="0.3">
      <c r="A1450" s="6">
        <v>18</v>
      </c>
      <c r="B1450" t="s">
        <v>770</v>
      </c>
      <c r="C1450" s="9" t="s">
        <v>1807</v>
      </c>
      <c r="D1450" s="9">
        <v>518</v>
      </c>
      <c r="E1450" s="9" t="s">
        <v>1808</v>
      </c>
      <c r="F1450" t="s">
        <v>74</v>
      </c>
      <c r="G1450" t="s">
        <v>72</v>
      </c>
      <c r="H1450" t="s">
        <v>1566</v>
      </c>
    </row>
    <row r="1451" spans="1:8" outlineLevel="2" x14ac:dyDescent="0.3">
      <c r="A1451" s="6">
        <v>18</v>
      </c>
      <c r="B1451" t="s">
        <v>770</v>
      </c>
      <c r="C1451" s="9" t="s">
        <v>1807</v>
      </c>
      <c r="D1451" s="9">
        <v>364</v>
      </c>
      <c r="E1451" s="9" t="s">
        <v>1808</v>
      </c>
      <c r="F1451" t="s">
        <v>702</v>
      </c>
      <c r="G1451" t="s">
        <v>72</v>
      </c>
      <c r="H1451" t="s">
        <v>1570</v>
      </c>
    </row>
    <row r="1452" spans="1:8" outlineLevel="2" x14ac:dyDescent="0.3">
      <c r="A1452" s="6">
        <v>18</v>
      </c>
      <c r="B1452" t="s">
        <v>770</v>
      </c>
      <c r="C1452" s="9" t="s">
        <v>932</v>
      </c>
      <c r="D1452" s="9">
        <v>15</v>
      </c>
      <c r="E1452" s="9" t="s">
        <v>1804</v>
      </c>
      <c r="F1452" t="s">
        <v>795</v>
      </c>
      <c r="G1452" t="s">
        <v>376</v>
      </c>
      <c r="H1452" t="s">
        <v>1856</v>
      </c>
    </row>
    <row r="1453" spans="1:8" outlineLevel="2" x14ac:dyDescent="0.3">
      <c r="A1453" s="6">
        <v>18</v>
      </c>
      <c r="B1453" t="s">
        <v>770</v>
      </c>
      <c r="C1453" s="9" t="s">
        <v>932</v>
      </c>
      <c r="D1453" s="9">
        <v>12</v>
      </c>
      <c r="E1453" s="9" t="s">
        <v>1804</v>
      </c>
      <c r="F1453" t="s">
        <v>578</v>
      </c>
      <c r="G1453" t="s">
        <v>376</v>
      </c>
      <c r="H1453" t="s">
        <v>1577</v>
      </c>
    </row>
    <row r="1454" spans="1:8" outlineLevel="2" x14ac:dyDescent="0.3">
      <c r="A1454" s="6">
        <v>18</v>
      </c>
      <c r="B1454" t="s">
        <v>770</v>
      </c>
      <c r="C1454" s="9" t="s">
        <v>1807</v>
      </c>
      <c r="D1454" s="9">
        <v>398</v>
      </c>
      <c r="E1454" s="9" t="s">
        <v>1808</v>
      </c>
      <c r="F1454" t="s">
        <v>318</v>
      </c>
      <c r="G1454" t="s">
        <v>76</v>
      </c>
      <c r="H1454" t="s">
        <v>1578</v>
      </c>
    </row>
    <row r="1455" spans="1:8" outlineLevel="2" x14ac:dyDescent="0.3">
      <c r="A1455" s="6">
        <v>18</v>
      </c>
      <c r="B1455" t="s">
        <v>770</v>
      </c>
      <c r="C1455" s="9" t="s">
        <v>1807</v>
      </c>
      <c r="D1455" s="9">
        <v>698</v>
      </c>
      <c r="E1455" s="9" t="s">
        <v>1808</v>
      </c>
      <c r="F1455" t="s">
        <v>485</v>
      </c>
      <c r="G1455" t="s">
        <v>76</v>
      </c>
      <c r="H1455" t="s">
        <v>1579</v>
      </c>
    </row>
    <row r="1456" spans="1:8" outlineLevel="2" x14ac:dyDescent="0.3">
      <c r="A1456" s="6">
        <v>18</v>
      </c>
      <c r="B1456" t="s">
        <v>770</v>
      </c>
      <c r="C1456" s="9" t="s">
        <v>932</v>
      </c>
      <c r="D1456" s="9">
        <v>24</v>
      </c>
      <c r="E1456" s="9" t="s">
        <v>1804</v>
      </c>
      <c r="F1456" t="s">
        <v>319</v>
      </c>
      <c r="G1456" t="s">
        <v>320</v>
      </c>
      <c r="H1456" t="s">
        <v>1245</v>
      </c>
    </row>
    <row r="1457" spans="1:8" outlineLevel="2" x14ac:dyDescent="0.3">
      <c r="A1457" s="6">
        <v>18</v>
      </c>
      <c r="B1457" t="s">
        <v>770</v>
      </c>
      <c r="C1457" s="9" t="s">
        <v>1807</v>
      </c>
      <c r="D1457" s="9">
        <v>232</v>
      </c>
      <c r="E1457" s="9" t="s">
        <v>1808</v>
      </c>
      <c r="F1457" t="s">
        <v>606</v>
      </c>
      <c r="G1457" t="s">
        <v>607</v>
      </c>
      <c r="H1457" t="s">
        <v>1580</v>
      </c>
    </row>
    <row r="1458" spans="1:8" outlineLevel="2" x14ac:dyDescent="0.3">
      <c r="A1458" s="6">
        <v>18</v>
      </c>
      <c r="B1458" t="s">
        <v>770</v>
      </c>
      <c r="C1458" s="9" t="s">
        <v>963</v>
      </c>
      <c r="D1458" s="9">
        <v>60</v>
      </c>
      <c r="E1458" s="9" t="s">
        <v>1804</v>
      </c>
      <c r="F1458" t="s">
        <v>579</v>
      </c>
      <c r="G1458" t="s">
        <v>531</v>
      </c>
      <c r="H1458" t="s">
        <v>967</v>
      </c>
    </row>
    <row r="1459" spans="1:8" outlineLevel="2" x14ac:dyDescent="0.3">
      <c r="A1459" s="6">
        <v>18</v>
      </c>
      <c r="B1459" t="s">
        <v>770</v>
      </c>
      <c r="C1459" s="9" t="s">
        <v>963</v>
      </c>
      <c r="D1459" s="9">
        <v>60</v>
      </c>
      <c r="E1459" s="9" t="s">
        <v>1804</v>
      </c>
      <c r="F1459" t="s">
        <v>79</v>
      </c>
      <c r="G1459" t="s">
        <v>80</v>
      </c>
      <c r="H1459" t="s">
        <v>1416</v>
      </c>
    </row>
    <row r="1460" spans="1:8" outlineLevel="2" x14ac:dyDescent="0.3">
      <c r="A1460" s="6">
        <v>18</v>
      </c>
      <c r="B1460" t="s">
        <v>770</v>
      </c>
      <c r="C1460" s="9" t="s">
        <v>963</v>
      </c>
      <c r="D1460" s="9">
        <v>61</v>
      </c>
      <c r="E1460" s="9" t="s">
        <v>1804</v>
      </c>
      <c r="F1460" t="s">
        <v>324</v>
      </c>
      <c r="G1460" t="s">
        <v>193</v>
      </c>
      <c r="H1460" t="s">
        <v>1339</v>
      </c>
    </row>
    <row r="1461" spans="1:8" outlineLevel="2" x14ac:dyDescent="0.3">
      <c r="A1461" s="6">
        <v>18</v>
      </c>
      <c r="B1461" t="s">
        <v>770</v>
      </c>
      <c r="C1461" s="9" t="s">
        <v>963</v>
      </c>
      <c r="D1461" s="9">
        <v>88</v>
      </c>
      <c r="E1461" s="9" t="s">
        <v>1804</v>
      </c>
      <c r="F1461" t="s">
        <v>84</v>
      </c>
      <c r="G1461" t="s">
        <v>85</v>
      </c>
      <c r="H1461" t="s">
        <v>1342</v>
      </c>
    </row>
    <row r="1462" spans="1:8" outlineLevel="2" x14ac:dyDescent="0.3">
      <c r="A1462" s="6">
        <v>18</v>
      </c>
      <c r="B1462" t="s">
        <v>770</v>
      </c>
      <c r="C1462" s="9" t="s">
        <v>963</v>
      </c>
      <c r="D1462" s="9">
        <v>70</v>
      </c>
      <c r="E1462" s="9" t="s">
        <v>1804</v>
      </c>
      <c r="F1462" t="s">
        <v>325</v>
      </c>
      <c r="G1462" t="s">
        <v>196</v>
      </c>
      <c r="H1462" t="s">
        <v>1344</v>
      </c>
    </row>
    <row r="1463" spans="1:8" outlineLevel="2" x14ac:dyDescent="0.3">
      <c r="A1463" s="6">
        <v>18</v>
      </c>
      <c r="B1463" t="s">
        <v>770</v>
      </c>
      <c r="C1463" s="9" t="s">
        <v>963</v>
      </c>
      <c r="D1463" s="9">
        <v>73</v>
      </c>
      <c r="E1463" s="9" t="s">
        <v>1804</v>
      </c>
      <c r="F1463" t="s">
        <v>90</v>
      </c>
      <c r="G1463" t="s">
        <v>15</v>
      </c>
      <c r="H1463" t="s">
        <v>1351</v>
      </c>
    </row>
    <row r="1464" spans="1:8" outlineLevel="2" x14ac:dyDescent="0.3">
      <c r="A1464" s="6">
        <v>18</v>
      </c>
      <c r="B1464" t="s">
        <v>770</v>
      </c>
      <c r="C1464" s="9" t="s">
        <v>963</v>
      </c>
      <c r="D1464" s="9">
        <v>77</v>
      </c>
      <c r="E1464" s="9" t="s">
        <v>1804</v>
      </c>
      <c r="F1464" t="s">
        <v>91</v>
      </c>
      <c r="G1464" t="s">
        <v>92</v>
      </c>
      <c r="H1464" t="s">
        <v>1353</v>
      </c>
    </row>
    <row r="1465" spans="1:8" outlineLevel="2" x14ac:dyDescent="0.3">
      <c r="A1465" s="6">
        <v>18</v>
      </c>
      <c r="B1465" t="s">
        <v>770</v>
      </c>
      <c r="C1465" s="9" t="s">
        <v>963</v>
      </c>
      <c r="D1465" s="9">
        <v>76</v>
      </c>
      <c r="E1465" s="9" t="s">
        <v>1804</v>
      </c>
      <c r="F1465" t="s">
        <v>94</v>
      </c>
      <c r="G1465" t="s">
        <v>95</v>
      </c>
      <c r="H1465" t="s">
        <v>1355</v>
      </c>
    </row>
    <row r="1466" spans="1:8" outlineLevel="2" x14ac:dyDescent="0.3">
      <c r="A1466" s="6">
        <v>18</v>
      </c>
      <c r="B1466" t="s">
        <v>770</v>
      </c>
      <c r="C1466" s="9" t="s">
        <v>963</v>
      </c>
      <c r="D1466" s="9">
        <v>77</v>
      </c>
      <c r="E1466" s="9" t="s">
        <v>1804</v>
      </c>
      <c r="F1466" t="s">
        <v>98</v>
      </c>
      <c r="G1466" t="s">
        <v>99</v>
      </c>
      <c r="H1466" t="s">
        <v>1357</v>
      </c>
    </row>
    <row r="1467" spans="1:8" outlineLevel="2" x14ac:dyDescent="0.3">
      <c r="A1467" s="6">
        <v>18</v>
      </c>
      <c r="B1467" t="s">
        <v>770</v>
      </c>
      <c r="C1467" s="9" t="s">
        <v>963</v>
      </c>
      <c r="D1467" s="9">
        <v>72</v>
      </c>
      <c r="E1467" s="9" t="s">
        <v>1804</v>
      </c>
      <c r="F1467" t="s">
        <v>338</v>
      </c>
      <c r="G1467" t="s">
        <v>339</v>
      </c>
      <c r="H1467" t="s">
        <v>1362</v>
      </c>
    </row>
    <row r="1468" spans="1:8" outlineLevel="2" x14ac:dyDescent="0.3">
      <c r="A1468" s="6">
        <v>18</v>
      </c>
      <c r="B1468" t="s">
        <v>770</v>
      </c>
      <c r="C1468" s="9" t="s">
        <v>963</v>
      </c>
      <c r="D1468" s="9">
        <v>72</v>
      </c>
      <c r="E1468" s="9" t="s">
        <v>1804</v>
      </c>
      <c r="F1468" t="s">
        <v>101</v>
      </c>
      <c r="G1468" t="s">
        <v>102</v>
      </c>
      <c r="H1468" t="s">
        <v>1365</v>
      </c>
    </row>
    <row r="1469" spans="1:8" outlineLevel="2" x14ac:dyDescent="0.3">
      <c r="A1469" s="6">
        <v>18</v>
      </c>
      <c r="B1469" t="s">
        <v>770</v>
      </c>
      <c r="C1469" s="9" t="s">
        <v>963</v>
      </c>
      <c r="D1469" s="9">
        <v>63</v>
      </c>
      <c r="E1469" s="9" t="s">
        <v>1804</v>
      </c>
      <c r="F1469" t="s">
        <v>104</v>
      </c>
      <c r="G1469" t="s">
        <v>401</v>
      </c>
      <c r="H1469" t="s">
        <v>1185</v>
      </c>
    </row>
    <row r="1470" spans="1:8" outlineLevel="2" x14ac:dyDescent="0.3">
      <c r="A1470" s="6">
        <v>18</v>
      </c>
      <c r="B1470" t="s">
        <v>770</v>
      </c>
      <c r="C1470" s="9" t="s">
        <v>963</v>
      </c>
      <c r="D1470" s="9">
        <v>60</v>
      </c>
      <c r="E1470" s="9" t="s">
        <v>1804</v>
      </c>
      <c r="F1470" t="s">
        <v>400</v>
      </c>
      <c r="G1470" t="s">
        <v>401</v>
      </c>
      <c r="H1470" t="s">
        <v>1185</v>
      </c>
    </row>
    <row r="1471" spans="1:8" outlineLevel="2" x14ac:dyDescent="0.3">
      <c r="A1471" s="6">
        <v>18</v>
      </c>
      <c r="B1471" t="s">
        <v>770</v>
      </c>
      <c r="C1471" s="9" t="s">
        <v>963</v>
      </c>
      <c r="D1471" s="9">
        <v>75</v>
      </c>
      <c r="E1471" s="9" t="s">
        <v>1804</v>
      </c>
      <c r="F1471" t="s">
        <v>345</v>
      </c>
      <c r="G1471" t="s">
        <v>215</v>
      </c>
      <c r="H1471" t="s">
        <v>1115</v>
      </c>
    </row>
    <row r="1472" spans="1:8" outlineLevel="2" x14ac:dyDescent="0.3">
      <c r="A1472" s="6">
        <v>18</v>
      </c>
      <c r="B1472" t="s">
        <v>770</v>
      </c>
      <c r="C1472" s="9" t="s">
        <v>963</v>
      </c>
      <c r="D1472" s="9">
        <v>60</v>
      </c>
      <c r="E1472" s="9" t="s">
        <v>1804</v>
      </c>
      <c r="F1472" t="s">
        <v>403</v>
      </c>
      <c r="G1472" t="s">
        <v>386</v>
      </c>
      <c r="H1472" t="s">
        <v>1432</v>
      </c>
    </row>
    <row r="1473" spans="1:8" outlineLevel="2" x14ac:dyDescent="0.3">
      <c r="A1473" s="6">
        <v>18</v>
      </c>
      <c r="B1473" t="s">
        <v>770</v>
      </c>
      <c r="C1473" s="9" t="s">
        <v>963</v>
      </c>
      <c r="D1473" s="9">
        <v>60</v>
      </c>
      <c r="E1473" s="9" t="s">
        <v>1804</v>
      </c>
      <c r="F1473" t="s">
        <v>170</v>
      </c>
      <c r="G1473" t="s">
        <v>171</v>
      </c>
      <c r="H1473" t="s">
        <v>1535</v>
      </c>
    </row>
    <row r="1474" spans="1:8" outlineLevel="2" x14ac:dyDescent="0.3">
      <c r="A1474" s="6">
        <v>18</v>
      </c>
      <c r="B1474" t="s">
        <v>770</v>
      </c>
      <c r="C1474" s="9" t="s">
        <v>963</v>
      </c>
      <c r="D1474" s="9">
        <v>60</v>
      </c>
      <c r="E1474" s="9" t="s">
        <v>1804</v>
      </c>
      <c r="F1474" t="s">
        <v>686</v>
      </c>
      <c r="G1474" t="s">
        <v>115</v>
      </c>
      <c r="H1474" t="s">
        <v>1536</v>
      </c>
    </row>
    <row r="1475" spans="1:8" outlineLevel="2" x14ac:dyDescent="0.3">
      <c r="A1475" s="6">
        <v>18</v>
      </c>
      <c r="B1475" t="s">
        <v>770</v>
      </c>
      <c r="C1475" s="9" t="s">
        <v>963</v>
      </c>
      <c r="D1475" s="9">
        <v>60</v>
      </c>
      <c r="E1475" s="9" t="s">
        <v>1804</v>
      </c>
      <c r="F1475" t="s">
        <v>106</v>
      </c>
      <c r="G1475" t="s">
        <v>32</v>
      </c>
      <c r="H1475" t="s">
        <v>1537</v>
      </c>
    </row>
    <row r="1476" spans="1:8" outlineLevel="2" x14ac:dyDescent="0.3">
      <c r="A1476" s="6">
        <v>18</v>
      </c>
      <c r="B1476" t="s">
        <v>770</v>
      </c>
      <c r="C1476" s="9" t="s">
        <v>963</v>
      </c>
      <c r="D1476" s="9">
        <v>60</v>
      </c>
      <c r="E1476" s="9" t="s">
        <v>1804</v>
      </c>
      <c r="F1476" t="s">
        <v>107</v>
      </c>
      <c r="G1476" t="s">
        <v>108</v>
      </c>
      <c r="H1476" t="s">
        <v>1140</v>
      </c>
    </row>
    <row r="1477" spans="1:8" outlineLevel="2" x14ac:dyDescent="0.3">
      <c r="A1477" s="6">
        <v>18</v>
      </c>
      <c r="B1477" t="s">
        <v>770</v>
      </c>
      <c r="C1477" s="9" t="s">
        <v>963</v>
      </c>
      <c r="D1477" s="9">
        <v>60</v>
      </c>
      <c r="E1477" s="9" t="s">
        <v>1804</v>
      </c>
      <c r="F1477" t="s">
        <v>110</v>
      </c>
      <c r="G1477" t="s">
        <v>41</v>
      </c>
      <c r="H1477" t="s">
        <v>1144</v>
      </c>
    </row>
    <row r="1478" spans="1:8" outlineLevel="2" x14ac:dyDescent="0.3">
      <c r="A1478" s="6">
        <v>18</v>
      </c>
      <c r="B1478" t="s">
        <v>770</v>
      </c>
      <c r="C1478" s="9" t="s">
        <v>963</v>
      </c>
      <c r="D1478" s="9">
        <v>60</v>
      </c>
      <c r="E1478" s="9" t="s">
        <v>1804</v>
      </c>
      <c r="F1478" t="s">
        <v>111</v>
      </c>
      <c r="G1478" t="s">
        <v>112</v>
      </c>
      <c r="H1478" t="s">
        <v>1146</v>
      </c>
    </row>
    <row r="1479" spans="1:8" outlineLevel="2" x14ac:dyDescent="0.3">
      <c r="A1479" s="6">
        <v>18</v>
      </c>
      <c r="B1479" t="s">
        <v>770</v>
      </c>
      <c r="C1479" s="9" t="s">
        <v>963</v>
      </c>
      <c r="D1479" s="9">
        <v>64</v>
      </c>
      <c r="E1479" s="9" t="s">
        <v>1804</v>
      </c>
      <c r="F1479" t="s">
        <v>583</v>
      </c>
      <c r="G1479" t="s">
        <v>238</v>
      </c>
      <c r="H1479" t="s">
        <v>1122</v>
      </c>
    </row>
    <row r="1480" spans="1:8" outlineLevel="2" x14ac:dyDescent="0.3">
      <c r="A1480" s="6">
        <v>18</v>
      </c>
      <c r="B1480" t="s">
        <v>770</v>
      </c>
      <c r="C1480" s="9" t="s">
        <v>963</v>
      </c>
      <c r="D1480" s="9">
        <v>60</v>
      </c>
      <c r="E1480" s="9" t="s">
        <v>1804</v>
      </c>
      <c r="F1480" t="s">
        <v>120</v>
      </c>
      <c r="G1480" t="s">
        <v>51</v>
      </c>
      <c r="H1480" t="s">
        <v>1590</v>
      </c>
    </row>
    <row r="1481" spans="1:8" outlineLevel="2" x14ac:dyDescent="0.3">
      <c r="A1481" s="6">
        <v>18</v>
      </c>
      <c r="B1481" t="s">
        <v>770</v>
      </c>
      <c r="C1481" s="9" t="s">
        <v>963</v>
      </c>
      <c r="D1481" s="9">
        <v>68</v>
      </c>
      <c r="E1481" s="9" t="s">
        <v>1804</v>
      </c>
      <c r="F1481" t="s">
        <v>796</v>
      </c>
      <c r="G1481" t="s">
        <v>54</v>
      </c>
      <c r="H1481" t="s">
        <v>1218</v>
      </c>
    </row>
    <row r="1482" spans="1:8" outlineLevel="2" x14ac:dyDescent="0.3">
      <c r="A1482" s="6">
        <v>18</v>
      </c>
      <c r="B1482" t="s">
        <v>770</v>
      </c>
      <c r="C1482" s="9" t="s">
        <v>963</v>
      </c>
      <c r="D1482" s="9">
        <v>64</v>
      </c>
      <c r="E1482" s="9" t="s">
        <v>1804</v>
      </c>
      <c r="F1482" t="s">
        <v>363</v>
      </c>
      <c r="G1482" t="s">
        <v>301</v>
      </c>
      <c r="H1482" t="s">
        <v>1797</v>
      </c>
    </row>
    <row r="1483" spans="1:8" outlineLevel="2" x14ac:dyDescent="0.3">
      <c r="A1483" s="6">
        <v>18</v>
      </c>
      <c r="B1483" t="s">
        <v>770</v>
      </c>
      <c r="C1483" s="9" t="s">
        <v>963</v>
      </c>
      <c r="D1483" s="9">
        <v>64</v>
      </c>
      <c r="E1483" s="9" t="s">
        <v>1804</v>
      </c>
      <c r="F1483" t="s">
        <v>586</v>
      </c>
      <c r="G1483" t="s">
        <v>63</v>
      </c>
      <c r="H1483" t="s">
        <v>1126</v>
      </c>
    </row>
    <row r="1484" spans="1:8" outlineLevel="2" x14ac:dyDescent="0.3">
      <c r="A1484" s="6">
        <v>18</v>
      </c>
      <c r="B1484" t="s">
        <v>770</v>
      </c>
      <c r="C1484" s="9" t="s">
        <v>963</v>
      </c>
      <c r="D1484" s="9">
        <v>60</v>
      </c>
      <c r="E1484" s="9" t="s">
        <v>1804</v>
      </c>
      <c r="F1484" t="s">
        <v>367</v>
      </c>
      <c r="G1484" t="s">
        <v>368</v>
      </c>
      <c r="H1484" t="s">
        <v>1688</v>
      </c>
    </row>
    <row r="1485" spans="1:8" outlineLevel="2" x14ac:dyDescent="0.3">
      <c r="A1485" s="6">
        <v>18</v>
      </c>
      <c r="B1485" t="s">
        <v>770</v>
      </c>
      <c r="C1485" s="9" t="s">
        <v>963</v>
      </c>
      <c r="D1485" s="9">
        <v>60</v>
      </c>
      <c r="E1485" s="9" t="s">
        <v>1804</v>
      </c>
      <c r="F1485" t="s">
        <v>371</v>
      </c>
      <c r="G1485" t="s">
        <v>66</v>
      </c>
      <c r="H1485" t="s">
        <v>1799</v>
      </c>
    </row>
    <row r="1486" spans="1:8" outlineLevel="2" x14ac:dyDescent="0.3">
      <c r="A1486" s="6">
        <v>18</v>
      </c>
      <c r="B1486" t="s">
        <v>770</v>
      </c>
      <c r="C1486" s="9" t="s">
        <v>963</v>
      </c>
      <c r="D1486" s="9">
        <v>64</v>
      </c>
      <c r="E1486" s="9" t="s">
        <v>1804</v>
      </c>
      <c r="F1486" t="s">
        <v>372</v>
      </c>
      <c r="G1486" t="s">
        <v>312</v>
      </c>
      <c r="H1486" t="s">
        <v>973</v>
      </c>
    </row>
    <row r="1487" spans="1:8" outlineLevel="2" x14ac:dyDescent="0.3">
      <c r="A1487" s="6">
        <v>18</v>
      </c>
      <c r="B1487" t="s">
        <v>770</v>
      </c>
      <c r="C1487" s="9" t="s">
        <v>963</v>
      </c>
      <c r="D1487" s="9">
        <v>64</v>
      </c>
      <c r="E1487" s="9" t="s">
        <v>1804</v>
      </c>
      <c r="F1487" t="s">
        <v>125</v>
      </c>
      <c r="G1487" t="s">
        <v>126</v>
      </c>
      <c r="H1487" t="s">
        <v>1581</v>
      </c>
    </row>
    <row r="1488" spans="1:8" outlineLevel="2" x14ac:dyDescent="0.3">
      <c r="A1488" s="6">
        <v>18</v>
      </c>
      <c r="B1488" t="s">
        <v>770</v>
      </c>
      <c r="C1488" s="9" t="s">
        <v>963</v>
      </c>
      <c r="D1488" s="9">
        <v>60</v>
      </c>
      <c r="E1488" s="9" t="s">
        <v>1804</v>
      </c>
      <c r="F1488" t="s">
        <v>128</v>
      </c>
      <c r="G1488" t="s">
        <v>129</v>
      </c>
      <c r="H1488" t="s">
        <v>1582</v>
      </c>
    </row>
    <row r="1489" spans="1:8" outlineLevel="2" x14ac:dyDescent="0.3">
      <c r="A1489" s="6">
        <v>18</v>
      </c>
      <c r="B1489" t="s">
        <v>770</v>
      </c>
      <c r="C1489" s="9" t="s">
        <v>963</v>
      </c>
      <c r="D1489" s="9">
        <v>60</v>
      </c>
      <c r="E1489" s="9" t="s">
        <v>1804</v>
      </c>
      <c r="F1489" t="s">
        <v>407</v>
      </c>
      <c r="G1489" t="s">
        <v>396</v>
      </c>
      <c r="H1489" t="s">
        <v>1583</v>
      </c>
    </row>
    <row r="1490" spans="1:8" outlineLevel="2" x14ac:dyDescent="0.3">
      <c r="A1490" s="6">
        <v>18</v>
      </c>
      <c r="B1490" t="s">
        <v>770</v>
      </c>
      <c r="C1490" s="9" t="s">
        <v>963</v>
      </c>
      <c r="D1490" s="9">
        <v>60</v>
      </c>
      <c r="E1490" s="9" t="s">
        <v>1804</v>
      </c>
      <c r="F1490" t="s">
        <v>375</v>
      </c>
      <c r="G1490" t="s">
        <v>376</v>
      </c>
      <c r="H1490" t="s">
        <v>1586</v>
      </c>
    </row>
    <row r="1491" spans="1:8" outlineLevel="2" x14ac:dyDescent="0.3">
      <c r="A1491" s="6">
        <v>18</v>
      </c>
      <c r="B1491" t="s">
        <v>770</v>
      </c>
      <c r="C1491" s="9" t="s">
        <v>963</v>
      </c>
      <c r="D1491" s="9">
        <v>60</v>
      </c>
      <c r="E1491" s="9" t="s">
        <v>1804</v>
      </c>
      <c r="F1491" t="s">
        <v>378</v>
      </c>
      <c r="G1491" t="s">
        <v>320</v>
      </c>
      <c r="H1491" t="s">
        <v>1247</v>
      </c>
    </row>
    <row r="1492" spans="1:8" outlineLevel="1" x14ac:dyDescent="0.3">
      <c r="A1492" s="16" t="s">
        <v>2204</v>
      </c>
      <c r="H1492">
        <f>SUBTOTAL(3,H1362:H1491)</f>
        <v>130</v>
      </c>
    </row>
    <row r="1493" spans="1:8" outlineLevel="2" x14ac:dyDescent="0.3">
      <c r="A1493" s="6">
        <v>19</v>
      </c>
      <c r="B1493" t="s">
        <v>756</v>
      </c>
      <c r="C1493" s="9" t="s">
        <v>932</v>
      </c>
      <c r="D1493" s="9">
        <v>12</v>
      </c>
      <c r="E1493" s="9" t="s">
        <v>1804</v>
      </c>
      <c r="F1493" t="s">
        <v>143</v>
      </c>
      <c r="G1493" t="s">
        <v>144</v>
      </c>
      <c r="H1493" t="s">
        <v>1694</v>
      </c>
    </row>
    <row r="1494" spans="1:8" outlineLevel="2" x14ac:dyDescent="0.3">
      <c r="A1494" s="6">
        <v>19</v>
      </c>
      <c r="B1494" t="s">
        <v>756</v>
      </c>
      <c r="C1494" s="9" t="s">
        <v>932</v>
      </c>
      <c r="D1494" s="9">
        <v>31</v>
      </c>
      <c r="E1494" s="9" t="s">
        <v>1804</v>
      </c>
      <c r="F1494" t="s">
        <v>757</v>
      </c>
      <c r="G1494" t="s">
        <v>758</v>
      </c>
      <c r="H1494" t="s">
        <v>1226</v>
      </c>
    </row>
    <row r="1495" spans="1:8" outlineLevel="2" x14ac:dyDescent="0.3">
      <c r="A1495" s="6">
        <v>19</v>
      </c>
      <c r="B1495" t="s">
        <v>756</v>
      </c>
      <c r="C1495" s="9" t="s">
        <v>932</v>
      </c>
      <c r="D1495" s="9">
        <v>12</v>
      </c>
      <c r="E1495" s="9" t="s">
        <v>1804</v>
      </c>
      <c r="F1495" t="s">
        <v>760</v>
      </c>
      <c r="G1495" t="s">
        <v>758</v>
      </c>
      <c r="H1495" t="s">
        <v>1227</v>
      </c>
    </row>
    <row r="1496" spans="1:8" outlineLevel="2" x14ac:dyDescent="0.3">
      <c r="A1496" s="6">
        <v>19</v>
      </c>
      <c r="B1496" t="s">
        <v>756</v>
      </c>
      <c r="C1496" s="9" t="s">
        <v>932</v>
      </c>
      <c r="D1496" s="9">
        <v>30</v>
      </c>
      <c r="E1496" s="9" t="s">
        <v>1804</v>
      </c>
      <c r="F1496" t="s">
        <v>498</v>
      </c>
      <c r="G1496" t="s">
        <v>499</v>
      </c>
      <c r="H1496" t="s">
        <v>1695</v>
      </c>
    </row>
    <row r="1497" spans="1:8" outlineLevel="2" x14ac:dyDescent="0.3">
      <c r="A1497" s="6">
        <v>19</v>
      </c>
      <c r="B1497" t="s">
        <v>756</v>
      </c>
      <c r="C1497" s="9" t="s">
        <v>1807</v>
      </c>
      <c r="D1497" s="9">
        <v>1230</v>
      </c>
      <c r="E1497" s="9" t="s">
        <v>1808</v>
      </c>
      <c r="F1497" t="s">
        <v>10</v>
      </c>
      <c r="G1497" t="s">
        <v>526</v>
      </c>
      <c r="H1497" t="s">
        <v>1812</v>
      </c>
    </row>
    <row r="1498" spans="1:8" outlineLevel="2" x14ac:dyDescent="0.3">
      <c r="A1498" s="6">
        <v>19</v>
      </c>
      <c r="B1498" t="s">
        <v>756</v>
      </c>
      <c r="C1498" s="9" t="s">
        <v>1807</v>
      </c>
      <c r="D1498" s="9">
        <v>630</v>
      </c>
      <c r="E1498" s="9" t="s">
        <v>1808</v>
      </c>
      <c r="F1498" t="s">
        <v>761</v>
      </c>
      <c r="G1498" t="s">
        <v>762</v>
      </c>
      <c r="H1498" t="s">
        <v>1260</v>
      </c>
    </row>
    <row r="1499" spans="1:8" outlineLevel="2" x14ac:dyDescent="0.3">
      <c r="A1499" s="6">
        <v>19</v>
      </c>
      <c r="B1499" t="s">
        <v>756</v>
      </c>
      <c r="C1499" s="9" t="s">
        <v>1807</v>
      </c>
      <c r="D1499" s="9">
        <v>1300</v>
      </c>
      <c r="E1499" s="9" t="s">
        <v>1808</v>
      </c>
      <c r="F1499" t="s">
        <v>199</v>
      </c>
      <c r="G1499" t="s">
        <v>200</v>
      </c>
      <c r="H1499" t="s">
        <v>1271</v>
      </c>
    </row>
    <row r="1500" spans="1:8" outlineLevel="2" x14ac:dyDescent="0.3">
      <c r="A1500" s="6">
        <v>19</v>
      </c>
      <c r="B1500" t="s">
        <v>756</v>
      </c>
      <c r="C1500" s="9" t="s">
        <v>1807</v>
      </c>
      <c r="D1500" s="9">
        <v>1050</v>
      </c>
      <c r="E1500" s="9" t="s">
        <v>1808</v>
      </c>
      <c r="F1500" t="s">
        <v>203</v>
      </c>
      <c r="G1500" t="s">
        <v>12</v>
      </c>
      <c r="H1500" t="s">
        <v>1821</v>
      </c>
    </row>
    <row r="1501" spans="1:8" outlineLevel="2" x14ac:dyDescent="0.3">
      <c r="A1501" s="6">
        <v>19</v>
      </c>
      <c r="B1501" t="s">
        <v>756</v>
      </c>
      <c r="C1501" s="9" t="s">
        <v>932</v>
      </c>
      <c r="D1501" s="9">
        <v>42</v>
      </c>
      <c r="E1501" s="9" t="s">
        <v>1804</v>
      </c>
      <c r="F1501" t="s">
        <v>14</v>
      </c>
      <c r="G1501" t="s">
        <v>15</v>
      </c>
      <c r="H1501" t="s">
        <v>1290</v>
      </c>
    </row>
    <row r="1502" spans="1:8" outlineLevel="2" x14ac:dyDescent="0.3">
      <c r="A1502" s="6">
        <v>19</v>
      </c>
      <c r="B1502" t="s">
        <v>756</v>
      </c>
      <c r="C1502" s="9" t="s">
        <v>1266</v>
      </c>
      <c r="D1502" s="9">
        <v>12</v>
      </c>
      <c r="E1502" s="9" t="s">
        <v>1804</v>
      </c>
      <c r="F1502" t="s">
        <v>17</v>
      </c>
      <c r="G1502" t="s">
        <v>15</v>
      </c>
      <c r="H1502" t="s">
        <v>1291</v>
      </c>
    </row>
    <row r="1503" spans="1:8" outlineLevel="2" x14ac:dyDescent="0.3">
      <c r="A1503" s="6">
        <v>19</v>
      </c>
      <c r="B1503" t="s">
        <v>756</v>
      </c>
      <c r="C1503" s="9" t="s">
        <v>1807</v>
      </c>
      <c r="D1503" s="9">
        <v>1330</v>
      </c>
      <c r="E1503" s="9" t="s">
        <v>1808</v>
      </c>
      <c r="F1503" t="s">
        <v>207</v>
      </c>
      <c r="G1503" t="s">
        <v>19</v>
      </c>
      <c r="H1503" t="s">
        <v>1301</v>
      </c>
    </row>
    <row r="1504" spans="1:8" outlineLevel="2" x14ac:dyDescent="0.3">
      <c r="A1504" s="6">
        <v>19</v>
      </c>
      <c r="B1504" t="s">
        <v>756</v>
      </c>
      <c r="C1504" s="9" t="s">
        <v>1807</v>
      </c>
      <c r="D1504" s="9">
        <v>165</v>
      </c>
      <c r="E1504" s="9" t="s">
        <v>1808</v>
      </c>
      <c r="F1504" t="s">
        <v>410</v>
      </c>
      <c r="G1504" t="s">
        <v>411</v>
      </c>
      <c r="H1504" t="s">
        <v>1313</v>
      </c>
    </row>
    <row r="1505" spans="1:8" outlineLevel="2" x14ac:dyDescent="0.3">
      <c r="A1505" s="6">
        <v>19</v>
      </c>
      <c r="B1505" t="s">
        <v>756</v>
      </c>
      <c r="C1505" s="9" t="s">
        <v>932</v>
      </c>
      <c r="D1505" s="9">
        <v>27</v>
      </c>
      <c r="E1505" s="9" t="s">
        <v>1804</v>
      </c>
      <c r="F1505" t="s">
        <v>384</v>
      </c>
      <c r="G1505" t="s">
        <v>1819</v>
      </c>
      <c r="H1505" t="s">
        <v>1820</v>
      </c>
    </row>
    <row r="1506" spans="1:8" outlineLevel="2" x14ac:dyDescent="0.3">
      <c r="A1506" s="6">
        <v>19</v>
      </c>
      <c r="B1506" t="s">
        <v>756</v>
      </c>
      <c r="C1506" s="9" t="s">
        <v>1807</v>
      </c>
      <c r="D1506" s="9">
        <v>1350</v>
      </c>
      <c r="E1506" s="9" t="s">
        <v>1808</v>
      </c>
      <c r="F1506" t="s">
        <v>24</v>
      </c>
      <c r="G1506" t="s">
        <v>414</v>
      </c>
      <c r="H1506" t="s">
        <v>1332</v>
      </c>
    </row>
    <row r="1507" spans="1:8" outlineLevel="2" x14ac:dyDescent="0.3">
      <c r="A1507" s="6">
        <v>19</v>
      </c>
      <c r="B1507" t="s">
        <v>756</v>
      </c>
      <c r="C1507" s="9" t="s">
        <v>1807</v>
      </c>
      <c r="D1507" s="9">
        <v>120</v>
      </c>
      <c r="E1507" s="9" t="s">
        <v>1808</v>
      </c>
      <c r="F1507" t="s">
        <v>25</v>
      </c>
      <c r="G1507" t="s">
        <v>26</v>
      </c>
      <c r="H1507" t="s">
        <v>1333</v>
      </c>
    </row>
    <row r="1508" spans="1:8" outlineLevel="2" x14ac:dyDescent="0.3">
      <c r="A1508" s="6">
        <v>19</v>
      </c>
      <c r="B1508" t="s">
        <v>756</v>
      </c>
      <c r="C1508" s="9" t="s">
        <v>932</v>
      </c>
      <c r="D1508" s="9">
        <v>18</v>
      </c>
      <c r="E1508" s="9" t="s">
        <v>1804</v>
      </c>
      <c r="F1508" t="s">
        <v>418</v>
      </c>
      <c r="G1508" t="s">
        <v>168</v>
      </c>
      <c r="H1508" t="s">
        <v>1440</v>
      </c>
    </row>
    <row r="1509" spans="1:8" outlineLevel="2" x14ac:dyDescent="0.3">
      <c r="A1509" s="6">
        <v>19</v>
      </c>
      <c r="B1509" t="s">
        <v>756</v>
      </c>
      <c r="C1509" s="9" t="s">
        <v>932</v>
      </c>
      <c r="D1509" s="9">
        <v>18</v>
      </c>
      <c r="E1509" s="9" t="s">
        <v>1804</v>
      </c>
      <c r="F1509" t="s">
        <v>389</v>
      </c>
      <c r="G1509" t="s">
        <v>171</v>
      </c>
      <c r="H1509" t="s">
        <v>1447</v>
      </c>
    </row>
    <row r="1510" spans="1:8" outlineLevel="2" x14ac:dyDescent="0.3">
      <c r="A1510" s="6">
        <v>19</v>
      </c>
      <c r="B1510" t="s">
        <v>756</v>
      </c>
      <c r="C1510" s="9" t="s">
        <v>932</v>
      </c>
      <c r="D1510" s="9">
        <v>33</v>
      </c>
      <c r="E1510" s="9" t="s">
        <v>1804</v>
      </c>
      <c r="F1510" t="s">
        <v>390</v>
      </c>
      <c r="G1510" t="s">
        <v>391</v>
      </c>
      <c r="H1510" t="s">
        <v>1449</v>
      </c>
    </row>
    <row r="1511" spans="1:8" outlineLevel="2" x14ac:dyDescent="0.3">
      <c r="A1511" s="6">
        <v>19</v>
      </c>
      <c r="B1511" t="s">
        <v>756</v>
      </c>
      <c r="C1511" s="9" t="s">
        <v>932</v>
      </c>
      <c r="D1511" s="9">
        <v>35</v>
      </c>
      <c r="E1511" s="9" t="s">
        <v>1804</v>
      </c>
      <c r="F1511" t="s">
        <v>421</v>
      </c>
      <c r="G1511" t="s">
        <v>115</v>
      </c>
      <c r="H1511" t="s">
        <v>1464</v>
      </c>
    </row>
    <row r="1512" spans="1:8" outlineLevel="2" x14ac:dyDescent="0.3">
      <c r="A1512" s="6">
        <v>19</v>
      </c>
      <c r="B1512" t="s">
        <v>756</v>
      </c>
      <c r="C1512" s="9" t="s">
        <v>932</v>
      </c>
      <c r="D1512" s="9">
        <v>21</v>
      </c>
      <c r="E1512" s="9" t="s">
        <v>1804</v>
      </c>
      <c r="F1512" t="s">
        <v>34</v>
      </c>
      <c r="G1512" t="s">
        <v>32</v>
      </c>
      <c r="H1512" t="s">
        <v>1485</v>
      </c>
    </row>
    <row r="1513" spans="1:8" outlineLevel="2" x14ac:dyDescent="0.3">
      <c r="A1513" s="6">
        <v>19</v>
      </c>
      <c r="B1513" t="s">
        <v>756</v>
      </c>
      <c r="C1513" s="9" t="s">
        <v>932</v>
      </c>
      <c r="D1513" s="9">
        <v>24</v>
      </c>
      <c r="E1513" s="9" t="s">
        <v>1804</v>
      </c>
      <c r="F1513" t="s">
        <v>542</v>
      </c>
      <c r="G1513" t="s">
        <v>32</v>
      </c>
      <c r="H1513" t="s">
        <v>1487</v>
      </c>
    </row>
    <row r="1514" spans="1:8" outlineLevel="2" x14ac:dyDescent="0.3">
      <c r="A1514" s="6">
        <v>19</v>
      </c>
      <c r="B1514" t="s">
        <v>756</v>
      </c>
      <c r="C1514" s="9" t="s">
        <v>932</v>
      </c>
      <c r="D1514" s="9">
        <v>30</v>
      </c>
      <c r="E1514" s="9" t="s">
        <v>1804</v>
      </c>
      <c r="F1514" t="s">
        <v>35</v>
      </c>
      <c r="G1514" t="s">
        <v>32</v>
      </c>
      <c r="H1514" t="s">
        <v>1489</v>
      </c>
    </row>
    <row r="1515" spans="1:8" outlineLevel="2" x14ac:dyDescent="0.3">
      <c r="A1515" s="6">
        <v>19</v>
      </c>
      <c r="B1515" t="s">
        <v>756</v>
      </c>
      <c r="C1515" s="9" t="s">
        <v>932</v>
      </c>
      <c r="D1515" s="9">
        <v>21</v>
      </c>
      <c r="E1515" s="9" t="s">
        <v>1804</v>
      </c>
      <c r="F1515" t="s">
        <v>36</v>
      </c>
      <c r="G1515" t="s">
        <v>32</v>
      </c>
      <c r="H1515" t="s">
        <v>1492</v>
      </c>
    </row>
    <row r="1516" spans="1:8" outlineLevel="2" x14ac:dyDescent="0.3">
      <c r="A1516" s="6">
        <v>19</v>
      </c>
      <c r="B1516" t="s">
        <v>756</v>
      </c>
      <c r="C1516" s="9" t="s">
        <v>1807</v>
      </c>
      <c r="D1516" s="9">
        <v>1050</v>
      </c>
      <c r="E1516" s="9" t="s">
        <v>1808</v>
      </c>
      <c r="F1516" t="s">
        <v>600</v>
      </c>
      <c r="G1516" t="s">
        <v>423</v>
      </c>
      <c r="H1516" t="s">
        <v>1139</v>
      </c>
    </row>
    <row r="1517" spans="1:8" outlineLevel="2" x14ac:dyDescent="0.3">
      <c r="A1517" s="6">
        <v>19</v>
      </c>
      <c r="B1517" t="s">
        <v>756</v>
      </c>
      <c r="C1517" s="9" t="s">
        <v>932</v>
      </c>
      <c r="D1517" s="9">
        <v>12</v>
      </c>
      <c r="E1517" s="9" t="s">
        <v>1804</v>
      </c>
      <c r="F1517" t="s">
        <v>153</v>
      </c>
      <c r="G1517" t="s">
        <v>108</v>
      </c>
      <c r="H1517" t="s">
        <v>1150</v>
      </c>
    </row>
    <row r="1518" spans="1:8" outlineLevel="2" x14ac:dyDescent="0.3">
      <c r="A1518" s="6">
        <v>19</v>
      </c>
      <c r="B1518" t="s">
        <v>756</v>
      </c>
      <c r="C1518" s="9" t="s">
        <v>932</v>
      </c>
      <c r="D1518" s="9">
        <v>18</v>
      </c>
      <c r="E1518" s="9" t="s">
        <v>1804</v>
      </c>
      <c r="F1518" t="s">
        <v>154</v>
      </c>
      <c r="G1518" t="s">
        <v>108</v>
      </c>
      <c r="H1518" t="s">
        <v>1151</v>
      </c>
    </row>
    <row r="1519" spans="1:8" outlineLevel="2" x14ac:dyDescent="0.3">
      <c r="A1519" s="6">
        <v>19</v>
      </c>
      <c r="B1519" t="s">
        <v>756</v>
      </c>
      <c r="C1519" s="9" t="s">
        <v>932</v>
      </c>
      <c r="D1519" s="9">
        <v>27</v>
      </c>
      <c r="E1519" s="9" t="s">
        <v>1804</v>
      </c>
      <c r="F1519" t="s">
        <v>37</v>
      </c>
      <c r="G1519" t="s">
        <v>38</v>
      </c>
      <c r="H1519" t="s">
        <v>1164</v>
      </c>
    </row>
    <row r="1520" spans="1:8" outlineLevel="2" x14ac:dyDescent="0.3">
      <c r="A1520" s="6">
        <v>19</v>
      </c>
      <c r="B1520" t="s">
        <v>756</v>
      </c>
      <c r="C1520" s="9" t="s">
        <v>932</v>
      </c>
      <c r="D1520" s="9">
        <v>12</v>
      </c>
      <c r="E1520" s="9" t="s">
        <v>1804</v>
      </c>
      <c r="F1520" t="s">
        <v>226</v>
      </c>
      <c r="G1520" t="s">
        <v>38</v>
      </c>
      <c r="H1520" t="s">
        <v>1165</v>
      </c>
    </row>
    <row r="1521" spans="1:8" outlineLevel="2" x14ac:dyDescent="0.3">
      <c r="A1521" s="6">
        <v>19</v>
      </c>
      <c r="B1521" t="s">
        <v>756</v>
      </c>
      <c r="C1521" s="9" t="s">
        <v>932</v>
      </c>
      <c r="D1521" s="9">
        <v>18</v>
      </c>
      <c r="E1521" s="9" t="s">
        <v>1804</v>
      </c>
      <c r="F1521" t="s">
        <v>227</v>
      </c>
      <c r="G1521" t="s">
        <v>41</v>
      </c>
      <c r="H1521" t="s">
        <v>1167</v>
      </c>
    </row>
    <row r="1522" spans="1:8" outlineLevel="2" x14ac:dyDescent="0.3">
      <c r="A1522" s="6">
        <v>19</v>
      </c>
      <c r="B1522" t="s">
        <v>756</v>
      </c>
      <c r="C1522" s="9" t="s">
        <v>932</v>
      </c>
      <c r="D1522" s="9">
        <v>12</v>
      </c>
      <c r="E1522" s="9" t="s">
        <v>1804</v>
      </c>
      <c r="F1522" t="s">
        <v>228</v>
      </c>
      <c r="G1522" t="s">
        <v>41</v>
      </c>
      <c r="H1522" t="s">
        <v>1168</v>
      </c>
    </row>
    <row r="1523" spans="1:8" outlineLevel="2" x14ac:dyDescent="0.3">
      <c r="A1523" s="6">
        <v>19</v>
      </c>
      <c r="B1523" t="s">
        <v>756</v>
      </c>
      <c r="C1523" s="9" t="s">
        <v>932</v>
      </c>
      <c r="D1523" s="9">
        <v>27</v>
      </c>
      <c r="E1523" s="9" t="s">
        <v>1804</v>
      </c>
      <c r="F1523" t="s">
        <v>40</v>
      </c>
      <c r="G1523" t="s">
        <v>41</v>
      </c>
      <c r="H1523" t="s">
        <v>1169</v>
      </c>
    </row>
    <row r="1524" spans="1:8" outlineLevel="2" x14ac:dyDescent="0.3">
      <c r="A1524" s="6">
        <v>19</v>
      </c>
      <c r="B1524" t="s">
        <v>756</v>
      </c>
      <c r="C1524" s="9" t="s">
        <v>932</v>
      </c>
      <c r="D1524" s="9">
        <v>18</v>
      </c>
      <c r="E1524" s="9" t="s">
        <v>1804</v>
      </c>
      <c r="F1524" t="s">
        <v>229</v>
      </c>
      <c r="G1524" t="s">
        <v>230</v>
      </c>
      <c r="H1524" t="s">
        <v>1170</v>
      </c>
    </row>
    <row r="1525" spans="1:8" outlineLevel="2" x14ac:dyDescent="0.3">
      <c r="A1525" s="6">
        <v>19</v>
      </c>
      <c r="B1525" t="s">
        <v>756</v>
      </c>
      <c r="C1525" s="9" t="s">
        <v>932</v>
      </c>
      <c r="D1525" s="9">
        <v>24</v>
      </c>
      <c r="E1525" s="9" t="s">
        <v>1804</v>
      </c>
      <c r="F1525" t="s">
        <v>232</v>
      </c>
      <c r="G1525" t="s">
        <v>144</v>
      </c>
      <c r="H1525" t="s">
        <v>1171</v>
      </c>
    </row>
    <row r="1526" spans="1:8" outlineLevel="2" x14ac:dyDescent="0.3">
      <c r="A1526" s="6">
        <v>19</v>
      </c>
      <c r="B1526" t="s">
        <v>756</v>
      </c>
      <c r="C1526" s="9" t="s">
        <v>932</v>
      </c>
      <c r="D1526" s="9">
        <v>25</v>
      </c>
      <c r="E1526" s="9" t="s">
        <v>1804</v>
      </c>
      <c r="F1526" t="s">
        <v>394</v>
      </c>
      <c r="G1526" t="s">
        <v>112</v>
      </c>
      <c r="H1526" t="s">
        <v>1172</v>
      </c>
    </row>
    <row r="1527" spans="1:8" outlineLevel="2" x14ac:dyDescent="0.3">
      <c r="A1527" s="6">
        <v>19</v>
      </c>
      <c r="B1527" t="s">
        <v>756</v>
      </c>
      <c r="C1527" s="9" t="s">
        <v>932</v>
      </c>
      <c r="D1527" s="9">
        <v>24</v>
      </c>
      <c r="E1527" s="9" t="s">
        <v>1804</v>
      </c>
      <c r="F1527" t="s">
        <v>764</v>
      </c>
      <c r="G1527" t="s">
        <v>509</v>
      </c>
      <c r="H1527" t="s">
        <v>1522</v>
      </c>
    </row>
    <row r="1528" spans="1:8" outlineLevel="2" x14ac:dyDescent="0.3">
      <c r="A1528" s="6">
        <v>19</v>
      </c>
      <c r="B1528" t="s">
        <v>756</v>
      </c>
      <c r="C1528" s="9" t="s">
        <v>932</v>
      </c>
      <c r="D1528" s="9">
        <v>18</v>
      </c>
      <c r="E1528" s="9" t="s">
        <v>1804</v>
      </c>
      <c r="F1528" t="s">
        <v>246</v>
      </c>
      <c r="G1528" t="s">
        <v>51</v>
      </c>
      <c r="H1528" t="s">
        <v>1596</v>
      </c>
    </row>
    <row r="1529" spans="1:8" outlineLevel="2" x14ac:dyDescent="0.3">
      <c r="A1529" s="6">
        <v>19</v>
      </c>
      <c r="B1529" t="s">
        <v>756</v>
      </c>
      <c r="C1529" s="9" t="s">
        <v>932</v>
      </c>
      <c r="D1529" s="9">
        <v>12</v>
      </c>
      <c r="E1529" s="9" t="s">
        <v>1804</v>
      </c>
      <c r="F1529" t="s">
        <v>56</v>
      </c>
      <c r="G1529" t="s">
        <v>57</v>
      </c>
      <c r="H1529" t="s">
        <v>1623</v>
      </c>
    </row>
    <row r="1530" spans="1:8" outlineLevel="2" x14ac:dyDescent="0.3">
      <c r="A1530" s="6">
        <v>19</v>
      </c>
      <c r="B1530" t="s">
        <v>756</v>
      </c>
      <c r="C1530" s="9" t="s">
        <v>932</v>
      </c>
      <c r="D1530" s="9">
        <v>12</v>
      </c>
      <c r="E1530" s="9" t="s">
        <v>1804</v>
      </c>
      <c r="F1530" t="s">
        <v>252</v>
      </c>
      <c r="G1530" t="s">
        <v>253</v>
      </c>
      <c r="H1530" t="s">
        <v>1635</v>
      </c>
    </row>
    <row r="1531" spans="1:8" outlineLevel="2" x14ac:dyDescent="0.3">
      <c r="A1531" s="6">
        <v>19</v>
      </c>
      <c r="B1531" t="s">
        <v>756</v>
      </c>
      <c r="C1531" s="9" t="s">
        <v>932</v>
      </c>
      <c r="D1531" s="9">
        <v>14</v>
      </c>
      <c r="E1531" s="9" t="s">
        <v>1804</v>
      </c>
      <c r="F1531" t="s">
        <v>262</v>
      </c>
      <c r="G1531" t="s">
        <v>263</v>
      </c>
      <c r="H1531" t="s">
        <v>989</v>
      </c>
    </row>
    <row r="1532" spans="1:8" outlineLevel="2" x14ac:dyDescent="0.3">
      <c r="A1532" s="6">
        <v>19</v>
      </c>
      <c r="B1532" t="s">
        <v>756</v>
      </c>
      <c r="C1532" s="9" t="s">
        <v>1807</v>
      </c>
      <c r="D1532" s="9">
        <v>1050</v>
      </c>
      <c r="E1532" s="9" t="s">
        <v>1808</v>
      </c>
      <c r="F1532" t="s">
        <v>291</v>
      </c>
      <c r="G1532" t="s">
        <v>292</v>
      </c>
      <c r="H1532" t="s">
        <v>1678</v>
      </c>
    </row>
    <row r="1533" spans="1:8" outlineLevel="2" x14ac:dyDescent="0.3">
      <c r="A1533" s="6">
        <v>19</v>
      </c>
      <c r="B1533" t="s">
        <v>756</v>
      </c>
      <c r="C1533" s="9" t="s">
        <v>1807</v>
      </c>
      <c r="D1533" s="9">
        <v>750</v>
      </c>
      <c r="E1533" s="9" t="s">
        <v>1808</v>
      </c>
      <c r="F1533" t="s">
        <v>456</v>
      </c>
      <c r="G1533" t="s">
        <v>292</v>
      </c>
      <c r="H1533" t="s">
        <v>1679</v>
      </c>
    </row>
    <row r="1534" spans="1:8" outlineLevel="2" x14ac:dyDescent="0.3">
      <c r="A1534" s="6">
        <v>19</v>
      </c>
      <c r="B1534" t="s">
        <v>756</v>
      </c>
      <c r="C1534" s="9" t="s">
        <v>1807</v>
      </c>
      <c r="D1534" s="9">
        <v>420</v>
      </c>
      <c r="E1534" s="9" t="s">
        <v>1808</v>
      </c>
      <c r="F1534" t="s">
        <v>68</v>
      </c>
      <c r="G1534" t="s">
        <v>69</v>
      </c>
      <c r="H1534" t="s">
        <v>1551</v>
      </c>
    </row>
    <row r="1535" spans="1:8" outlineLevel="2" x14ac:dyDescent="0.3">
      <c r="A1535" s="6">
        <v>19</v>
      </c>
      <c r="B1535" t="s">
        <v>756</v>
      </c>
      <c r="C1535" s="9" t="s">
        <v>1807</v>
      </c>
      <c r="D1535" s="9">
        <v>198</v>
      </c>
      <c r="E1535" s="9" t="s">
        <v>1808</v>
      </c>
      <c r="F1535" t="s">
        <v>484</v>
      </c>
      <c r="G1535" t="s">
        <v>69</v>
      </c>
      <c r="H1535" t="s">
        <v>1556</v>
      </c>
    </row>
    <row r="1536" spans="1:8" outlineLevel="2" x14ac:dyDescent="0.3">
      <c r="A1536" s="6">
        <v>19</v>
      </c>
      <c r="B1536" t="s">
        <v>756</v>
      </c>
      <c r="C1536" s="9" t="s">
        <v>1807</v>
      </c>
      <c r="D1536" s="9">
        <v>770</v>
      </c>
      <c r="E1536" s="9" t="s">
        <v>1808</v>
      </c>
      <c r="F1536" t="s">
        <v>71</v>
      </c>
      <c r="G1536" t="s">
        <v>72</v>
      </c>
      <c r="H1536" t="s">
        <v>1565</v>
      </c>
    </row>
    <row r="1537" spans="1:8" outlineLevel="2" x14ac:dyDescent="0.3">
      <c r="A1537" s="6">
        <v>19</v>
      </c>
      <c r="B1537" t="s">
        <v>756</v>
      </c>
      <c r="C1537" s="9" t="s">
        <v>1807</v>
      </c>
      <c r="D1537" s="9">
        <v>518</v>
      </c>
      <c r="E1537" s="9" t="s">
        <v>1808</v>
      </c>
      <c r="F1537" t="s">
        <v>74</v>
      </c>
      <c r="G1537" t="s">
        <v>72</v>
      </c>
      <c r="H1537" t="s">
        <v>1566</v>
      </c>
    </row>
    <row r="1538" spans="1:8" outlineLevel="2" x14ac:dyDescent="0.3">
      <c r="A1538" s="6">
        <v>19</v>
      </c>
      <c r="B1538" t="s">
        <v>756</v>
      </c>
      <c r="C1538" s="9" t="s">
        <v>1807</v>
      </c>
      <c r="D1538" s="9">
        <v>490</v>
      </c>
      <c r="E1538" s="9" t="s">
        <v>1808</v>
      </c>
      <c r="F1538" t="s">
        <v>765</v>
      </c>
      <c r="G1538" t="s">
        <v>72</v>
      </c>
      <c r="H1538" t="s">
        <v>1571</v>
      </c>
    </row>
    <row r="1539" spans="1:8" outlineLevel="2" x14ac:dyDescent="0.3">
      <c r="A1539" s="6">
        <v>19</v>
      </c>
      <c r="B1539" t="s">
        <v>756</v>
      </c>
      <c r="C1539" s="9" t="s">
        <v>1807</v>
      </c>
      <c r="D1539" s="9">
        <v>398</v>
      </c>
      <c r="E1539" s="9" t="s">
        <v>1808</v>
      </c>
      <c r="F1539" t="s">
        <v>318</v>
      </c>
      <c r="G1539" t="s">
        <v>76</v>
      </c>
      <c r="H1539" t="s">
        <v>1578</v>
      </c>
    </row>
    <row r="1540" spans="1:8" outlineLevel="2" x14ac:dyDescent="0.3">
      <c r="A1540" s="6">
        <v>19</v>
      </c>
      <c r="B1540" t="s">
        <v>756</v>
      </c>
      <c r="C1540" s="9" t="s">
        <v>963</v>
      </c>
      <c r="D1540" s="9">
        <v>60</v>
      </c>
      <c r="E1540" s="9" t="s">
        <v>1804</v>
      </c>
      <c r="F1540" t="s">
        <v>766</v>
      </c>
      <c r="G1540" t="s">
        <v>758</v>
      </c>
      <c r="H1540" t="s">
        <v>1241</v>
      </c>
    </row>
    <row r="1541" spans="1:8" outlineLevel="2" x14ac:dyDescent="0.3">
      <c r="A1541" s="6">
        <v>19</v>
      </c>
      <c r="B1541" t="s">
        <v>756</v>
      </c>
      <c r="C1541" s="9" t="s">
        <v>963</v>
      </c>
      <c r="D1541" s="9">
        <v>64</v>
      </c>
      <c r="E1541" s="9" t="s">
        <v>1804</v>
      </c>
      <c r="F1541" t="s">
        <v>767</v>
      </c>
      <c r="G1541" t="s">
        <v>499</v>
      </c>
      <c r="H1541" t="s">
        <v>1703</v>
      </c>
    </row>
    <row r="1542" spans="1:8" outlineLevel="2" x14ac:dyDescent="0.3">
      <c r="A1542" s="6">
        <v>19</v>
      </c>
      <c r="B1542" t="s">
        <v>756</v>
      </c>
      <c r="C1542" s="9" t="s">
        <v>963</v>
      </c>
      <c r="D1542" s="9">
        <v>88</v>
      </c>
      <c r="E1542" s="9" t="s">
        <v>1804</v>
      </c>
      <c r="F1542" t="s">
        <v>84</v>
      </c>
      <c r="G1542" t="s">
        <v>85</v>
      </c>
      <c r="H1542" t="s">
        <v>1342</v>
      </c>
    </row>
    <row r="1543" spans="1:8" outlineLevel="2" x14ac:dyDescent="0.3">
      <c r="A1543" s="6">
        <v>19</v>
      </c>
      <c r="B1543" t="s">
        <v>756</v>
      </c>
      <c r="C1543" s="9" t="s">
        <v>963</v>
      </c>
      <c r="D1543" s="9">
        <v>73</v>
      </c>
      <c r="E1543" s="9" t="s">
        <v>1804</v>
      </c>
      <c r="F1543" t="s">
        <v>90</v>
      </c>
      <c r="G1543" t="s">
        <v>15</v>
      </c>
      <c r="H1543" t="s">
        <v>1351</v>
      </c>
    </row>
    <row r="1544" spans="1:8" outlineLevel="2" x14ac:dyDescent="0.3">
      <c r="A1544" s="6">
        <v>19</v>
      </c>
      <c r="B1544" t="s">
        <v>756</v>
      </c>
      <c r="C1544" s="9" t="s">
        <v>963</v>
      </c>
      <c r="D1544" s="9">
        <v>77</v>
      </c>
      <c r="E1544" s="9" t="s">
        <v>1804</v>
      </c>
      <c r="F1544" t="s">
        <v>91</v>
      </c>
      <c r="G1544" t="s">
        <v>92</v>
      </c>
      <c r="H1544" t="s">
        <v>1353</v>
      </c>
    </row>
    <row r="1545" spans="1:8" outlineLevel="2" x14ac:dyDescent="0.3">
      <c r="A1545" s="6">
        <v>19</v>
      </c>
      <c r="B1545" t="s">
        <v>756</v>
      </c>
      <c r="C1545" s="9" t="s">
        <v>963</v>
      </c>
      <c r="D1545" s="9">
        <v>65</v>
      </c>
      <c r="E1545" s="9" t="s">
        <v>1804</v>
      </c>
      <c r="F1545" t="s">
        <v>399</v>
      </c>
      <c r="G1545" t="s">
        <v>1819</v>
      </c>
      <c r="H1545" t="s">
        <v>1420</v>
      </c>
    </row>
    <row r="1546" spans="1:8" outlineLevel="2" x14ac:dyDescent="0.3">
      <c r="A1546" s="6">
        <v>19</v>
      </c>
      <c r="B1546" t="s">
        <v>756</v>
      </c>
      <c r="C1546" s="9" t="s">
        <v>963</v>
      </c>
      <c r="D1546" s="9">
        <v>72</v>
      </c>
      <c r="E1546" s="9" t="s">
        <v>1804</v>
      </c>
      <c r="F1546" t="s">
        <v>101</v>
      </c>
      <c r="G1546" t="s">
        <v>102</v>
      </c>
      <c r="H1546" t="s">
        <v>1365</v>
      </c>
    </row>
    <row r="1547" spans="1:8" outlineLevel="2" x14ac:dyDescent="0.3">
      <c r="A1547" s="6">
        <v>19</v>
      </c>
      <c r="B1547" t="s">
        <v>756</v>
      </c>
      <c r="C1547" s="9" t="s">
        <v>963</v>
      </c>
      <c r="D1547" s="9">
        <v>60</v>
      </c>
      <c r="E1547" s="9" t="s">
        <v>1804</v>
      </c>
      <c r="F1547" t="s">
        <v>170</v>
      </c>
      <c r="G1547" t="s">
        <v>171</v>
      </c>
      <c r="H1547" t="s">
        <v>1535</v>
      </c>
    </row>
    <row r="1548" spans="1:8" outlineLevel="2" x14ac:dyDescent="0.3">
      <c r="A1548" s="6">
        <v>19</v>
      </c>
      <c r="B1548" t="s">
        <v>756</v>
      </c>
      <c r="C1548" s="9" t="s">
        <v>963</v>
      </c>
      <c r="D1548" s="9">
        <v>60</v>
      </c>
      <c r="E1548" s="9" t="s">
        <v>1804</v>
      </c>
      <c r="F1548" t="s">
        <v>686</v>
      </c>
      <c r="G1548" t="s">
        <v>115</v>
      </c>
      <c r="H1548" t="s">
        <v>1536</v>
      </c>
    </row>
    <row r="1549" spans="1:8" outlineLevel="2" x14ac:dyDescent="0.3">
      <c r="A1549" s="6">
        <v>19</v>
      </c>
      <c r="B1549" t="s">
        <v>756</v>
      </c>
      <c r="C1549" s="9" t="s">
        <v>963</v>
      </c>
      <c r="D1549" s="9">
        <v>63</v>
      </c>
      <c r="E1549" s="9" t="s">
        <v>1804</v>
      </c>
      <c r="F1549" t="s">
        <v>349</v>
      </c>
      <c r="G1549" t="s">
        <v>32</v>
      </c>
      <c r="H1549" t="s">
        <v>1537</v>
      </c>
    </row>
    <row r="1550" spans="1:8" outlineLevel="2" x14ac:dyDescent="0.3">
      <c r="A1550" s="6">
        <v>19</v>
      </c>
      <c r="B1550" t="s">
        <v>756</v>
      </c>
      <c r="C1550" s="9" t="s">
        <v>963</v>
      </c>
      <c r="D1550" s="9">
        <v>60</v>
      </c>
      <c r="E1550" s="9" t="s">
        <v>1804</v>
      </c>
      <c r="F1550" t="s">
        <v>106</v>
      </c>
      <c r="G1550" t="s">
        <v>32</v>
      </c>
      <c r="H1550" t="s">
        <v>1537</v>
      </c>
    </row>
    <row r="1551" spans="1:8" outlineLevel="2" x14ac:dyDescent="0.3">
      <c r="A1551" s="6">
        <v>19</v>
      </c>
      <c r="B1551" t="s">
        <v>756</v>
      </c>
      <c r="C1551" s="9" t="s">
        <v>963</v>
      </c>
      <c r="D1551" s="9">
        <v>60</v>
      </c>
      <c r="E1551" s="9" t="s">
        <v>1804</v>
      </c>
      <c r="F1551" t="s">
        <v>656</v>
      </c>
      <c r="G1551" t="s">
        <v>504</v>
      </c>
      <c r="H1551" t="s">
        <v>1538</v>
      </c>
    </row>
    <row r="1552" spans="1:8" outlineLevel="2" x14ac:dyDescent="0.3">
      <c r="A1552" s="6">
        <v>19</v>
      </c>
      <c r="B1552" t="s">
        <v>756</v>
      </c>
      <c r="C1552" s="9" t="s">
        <v>963</v>
      </c>
      <c r="D1552" s="9">
        <v>60</v>
      </c>
      <c r="E1552" s="9" t="s">
        <v>1804</v>
      </c>
      <c r="F1552" t="s">
        <v>107</v>
      </c>
      <c r="G1552" t="s">
        <v>108</v>
      </c>
      <c r="H1552" t="s">
        <v>1140</v>
      </c>
    </row>
    <row r="1553" spans="1:8" outlineLevel="2" x14ac:dyDescent="0.3">
      <c r="A1553" s="6">
        <v>19</v>
      </c>
      <c r="B1553" t="s">
        <v>756</v>
      </c>
      <c r="C1553" s="9" t="s">
        <v>963</v>
      </c>
      <c r="D1553" s="9">
        <v>60</v>
      </c>
      <c r="E1553" s="9" t="s">
        <v>1804</v>
      </c>
      <c r="F1553" t="s">
        <v>351</v>
      </c>
      <c r="G1553" t="s">
        <v>38</v>
      </c>
      <c r="H1553" t="s">
        <v>1142</v>
      </c>
    </row>
    <row r="1554" spans="1:8" outlineLevel="2" x14ac:dyDescent="0.3">
      <c r="A1554" s="6">
        <v>19</v>
      </c>
      <c r="B1554" t="s">
        <v>756</v>
      </c>
      <c r="C1554" s="9" t="s">
        <v>963</v>
      </c>
      <c r="D1554" s="9">
        <v>60</v>
      </c>
      <c r="E1554" s="9" t="s">
        <v>1804</v>
      </c>
      <c r="F1554" t="s">
        <v>110</v>
      </c>
      <c r="G1554" t="s">
        <v>41</v>
      </c>
      <c r="H1554" t="s">
        <v>1144</v>
      </c>
    </row>
    <row r="1555" spans="1:8" outlineLevel="2" x14ac:dyDescent="0.3">
      <c r="A1555" s="6">
        <v>19</v>
      </c>
      <c r="B1555" t="s">
        <v>756</v>
      </c>
      <c r="C1555" s="9" t="s">
        <v>963</v>
      </c>
      <c r="D1555" s="9">
        <v>60</v>
      </c>
      <c r="E1555" s="9" t="s">
        <v>1804</v>
      </c>
      <c r="F1555" t="s">
        <v>768</v>
      </c>
      <c r="G1555" t="s">
        <v>509</v>
      </c>
      <c r="H1555" t="s">
        <v>1542</v>
      </c>
    </row>
    <row r="1556" spans="1:8" outlineLevel="2" x14ac:dyDescent="0.3">
      <c r="A1556" s="6">
        <v>19</v>
      </c>
      <c r="B1556" t="s">
        <v>756</v>
      </c>
      <c r="C1556" s="9" t="s">
        <v>963</v>
      </c>
      <c r="D1556" s="9">
        <v>60</v>
      </c>
      <c r="E1556" s="9" t="s">
        <v>1804</v>
      </c>
      <c r="F1556" t="s">
        <v>120</v>
      </c>
      <c r="G1556" t="s">
        <v>51</v>
      </c>
      <c r="H1556" t="s">
        <v>1590</v>
      </c>
    </row>
    <row r="1557" spans="1:8" outlineLevel="2" x14ac:dyDescent="0.3">
      <c r="A1557" s="6">
        <v>19</v>
      </c>
      <c r="B1557" t="s">
        <v>756</v>
      </c>
      <c r="C1557" s="9" t="s">
        <v>963</v>
      </c>
      <c r="D1557" s="9">
        <v>62</v>
      </c>
      <c r="E1557" s="9" t="s">
        <v>1804</v>
      </c>
      <c r="F1557" t="s">
        <v>769</v>
      </c>
      <c r="G1557" t="s">
        <v>470</v>
      </c>
      <c r="H1557" t="s">
        <v>1792</v>
      </c>
    </row>
    <row r="1558" spans="1:8" outlineLevel="2" x14ac:dyDescent="0.3">
      <c r="A1558" s="6">
        <v>19</v>
      </c>
      <c r="B1558" t="s">
        <v>756</v>
      </c>
      <c r="C1558" s="9" t="s">
        <v>963</v>
      </c>
      <c r="D1558" s="9">
        <v>62</v>
      </c>
      <c r="E1558" s="9" t="s">
        <v>1804</v>
      </c>
      <c r="F1558" t="s">
        <v>405</v>
      </c>
      <c r="G1558" t="s">
        <v>260</v>
      </c>
      <c r="H1558" t="s">
        <v>1022</v>
      </c>
    </row>
    <row r="1559" spans="1:8" outlineLevel="2" x14ac:dyDescent="0.3">
      <c r="A1559" s="6">
        <v>19</v>
      </c>
      <c r="B1559" t="s">
        <v>756</v>
      </c>
      <c r="C1559" s="9" t="s">
        <v>963</v>
      </c>
      <c r="D1559" s="9">
        <v>60</v>
      </c>
      <c r="E1559" s="9" t="s">
        <v>1804</v>
      </c>
      <c r="F1559" t="s">
        <v>361</v>
      </c>
      <c r="G1559" t="s">
        <v>283</v>
      </c>
      <c r="H1559" t="s">
        <v>1793</v>
      </c>
    </row>
    <row r="1560" spans="1:8" outlineLevel="2" x14ac:dyDescent="0.3">
      <c r="A1560" s="6">
        <v>19</v>
      </c>
      <c r="B1560" t="s">
        <v>756</v>
      </c>
      <c r="C1560" s="9" t="s">
        <v>963</v>
      </c>
      <c r="D1560" s="9">
        <v>64</v>
      </c>
      <c r="E1560" s="9" t="s">
        <v>1804</v>
      </c>
      <c r="F1560" t="s">
        <v>362</v>
      </c>
      <c r="G1560" t="s">
        <v>298</v>
      </c>
      <c r="H1560" t="s">
        <v>1794</v>
      </c>
    </row>
    <row r="1561" spans="1:8" outlineLevel="2" x14ac:dyDescent="0.3">
      <c r="A1561" s="6">
        <v>19</v>
      </c>
      <c r="B1561" t="s">
        <v>756</v>
      </c>
      <c r="C1561" s="9" t="s">
        <v>963</v>
      </c>
      <c r="D1561" s="9">
        <v>60</v>
      </c>
      <c r="E1561" s="9" t="s">
        <v>1804</v>
      </c>
      <c r="F1561" t="s">
        <v>365</v>
      </c>
      <c r="G1561" t="s">
        <v>301</v>
      </c>
      <c r="H1561" t="s">
        <v>1796</v>
      </c>
    </row>
    <row r="1562" spans="1:8" outlineLevel="2" x14ac:dyDescent="0.3">
      <c r="A1562" s="6">
        <v>19</v>
      </c>
      <c r="B1562" t="s">
        <v>756</v>
      </c>
      <c r="C1562" s="9" t="s">
        <v>963</v>
      </c>
      <c r="D1562" s="9">
        <v>60</v>
      </c>
      <c r="E1562" s="9" t="s">
        <v>1804</v>
      </c>
      <c r="F1562" t="s">
        <v>367</v>
      </c>
      <c r="G1562" t="s">
        <v>368</v>
      </c>
      <c r="H1562" t="s">
        <v>1688</v>
      </c>
    </row>
    <row r="1563" spans="1:8" outlineLevel="2" x14ac:dyDescent="0.3">
      <c r="A1563" s="6">
        <v>19</v>
      </c>
      <c r="B1563" t="s">
        <v>756</v>
      </c>
      <c r="C1563" s="9" t="s">
        <v>963</v>
      </c>
      <c r="D1563" s="9">
        <v>64</v>
      </c>
      <c r="E1563" s="9" t="s">
        <v>1804</v>
      </c>
      <c r="F1563" t="s">
        <v>125</v>
      </c>
      <c r="G1563" t="s">
        <v>126</v>
      </c>
      <c r="H1563" t="s">
        <v>1581</v>
      </c>
    </row>
    <row r="1564" spans="1:8" outlineLevel="2" x14ac:dyDescent="0.3">
      <c r="A1564" s="6">
        <v>19</v>
      </c>
      <c r="B1564" t="s">
        <v>756</v>
      </c>
      <c r="C1564" s="9" t="s">
        <v>963</v>
      </c>
      <c r="D1564" s="9">
        <v>60</v>
      </c>
      <c r="E1564" s="9" t="s">
        <v>1804</v>
      </c>
      <c r="F1564" t="s">
        <v>128</v>
      </c>
      <c r="G1564" t="s">
        <v>129</v>
      </c>
      <c r="H1564" t="s">
        <v>1582</v>
      </c>
    </row>
    <row r="1565" spans="1:8" outlineLevel="2" x14ac:dyDescent="0.3">
      <c r="A1565" s="6">
        <v>19</v>
      </c>
      <c r="B1565" t="s">
        <v>756</v>
      </c>
      <c r="C1565" s="9" t="s">
        <v>963</v>
      </c>
      <c r="D1565" s="9">
        <v>60</v>
      </c>
      <c r="E1565" s="9" t="s">
        <v>1804</v>
      </c>
      <c r="F1565" t="s">
        <v>375</v>
      </c>
      <c r="G1565" t="s">
        <v>376</v>
      </c>
      <c r="H1565" t="s">
        <v>1586</v>
      </c>
    </row>
    <row r="1566" spans="1:8" outlineLevel="1" x14ac:dyDescent="0.3">
      <c r="A1566" s="16" t="s">
        <v>2205</v>
      </c>
      <c r="H1566">
        <f>SUBTOTAL(3,H1493:H1565)</f>
        <v>73</v>
      </c>
    </row>
    <row r="1567" spans="1:8" outlineLevel="2" x14ac:dyDescent="0.3">
      <c r="A1567" s="6">
        <v>20</v>
      </c>
      <c r="B1567" t="s">
        <v>703</v>
      </c>
      <c r="C1567" s="9" t="s">
        <v>932</v>
      </c>
      <c r="D1567" s="9">
        <v>30</v>
      </c>
      <c r="E1567" s="9" t="s">
        <v>1804</v>
      </c>
      <c r="F1567" t="s">
        <v>146</v>
      </c>
      <c r="G1567" t="s">
        <v>147</v>
      </c>
      <c r="H1567" t="s">
        <v>1377</v>
      </c>
    </row>
    <row r="1568" spans="1:8" outlineLevel="2" x14ac:dyDescent="0.3">
      <c r="A1568" s="6">
        <v>20</v>
      </c>
      <c r="B1568" t="s">
        <v>703</v>
      </c>
      <c r="C1568" s="9" t="s">
        <v>932</v>
      </c>
      <c r="D1568" s="9">
        <v>15</v>
      </c>
      <c r="E1568" s="9" t="s">
        <v>1804</v>
      </c>
      <c r="F1568" t="s">
        <v>149</v>
      </c>
      <c r="G1568" t="s">
        <v>147</v>
      </c>
      <c r="H1568" t="s">
        <v>1378</v>
      </c>
    </row>
    <row r="1569" spans="1:8" outlineLevel="2" x14ac:dyDescent="0.3">
      <c r="A1569" s="6">
        <v>20</v>
      </c>
      <c r="B1569" t="s">
        <v>703</v>
      </c>
      <c r="C1569" s="9" t="s">
        <v>932</v>
      </c>
      <c r="D1569" s="9">
        <v>30</v>
      </c>
      <c r="E1569" s="9" t="s">
        <v>1804</v>
      </c>
      <c r="F1569" t="s">
        <v>176</v>
      </c>
      <c r="G1569" t="s">
        <v>177</v>
      </c>
      <c r="H1569" t="s">
        <v>1381</v>
      </c>
    </row>
    <row r="1570" spans="1:8" outlineLevel="2" x14ac:dyDescent="0.3">
      <c r="A1570" s="6">
        <v>20</v>
      </c>
      <c r="B1570" t="s">
        <v>703</v>
      </c>
      <c r="C1570" s="9" t="s">
        <v>932</v>
      </c>
      <c r="D1570" s="9">
        <v>24</v>
      </c>
      <c r="E1570" s="9" t="s">
        <v>1804</v>
      </c>
      <c r="F1570" t="s">
        <v>536</v>
      </c>
      <c r="G1570" t="s">
        <v>537</v>
      </c>
      <c r="H1570" t="s">
        <v>1384</v>
      </c>
    </row>
    <row r="1571" spans="1:8" outlineLevel="2" x14ac:dyDescent="0.3">
      <c r="A1571" s="6">
        <v>20</v>
      </c>
      <c r="B1571" t="s">
        <v>703</v>
      </c>
      <c r="C1571" s="9" t="s">
        <v>932</v>
      </c>
      <c r="D1571" s="9">
        <v>37</v>
      </c>
      <c r="E1571" s="9" t="s">
        <v>1804</v>
      </c>
      <c r="F1571" t="s">
        <v>198</v>
      </c>
      <c r="G1571" t="s">
        <v>196</v>
      </c>
      <c r="H1571" t="s">
        <v>1267</v>
      </c>
    </row>
    <row r="1572" spans="1:8" outlineLevel="2" x14ac:dyDescent="0.3">
      <c r="A1572" s="6">
        <v>20</v>
      </c>
      <c r="B1572" t="s">
        <v>703</v>
      </c>
      <c r="C1572" s="9" t="s">
        <v>1807</v>
      </c>
      <c r="D1572" s="9">
        <v>1300</v>
      </c>
      <c r="E1572" s="9" t="s">
        <v>1808</v>
      </c>
      <c r="F1572" t="s">
        <v>199</v>
      </c>
      <c r="G1572" t="s">
        <v>200</v>
      </c>
      <c r="H1572" t="s">
        <v>1271</v>
      </c>
    </row>
    <row r="1573" spans="1:8" outlineLevel="2" x14ac:dyDescent="0.3">
      <c r="A1573" s="6">
        <v>20</v>
      </c>
      <c r="B1573" t="s">
        <v>703</v>
      </c>
      <c r="C1573" s="9" t="s">
        <v>1266</v>
      </c>
      <c r="D1573" s="9">
        <v>40</v>
      </c>
      <c r="E1573" s="9" t="s">
        <v>1804</v>
      </c>
      <c r="F1573" t="s">
        <v>11</v>
      </c>
      <c r="G1573" t="s">
        <v>12</v>
      </c>
      <c r="H1573" t="s">
        <v>1277</v>
      </c>
    </row>
    <row r="1574" spans="1:8" outlineLevel="2" x14ac:dyDescent="0.3">
      <c r="A1574" s="6">
        <v>20</v>
      </c>
      <c r="B1574" t="s">
        <v>703</v>
      </c>
      <c r="C1574" s="9" t="s">
        <v>1807</v>
      </c>
      <c r="D1574" s="9">
        <v>465</v>
      </c>
      <c r="E1574" s="9" t="s">
        <v>1808</v>
      </c>
      <c r="F1574" t="s">
        <v>704</v>
      </c>
      <c r="G1574" t="s">
        <v>705</v>
      </c>
      <c r="H1574" t="s">
        <v>1289</v>
      </c>
    </row>
    <row r="1575" spans="1:8" outlineLevel="2" x14ac:dyDescent="0.3">
      <c r="A1575" s="6">
        <v>20</v>
      </c>
      <c r="B1575" t="s">
        <v>703</v>
      </c>
      <c r="C1575" s="9" t="s">
        <v>932</v>
      </c>
      <c r="D1575" s="9">
        <v>42</v>
      </c>
      <c r="E1575" s="9" t="s">
        <v>1804</v>
      </c>
      <c r="F1575" t="s">
        <v>14</v>
      </c>
      <c r="G1575" t="s">
        <v>15</v>
      </c>
      <c r="H1575" t="s">
        <v>1290</v>
      </c>
    </row>
    <row r="1576" spans="1:8" outlineLevel="2" x14ac:dyDescent="0.3">
      <c r="A1576" s="6">
        <v>20</v>
      </c>
      <c r="B1576" t="s">
        <v>703</v>
      </c>
      <c r="C1576" s="9" t="s">
        <v>1266</v>
      </c>
      <c r="D1576" s="9">
        <v>12</v>
      </c>
      <c r="E1576" s="9" t="s">
        <v>1804</v>
      </c>
      <c r="F1576" t="s">
        <v>17</v>
      </c>
      <c r="G1576" t="s">
        <v>15</v>
      </c>
      <c r="H1576" t="s">
        <v>1291</v>
      </c>
    </row>
    <row r="1577" spans="1:8" outlineLevel="2" x14ac:dyDescent="0.3">
      <c r="A1577" s="6">
        <v>20</v>
      </c>
      <c r="B1577" t="s">
        <v>703</v>
      </c>
      <c r="C1577" s="9" t="s">
        <v>1807</v>
      </c>
      <c r="D1577" s="9">
        <v>1330</v>
      </c>
      <c r="E1577" s="9" t="s">
        <v>1808</v>
      </c>
      <c r="F1577" t="s">
        <v>207</v>
      </c>
      <c r="G1577" t="s">
        <v>19</v>
      </c>
      <c r="H1577" t="s">
        <v>1301</v>
      </c>
    </row>
    <row r="1578" spans="1:8" outlineLevel="2" x14ac:dyDescent="0.3">
      <c r="A1578" s="6">
        <v>20</v>
      </c>
      <c r="B1578" t="s">
        <v>703</v>
      </c>
      <c r="C1578" s="9" t="s">
        <v>1807</v>
      </c>
      <c r="D1578" s="9">
        <v>165</v>
      </c>
      <c r="E1578" s="9" t="s">
        <v>1808</v>
      </c>
      <c r="F1578" t="s">
        <v>410</v>
      </c>
      <c r="G1578" t="s">
        <v>411</v>
      </c>
      <c r="H1578" t="s">
        <v>1313</v>
      </c>
    </row>
    <row r="1579" spans="1:8" outlineLevel="2" x14ac:dyDescent="0.3">
      <c r="A1579" s="6">
        <v>20</v>
      </c>
      <c r="B1579" t="s">
        <v>703</v>
      </c>
      <c r="C1579" s="9" t="s">
        <v>1807</v>
      </c>
      <c r="D1579" s="9">
        <v>750</v>
      </c>
      <c r="E1579" s="9" t="s">
        <v>1808</v>
      </c>
      <c r="F1579" t="s">
        <v>211</v>
      </c>
      <c r="G1579" t="s">
        <v>212</v>
      </c>
      <c r="H1579" t="s">
        <v>1331</v>
      </c>
    </row>
    <row r="1580" spans="1:8" outlineLevel="2" x14ac:dyDescent="0.3">
      <c r="A1580" s="6">
        <v>20</v>
      </c>
      <c r="B1580" t="s">
        <v>703</v>
      </c>
      <c r="C1580" s="9" t="s">
        <v>1807</v>
      </c>
      <c r="D1580" s="9">
        <v>1350</v>
      </c>
      <c r="E1580" s="9" t="s">
        <v>1808</v>
      </c>
      <c r="F1580" t="s">
        <v>413</v>
      </c>
      <c r="G1580" t="s">
        <v>414</v>
      </c>
      <c r="H1580" t="s">
        <v>1332</v>
      </c>
    </row>
    <row r="1581" spans="1:8" outlineLevel="2" x14ac:dyDescent="0.3">
      <c r="A1581" s="6">
        <v>20</v>
      </c>
      <c r="B1581" t="s">
        <v>703</v>
      </c>
      <c r="C1581" s="9" t="s">
        <v>1807</v>
      </c>
      <c r="D1581" s="9">
        <v>600</v>
      </c>
      <c r="E1581" s="9" t="s">
        <v>1808</v>
      </c>
      <c r="F1581" t="s">
        <v>707</v>
      </c>
      <c r="G1581" t="s">
        <v>26</v>
      </c>
      <c r="H1581" t="s">
        <v>1336</v>
      </c>
    </row>
    <row r="1582" spans="1:8" outlineLevel="2" x14ac:dyDescent="0.3">
      <c r="A1582" s="6">
        <v>20</v>
      </c>
      <c r="B1582" t="s">
        <v>703</v>
      </c>
      <c r="C1582" s="9" t="s">
        <v>932</v>
      </c>
      <c r="D1582" s="9">
        <v>36</v>
      </c>
      <c r="E1582" s="9" t="s">
        <v>1804</v>
      </c>
      <c r="F1582" t="s">
        <v>28</v>
      </c>
      <c r="G1582" t="s">
        <v>29</v>
      </c>
      <c r="H1582" t="s">
        <v>1180</v>
      </c>
    </row>
    <row r="1583" spans="1:8" outlineLevel="2" x14ac:dyDescent="0.3">
      <c r="A1583" s="6">
        <v>20</v>
      </c>
      <c r="B1583" t="s">
        <v>703</v>
      </c>
      <c r="C1583" s="9" t="s">
        <v>932</v>
      </c>
      <c r="D1583" s="9">
        <v>12</v>
      </c>
      <c r="E1583" s="9" t="s">
        <v>1804</v>
      </c>
      <c r="F1583" t="s">
        <v>588</v>
      </c>
      <c r="G1583" t="s">
        <v>29</v>
      </c>
      <c r="H1583" t="s">
        <v>1183</v>
      </c>
    </row>
    <row r="1584" spans="1:8" outlineLevel="2" x14ac:dyDescent="0.3">
      <c r="A1584" s="6">
        <v>20</v>
      </c>
      <c r="B1584" t="s">
        <v>703</v>
      </c>
      <c r="C1584" s="9" t="s">
        <v>932</v>
      </c>
      <c r="D1584" s="9">
        <v>12</v>
      </c>
      <c r="E1584" s="9" t="s">
        <v>1804</v>
      </c>
      <c r="F1584" t="s">
        <v>589</v>
      </c>
      <c r="G1584" t="s">
        <v>29</v>
      </c>
      <c r="H1584" t="s">
        <v>1184</v>
      </c>
    </row>
    <row r="1585" spans="1:8" outlineLevel="2" x14ac:dyDescent="0.3">
      <c r="A1585" s="6">
        <v>20</v>
      </c>
      <c r="B1585" t="s">
        <v>703</v>
      </c>
      <c r="C1585" s="9" t="s">
        <v>932</v>
      </c>
      <c r="D1585" s="9">
        <v>33</v>
      </c>
      <c r="E1585" s="9" t="s">
        <v>1804</v>
      </c>
      <c r="F1585" t="s">
        <v>390</v>
      </c>
      <c r="G1585" t="s">
        <v>391</v>
      </c>
      <c r="H1585" t="s">
        <v>1449</v>
      </c>
    </row>
    <row r="1586" spans="1:8" outlineLevel="2" x14ac:dyDescent="0.3">
      <c r="A1586" s="6">
        <v>20</v>
      </c>
      <c r="B1586" t="s">
        <v>703</v>
      </c>
      <c r="C1586" s="9" t="s">
        <v>932</v>
      </c>
      <c r="D1586" s="9">
        <v>21</v>
      </c>
      <c r="E1586" s="9" t="s">
        <v>1804</v>
      </c>
      <c r="F1586" t="s">
        <v>507</v>
      </c>
      <c r="G1586" t="s">
        <v>108</v>
      </c>
      <c r="H1586" t="s">
        <v>1154</v>
      </c>
    </row>
    <row r="1587" spans="1:8" outlineLevel="2" x14ac:dyDescent="0.3">
      <c r="A1587" s="6">
        <v>20</v>
      </c>
      <c r="B1587" t="s">
        <v>703</v>
      </c>
      <c r="C1587" s="9" t="s">
        <v>932</v>
      </c>
      <c r="D1587" s="9">
        <v>27</v>
      </c>
      <c r="E1587" s="9" t="s">
        <v>1804</v>
      </c>
      <c r="F1587" t="s">
        <v>40</v>
      </c>
      <c r="G1587" t="s">
        <v>41</v>
      </c>
      <c r="H1587" t="s">
        <v>1169</v>
      </c>
    </row>
    <row r="1588" spans="1:8" outlineLevel="2" x14ac:dyDescent="0.3">
      <c r="A1588" s="6">
        <v>20</v>
      </c>
      <c r="B1588" t="s">
        <v>703</v>
      </c>
      <c r="C1588" s="9" t="s">
        <v>932</v>
      </c>
      <c r="D1588" s="9">
        <v>24</v>
      </c>
      <c r="E1588" s="9" t="s">
        <v>1804</v>
      </c>
      <c r="F1588" t="s">
        <v>232</v>
      </c>
      <c r="G1588" t="s">
        <v>144</v>
      </c>
      <c r="H1588" t="s">
        <v>1171</v>
      </c>
    </row>
    <row r="1589" spans="1:8" outlineLevel="2" x14ac:dyDescent="0.3">
      <c r="A1589" s="6">
        <v>20</v>
      </c>
      <c r="B1589" t="s">
        <v>703</v>
      </c>
      <c r="C1589" s="9" t="s">
        <v>932</v>
      </c>
      <c r="D1589" s="9">
        <v>12</v>
      </c>
      <c r="E1589" s="9" t="s">
        <v>1804</v>
      </c>
      <c r="F1589" t="s">
        <v>233</v>
      </c>
      <c r="G1589" t="s">
        <v>112</v>
      </c>
      <c r="H1589" t="s">
        <v>1146</v>
      </c>
    </row>
    <row r="1590" spans="1:8" outlineLevel="2" x14ac:dyDescent="0.3">
      <c r="A1590" s="6">
        <v>20</v>
      </c>
      <c r="B1590" t="s">
        <v>703</v>
      </c>
      <c r="C1590" s="9" t="s">
        <v>932</v>
      </c>
      <c r="D1590" s="9">
        <v>18</v>
      </c>
      <c r="E1590" s="9" t="s">
        <v>1804</v>
      </c>
      <c r="F1590" t="s">
        <v>709</v>
      </c>
      <c r="G1590" t="s">
        <v>710</v>
      </c>
      <c r="H1590" t="s">
        <v>1067</v>
      </c>
    </row>
    <row r="1591" spans="1:8" outlineLevel="2" x14ac:dyDescent="0.3">
      <c r="A1591" s="6">
        <v>20</v>
      </c>
      <c r="B1591" t="s">
        <v>703</v>
      </c>
      <c r="C1591" s="9" t="s">
        <v>1807</v>
      </c>
      <c r="D1591" s="9">
        <v>1200</v>
      </c>
      <c r="E1591" s="9" t="s">
        <v>1808</v>
      </c>
      <c r="F1591" t="s">
        <v>240</v>
      </c>
      <c r="G1591" t="s">
        <v>241</v>
      </c>
      <c r="H1591" t="s">
        <v>1427</v>
      </c>
    </row>
    <row r="1592" spans="1:8" outlineLevel="2" x14ac:dyDescent="0.3">
      <c r="A1592" s="6">
        <v>20</v>
      </c>
      <c r="B1592" t="s">
        <v>703</v>
      </c>
      <c r="C1592" s="9" t="s">
        <v>1807</v>
      </c>
      <c r="D1592" s="9">
        <v>1200</v>
      </c>
      <c r="E1592" s="9" t="s">
        <v>1808</v>
      </c>
      <c r="F1592" t="s">
        <v>430</v>
      </c>
      <c r="G1592" t="s">
        <v>431</v>
      </c>
      <c r="H1592" t="s">
        <v>1428</v>
      </c>
    </row>
    <row r="1593" spans="1:8" outlineLevel="2" x14ac:dyDescent="0.3">
      <c r="A1593" s="6">
        <v>20</v>
      </c>
      <c r="B1593" t="s">
        <v>703</v>
      </c>
      <c r="C1593" s="9" t="s">
        <v>1807</v>
      </c>
      <c r="D1593" s="9">
        <v>260</v>
      </c>
      <c r="E1593" s="9" t="s">
        <v>1808</v>
      </c>
      <c r="F1593" t="s">
        <v>243</v>
      </c>
      <c r="G1593" t="s">
        <v>244</v>
      </c>
      <c r="H1593" t="s">
        <v>1429</v>
      </c>
    </row>
    <row r="1594" spans="1:8" outlineLevel="2" x14ac:dyDescent="0.3">
      <c r="A1594" s="6">
        <v>20</v>
      </c>
      <c r="B1594" t="s">
        <v>703</v>
      </c>
      <c r="C1594" s="9" t="s">
        <v>1807</v>
      </c>
      <c r="D1594" s="9">
        <v>600</v>
      </c>
      <c r="E1594" s="9" t="s">
        <v>1808</v>
      </c>
      <c r="F1594" t="s">
        <v>712</v>
      </c>
      <c r="G1594" t="s">
        <v>713</v>
      </c>
      <c r="H1594" t="s">
        <v>1430</v>
      </c>
    </row>
    <row r="1595" spans="1:8" outlineLevel="2" x14ac:dyDescent="0.3">
      <c r="A1595" s="6">
        <v>20</v>
      </c>
      <c r="B1595" t="s">
        <v>703</v>
      </c>
      <c r="C1595" s="9" t="s">
        <v>1807</v>
      </c>
      <c r="D1595" s="9">
        <v>240</v>
      </c>
      <c r="E1595" s="9" t="s">
        <v>1808</v>
      </c>
      <c r="F1595" t="s">
        <v>715</v>
      </c>
      <c r="G1595" t="s">
        <v>716</v>
      </c>
      <c r="H1595" t="s">
        <v>1431</v>
      </c>
    </row>
    <row r="1596" spans="1:8" outlineLevel="2" x14ac:dyDescent="0.3">
      <c r="A1596" s="6">
        <v>20</v>
      </c>
      <c r="B1596" t="s">
        <v>703</v>
      </c>
      <c r="C1596" s="9" t="s">
        <v>932</v>
      </c>
      <c r="D1596" s="9">
        <v>35</v>
      </c>
      <c r="E1596" s="9" t="s">
        <v>1804</v>
      </c>
      <c r="F1596" t="s">
        <v>46</v>
      </c>
      <c r="G1596" t="s">
        <v>47</v>
      </c>
      <c r="H1596" t="s">
        <v>1409</v>
      </c>
    </row>
    <row r="1597" spans="1:8" outlineLevel="2" x14ac:dyDescent="0.3">
      <c r="A1597" s="6">
        <v>20</v>
      </c>
      <c r="B1597" t="s">
        <v>703</v>
      </c>
      <c r="C1597" s="9" t="s">
        <v>932</v>
      </c>
      <c r="D1597" s="9">
        <v>18</v>
      </c>
      <c r="E1597" s="9" t="s">
        <v>1804</v>
      </c>
      <c r="F1597" t="s">
        <v>246</v>
      </c>
      <c r="G1597" t="s">
        <v>51</v>
      </c>
      <c r="H1597" t="s">
        <v>1596</v>
      </c>
    </row>
    <row r="1598" spans="1:8" outlineLevel="2" x14ac:dyDescent="0.3">
      <c r="A1598" s="6">
        <v>20</v>
      </c>
      <c r="B1598" t="s">
        <v>703</v>
      </c>
      <c r="C1598" s="9" t="s">
        <v>932</v>
      </c>
      <c r="D1598" s="9">
        <v>12</v>
      </c>
      <c r="E1598" s="9" t="s">
        <v>1804</v>
      </c>
      <c r="F1598" t="s">
        <v>719</v>
      </c>
      <c r="G1598" t="s">
        <v>51</v>
      </c>
      <c r="H1598" t="s">
        <v>1600</v>
      </c>
    </row>
    <row r="1599" spans="1:8" outlineLevel="2" x14ac:dyDescent="0.3">
      <c r="A1599" s="6">
        <v>20</v>
      </c>
      <c r="B1599" t="s">
        <v>703</v>
      </c>
      <c r="C1599" s="9" t="s">
        <v>932</v>
      </c>
      <c r="D1599" s="9">
        <v>31</v>
      </c>
      <c r="E1599" s="9" t="s">
        <v>1804</v>
      </c>
      <c r="F1599" t="s">
        <v>556</v>
      </c>
      <c r="G1599" t="s">
        <v>54</v>
      </c>
      <c r="H1599" t="s">
        <v>1601</v>
      </c>
    </row>
    <row r="1600" spans="1:8" outlineLevel="2" x14ac:dyDescent="0.3">
      <c r="A1600" s="6">
        <v>20</v>
      </c>
      <c r="B1600" t="s">
        <v>703</v>
      </c>
      <c r="C1600" s="9" t="s">
        <v>932</v>
      </c>
      <c r="D1600" s="9">
        <v>12</v>
      </c>
      <c r="E1600" s="9" t="s">
        <v>1804</v>
      </c>
      <c r="F1600" t="s">
        <v>53</v>
      </c>
      <c r="G1600" t="s">
        <v>54</v>
      </c>
      <c r="H1600" t="s">
        <v>1603</v>
      </c>
    </row>
    <row r="1601" spans="1:8" outlineLevel="2" x14ac:dyDescent="0.3">
      <c r="A1601" s="6">
        <v>20</v>
      </c>
      <c r="B1601" t="s">
        <v>703</v>
      </c>
      <c r="C1601" s="9" t="s">
        <v>932</v>
      </c>
      <c r="D1601" s="9">
        <v>12</v>
      </c>
      <c r="E1601" s="9" t="s">
        <v>1804</v>
      </c>
      <c r="F1601" t="s">
        <v>561</v>
      </c>
      <c r="G1601" t="s">
        <v>562</v>
      </c>
      <c r="H1601" t="s">
        <v>1622</v>
      </c>
    </row>
    <row r="1602" spans="1:8" outlineLevel="2" x14ac:dyDescent="0.3">
      <c r="A1602" s="6">
        <v>20</v>
      </c>
      <c r="B1602" t="s">
        <v>703</v>
      </c>
      <c r="C1602" s="9" t="s">
        <v>932</v>
      </c>
      <c r="D1602" s="9">
        <v>12</v>
      </c>
      <c r="E1602" s="9" t="s">
        <v>1804</v>
      </c>
      <c r="F1602" t="s">
        <v>56</v>
      </c>
      <c r="G1602" t="s">
        <v>57</v>
      </c>
      <c r="H1602" t="s">
        <v>1623</v>
      </c>
    </row>
    <row r="1603" spans="1:8" outlineLevel="2" x14ac:dyDescent="0.3">
      <c r="A1603" s="6">
        <v>20</v>
      </c>
      <c r="B1603" t="s">
        <v>703</v>
      </c>
      <c r="C1603" s="9" t="s">
        <v>932</v>
      </c>
      <c r="D1603" s="9">
        <v>12</v>
      </c>
      <c r="E1603" s="9" t="s">
        <v>1804</v>
      </c>
      <c r="F1603" t="s">
        <v>252</v>
      </c>
      <c r="G1603" t="s">
        <v>253</v>
      </c>
      <c r="H1603" t="s">
        <v>1635</v>
      </c>
    </row>
    <row r="1604" spans="1:8" outlineLevel="2" x14ac:dyDescent="0.3">
      <c r="A1604" s="6">
        <v>20</v>
      </c>
      <c r="B1604" t="s">
        <v>703</v>
      </c>
      <c r="C1604" s="9" t="s">
        <v>932</v>
      </c>
      <c r="D1604" s="9">
        <v>12</v>
      </c>
      <c r="E1604" s="9" t="s">
        <v>1804</v>
      </c>
      <c r="F1604" t="s">
        <v>720</v>
      </c>
      <c r="G1604" t="s">
        <v>520</v>
      </c>
      <c r="H1604" t="s">
        <v>1640</v>
      </c>
    </row>
    <row r="1605" spans="1:8" outlineLevel="2" x14ac:dyDescent="0.3">
      <c r="A1605" s="6">
        <v>20</v>
      </c>
      <c r="B1605" t="s">
        <v>703</v>
      </c>
      <c r="C1605" s="9" t="s">
        <v>932</v>
      </c>
      <c r="D1605" s="9">
        <v>12</v>
      </c>
      <c r="E1605" s="9" t="s">
        <v>1804</v>
      </c>
      <c r="F1605" t="s">
        <v>519</v>
      </c>
      <c r="G1605" t="s">
        <v>520</v>
      </c>
      <c r="H1605" t="s">
        <v>1641</v>
      </c>
    </row>
    <row r="1606" spans="1:8" outlineLevel="2" x14ac:dyDescent="0.3">
      <c r="A1606" s="6">
        <v>20</v>
      </c>
      <c r="B1606" t="s">
        <v>703</v>
      </c>
      <c r="C1606" s="9" t="s">
        <v>932</v>
      </c>
      <c r="D1606" s="9">
        <v>22</v>
      </c>
      <c r="E1606" s="9" t="s">
        <v>1804</v>
      </c>
      <c r="F1606" t="s">
        <v>259</v>
      </c>
      <c r="G1606" t="s">
        <v>260</v>
      </c>
      <c r="H1606" t="s">
        <v>986</v>
      </c>
    </row>
    <row r="1607" spans="1:8" outlineLevel="2" x14ac:dyDescent="0.3">
      <c r="A1607" s="6">
        <v>20</v>
      </c>
      <c r="B1607" t="s">
        <v>703</v>
      </c>
      <c r="C1607" s="9" t="s">
        <v>1807</v>
      </c>
      <c r="D1607" s="9">
        <v>1200</v>
      </c>
      <c r="E1607" s="9" t="s">
        <v>1808</v>
      </c>
      <c r="F1607" t="s">
        <v>721</v>
      </c>
      <c r="G1607" t="s">
        <v>722</v>
      </c>
      <c r="H1607" t="s">
        <v>995</v>
      </c>
    </row>
    <row r="1608" spans="1:8" outlineLevel="2" x14ac:dyDescent="0.3">
      <c r="A1608" s="6">
        <v>20</v>
      </c>
      <c r="B1608" t="s">
        <v>703</v>
      </c>
      <c r="C1608" s="9" t="s">
        <v>1807</v>
      </c>
      <c r="D1608" s="9">
        <v>1200</v>
      </c>
      <c r="E1608" s="9" t="s">
        <v>1808</v>
      </c>
      <c r="F1608" t="s">
        <v>272</v>
      </c>
      <c r="G1608" t="s">
        <v>273</v>
      </c>
      <c r="H1608" t="s">
        <v>997</v>
      </c>
    </row>
    <row r="1609" spans="1:8" outlineLevel="2" x14ac:dyDescent="0.3">
      <c r="A1609" s="6">
        <v>20</v>
      </c>
      <c r="B1609" t="s">
        <v>703</v>
      </c>
      <c r="C1609" s="9" t="s">
        <v>1807</v>
      </c>
      <c r="D1609" s="9">
        <v>1080</v>
      </c>
      <c r="E1609" s="9" t="s">
        <v>1808</v>
      </c>
      <c r="F1609" t="s">
        <v>634</v>
      </c>
      <c r="G1609" t="s">
        <v>635</v>
      </c>
      <c r="H1609" t="s">
        <v>1009</v>
      </c>
    </row>
    <row r="1610" spans="1:8" outlineLevel="2" x14ac:dyDescent="0.3">
      <c r="A1610" s="6">
        <v>20</v>
      </c>
      <c r="B1610" t="s">
        <v>703</v>
      </c>
      <c r="C1610" s="9" t="s">
        <v>1807</v>
      </c>
      <c r="D1610" s="9">
        <v>1350</v>
      </c>
      <c r="E1610" s="9" t="s">
        <v>1808</v>
      </c>
      <c r="F1610" t="s">
        <v>275</v>
      </c>
      <c r="G1610" t="s">
        <v>276</v>
      </c>
      <c r="H1610" t="s">
        <v>1012</v>
      </c>
    </row>
    <row r="1611" spans="1:8" outlineLevel="2" x14ac:dyDescent="0.3">
      <c r="A1611" s="6">
        <v>20</v>
      </c>
      <c r="B1611" t="s">
        <v>703</v>
      </c>
      <c r="C1611" s="9" t="s">
        <v>1807</v>
      </c>
      <c r="D1611" s="9">
        <v>1050</v>
      </c>
      <c r="E1611" s="9" t="s">
        <v>1808</v>
      </c>
      <c r="F1611" t="s">
        <v>291</v>
      </c>
      <c r="G1611" t="s">
        <v>292</v>
      </c>
      <c r="H1611" t="s">
        <v>1678</v>
      </c>
    </row>
    <row r="1612" spans="1:8" outlineLevel="2" x14ac:dyDescent="0.3">
      <c r="A1612" s="6">
        <v>20</v>
      </c>
      <c r="B1612" t="s">
        <v>703</v>
      </c>
      <c r="C1612" s="9" t="s">
        <v>1807</v>
      </c>
      <c r="D1612" s="9">
        <v>750</v>
      </c>
      <c r="E1612" s="9" t="s">
        <v>1808</v>
      </c>
      <c r="F1612" t="s">
        <v>456</v>
      </c>
      <c r="G1612" t="s">
        <v>292</v>
      </c>
      <c r="H1612" t="s">
        <v>1679</v>
      </c>
    </row>
    <row r="1613" spans="1:8" outlineLevel="2" x14ac:dyDescent="0.3">
      <c r="A1613" s="6">
        <v>20</v>
      </c>
      <c r="B1613" t="s">
        <v>703</v>
      </c>
      <c r="C1613" s="9" t="s">
        <v>932</v>
      </c>
      <c r="D1613" s="9">
        <v>12</v>
      </c>
      <c r="E1613" s="9" t="s">
        <v>1804</v>
      </c>
      <c r="F1613" t="s">
        <v>294</v>
      </c>
      <c r="G1613" t="s">
        <v>295</v>
      </c>
      <c r="H1613" t="s">
        <v>1680</v>
      </c>
    </row>
    <row r="1614" spans="1:8" outlineLevel="2" x14ac:dyDescent="0.3">
      <c r="A1614" s="6">
        <v>20</v>
      </c>
      <c r="B1614" t="s">
        <v>703</v>
      </c>
      <c r="C1614" s="9" t="s">
        <v>1807</v>
      </c>
      <c r="D1614" s="9">
        <v>320</v>
      </c>
      <c r="E1614" s="9" t="s">
        <v>1808</v>
      </c>
      <c r="F1614" t="s">
        <v>304</v>
      </c>
      <c r="G1614" t="s">
        <v>305</v>
      </c>
      <c r="H1614" t="s">
        <v>1785</v>
      </c>
    </row>
    <row r="1615" spans="1:8" outlineLevel="2" x14ac:dyDescent="0.3">
      <c r="A1615" s="6">
        <v>20</v>
      </c>
      <c r="B1615" t="s">
        <v>703</v>
      </c>
      <c r="C1615" s="9" t="s">
        <v>932</v>
      </c>
      <c r="D1615" s="9">
        <v>28</v>
      </c>
      <c r="E1615" s="9" t="s">
        <v>1804</v>
      </c>
      <c r="F1615" t="s">
        <v>395</v>
      </c>
      <c r="G1615" t="s">
        <v>396</v>
      </c>
      <c r="H1615" t="s">
        <v>1564</v>
      </c>
    </row>
    <row r="1616" spans="1:8" outlineLevel="2" x14ac:dyDescent="0.3">
      <c r="A1616" s="6">
        <v>20</v>
      </c>
      <c r="B1616" t="s">
        <v>703</v>
      </c>
      <c r="C1616" s="9" t="s">
        <v>963</v>
      </c>
      <c r="D1616" s="9">
        <v>60</v>
      </c>
      <c r="E1616" s="9" t="s">
        <v>1804</v>
      </c>
      <c r="F1616" t="s">
        <v>79</v>
      </c>
      <c r="G1616" t="s">
        <v>80</v>
      </c>
      <c r="H1616" t="s">
        <v>1416</v>
      </c>
    </row>
    <row r="1617" spans="1:8" outlineLevel="2" x14ac:dyDescent="0.3">
      <c r="A1617" s="6">
        <v>20</v>
      </c>
      <c r="B1617" t="s">
        <v>703</v>
      </c>
      <c r="C1617" s="9" t="s">
        <v>963</v>
      </c>
      <c r="D1617" s="9">
        <v>88</v>
      </c>
      <c r="E1617" s="9" t="s">
        <v>1804</v>
      </c>
      <c r="F1617" t="s">
        <v>84</v>
      </c>
      <c r="G1617" t="s">
        <v>85</v>
      </c>
      <c r="H1617" t="s">
        <v>1342</v>
      </c>
    </row>
    <row r="1618" spans="1:8" outlineLevel="2" x14ac:dyDescent="0.3">
      <c r="A1618" s="6">
        <v>20</v>
      </c>
      <c r="B1618" t="s">
        <v>703</v>
      </c>
      <c r="C1618" s="9" t="s">
        <v>963</v>
      </c>
      <c r="D1618" s="9">
        <v>60</v>
      </c>
      <c r="E1618" s="9" t="s">
        <v>1804</v>
      </c>
      <c r="F1618" t="s">
        <v>612</v>
      </c>
      <c r="G1618" t="s">
        <v>613</v>
      </c>
      <c r="H1618" t="s">
        <v>1343</v>
      </c>
    </row>
    <row r="1619" spans="1:8" outlineLevel="2" x14ac:dyDescent="0.3">
      <c r="A1619" s="6">
        <v>20</v>
      </c>
      <c r="B1619" t="s">
        <v>703</v>
      </c>
      <c r="C1619" s="9" t="s">
        <v>963</v>
      </c>
      <c r="D1619" s="9">
        <v>70</v>
      </c>
      <c r="E1619" s="9" t="s">
        <v>1804</v>
      </c>
      <c r="F1619" t="s">
        <v>325</v>
      </c>
      <c r="G1619" t="s">
        <v>196</v>
      </c>
      <c r="H1619" t="s">
        <v>1344</v>
      </c>
    </row>
    <row r="1620" spans="1:8" outlineLevel="2" x14ac:dyDescent="0.3">
      <c r="A1620" s="6">
        <v>20</v>
      </c>
      <c r="B1620" t="s">
        <v>703</v>
      </c>
      <c r="C1620" s="9" t="s">
        <v>963</v>
      </c>
      <c r="D1620" s="9">
        <v>70</v>
      </c>
      <c r="E1620" s="9" t="s">
        <v>1804</v>
      </c>
      <c r="F1620" t="s">
        <v>597</v>
      </c>
      <c r="G1620" t="s">
        <v>12</v>
      </c>
      <c r="H1620" t="s">
        <v>1348</v>
      </c>
    </row>
    <row r="1621" spans="1:8" outlineLevel="2" x14ac:dyDescent="0.3">
      <c r="A1621" s="6">
        <v>20</v>
      </c>
      <c r="B1621" t="s">
        <v>703</v>
      </c>
      <c r="C1621" s="9" t="s">
        <v>963</v>
      </c>
      <c r="D1621" s="9">
        <v>74</v>
      </c>
      <c r="E1621" s="9" t="s">
        <v>1804</v>
      </c>
      <c r="F1621" t="s">
        <v>87</v>
      </c>
      <c r="G1621" t="s">
        <v>88</v>
      </c>
      <c r="H1621" t="s">
        <v>1349</v>
      </c>
    </row>
    <row r="1622" spans="1:8" outlineLevel="2" x14ac:dyDescent="0.3">
      <c r="A1622" s="6">
        <v>20</v>
      </c>
      <c r="B1622" t="s">
        <v>703</v>
      </c>
      <c r="C1622" s="9" t="s">
        <v>963</v>
      </c>
      <c r="D1622" s="9">
        <v>73</v>
      </c>
      <c r="E1622" s="9" t="s">
        <v>1804</v>
      </c>
      <c r="F1622" t="s">
        <v>679</v>
      </c>
      <c r="G1622" t="s">
        <v>680</v>
      </c>
      <c r="H1622" t="s">
        <v>972</v>
      </c>
    </row>
    <row r="1623" spans="1:8" outlineLevel="2" x14ac:dyDescent="0.3">
      <c r="A1623" s="6">
        <v>20</v>
      </c>
      <c r="B1623" t="s">
        <v>703</v>
      </c>
      <c r="C1623" s="9" t="s">
        <v>963</v>
      </c>
      <c r="D1623" s="9">
        <v>73</v>
      </c>
      <c r="E1623" s="9" t="s">
        <v>1804</v>
      </c>
      <c r="F1623" t="s">
        <v>90</v>
      </c>
      <c r="G1623" t="s">
        <v>15</v>
      </c>
      <c r="H1623" t="s">
        <v>1351</v>
      </c>
    </row>
    <row r="1624" spans="1:8" outlineLevel="2" x14ac:dyDescent="0.3">
      <c r="A1624" s="6">
        <v>20</v>
      </c>
      <c r="B1624" t="s">
        <v>703</v>
      </c>
      <c r="C1624" s="9" t="s">
        <v>963</v>
      </c>
      <c r="D1624" s="9">
        <v>77</v>
      </c>
      <c r="E1624" s="9" t="s">
        <v>1804</v>
      </c>
      <c r="F1624" t="s">
        <v>91</v>
      </c>
      <c r="G1624" t="s">
        <v>92</v>
      </c>
      <c r="H1624" t="s">
        <v>1353</v>
      </c>
    </row>
    <row r="1625" spans="1:8" outlineLevel="2" x14ac:dyDescent="0.3">
      <c r="A1625" s="6">
        <v>20</v>
      </c>
      <c r="B1625" t="s">
        <v>703</v>
      </c>
      <c r="C1625" s="9" t="s">
        <v>963</v>
      </c>
      <c r="D1625" s="9">
        <v>77</v>
      </c>
      <c r="E1625" s="9" t="s">
        <v>1804</v>
      </c>
      <c r="F1625" t="s">
        <v>98</v>
      </c>
      <c r="G1625" t="s">
        <v>99</v>
      </c>
      <c r="H1625" t="s">
        <v>1357</v>
      </c>
    </row>
    <row r="1626" spans="1:8" outlineLevel="2" x14ac:dyDescent="0.3">
      <c r="A1626" s="6">
        <v>20</v>
      </c>
      <c r="B1626" t="s">
        <v>703</v>
      </c>
      <c r="C1626" s="9" t="s">
        <v>963</v>
      </c>
      <c r="D1626" s="9">
        <v>72</v>
      </c>
      <c r="E1626" s="9" t="s">
        <v>1804</v>
      </c>
      <c r="F1626" t="s">
        <v>101</v>
      </c>
      <c r="G1626" t="s">
        <v>102</v>
      </c>
      <c r="H1626" t="s">
        <v>1365</v>
      </c>
    </row>
    <row r="1627" spans="1:8" outlineLevel="2" x14ac:dyDescent="0.3">
      <c r="A1627" s="6">
        <v>20</v>
      </c>
      <c r="B1627" t="s">
        <v>703</v>
      </c>
      <c r="C1627" s="9" t="s">
        <v>963</v>
      </c>
      <c r="D1627" s="9">
        <v>60</v>
      </c>
      <c r="E1627" s="9" t="s">
        <v>1804</v>
      </c>
      <c r="F1627" t="s">
        <v>400</v>
      </c>
      <c r="G1627" t="s">
        <v>401</v>
      </c>
      <c r="H1627" t="s">
        <v>1185</v>
      </c>
    </row>
    <row r="1628" spans="1:8" outlineLevel="2" x14ac:dyDescent="0.3">
      <c r="A1628" s="6">
        <v>20</v>
      </c>
      <c r="B1628" t="s">
        <v>703</v>
      </c>
      <c r="C1628" s="9" t="s">
        <v>963</v>
      </c>
      <c r="D1628" s="9">
        <v>60</v>
      </c>
      <c r="E1628" s="9" t="s">
        <v>1804</v>
      </c>
      <c r="F1628" t="s">
        <v>167</v>
      </c>
      <c r="G1628" t="s">
        <v>168</v>
      </c>
      <c r="H1628" t="s">
        <v>1533</v>
      </c>
    </row>
    <row r="1629" spans="1:8" outlineLevel="2" x14ac:dyDescent="0.3">
      <c r="A1629" s="6">
        <v>20</v>
      </c>
      <c r="B1629" t="s">
        <v>703</v>
      </c>
      <c r="C1629" s="9" t="s">
        <v>963</v>
      </c>
      <c r="D1629" s="9">
        <v>60</v>
      </c>
      <c r="E1629" s="9" t="s">
        <v>1804</v>
      </c>
      <c r="F1629" t="s">
        <v>170</v>
      </c>
      <c r="G1629" t="s">
        <v>171</v>
      </c>
      <c r="H1629" t="s">
        <v>1535</v>
      </c>
    </row>
    <row r="1630" spans="1:8" outlineLevel="2" x14ac:dyDescent="0.3">
      <c r="A1630" s="6">
        <v>20</v>
      </c>
      <c r="B1630" t="s">
        <v>703</v>
      </c>
      <c r="C1630" s="9" t="s">
        <v>963</v>
      </c>
      <c r="D1630" s="9">
        <v>60</v>
      </c>
      <c r="E1630" s="9" t="s">
        <v>1804</v>
      </c>
      <c r="F1630" t="s">
        <v>725</v>
      </c>
      <c r="G1630" t="s">
        <v>504</v>
      </c>
      <c r="H1630" t="s">
        <v>1539</v>
      </c>
    </row>
    <row r="1631" spans="1:8" outlineLevel="2" x14ac:dyDescent="0.3">
      <c r="A1631" s="6">
        <v>20</v>
      </c>
      <c r="B1631" t="s">
        <v>703</v>
      </c>
      <c r="C1631" s="9" t="s">
        <v>963</v>
      </c>
      <c r="D1631" s="9">
        <v>60</v>
      </c>
      <c r="E1631" s="9" t="s">
        <v>1804</v>
      </c>
      <c r="F1631" t="s">
        <v>107</v>
      </c>
      <c r="G1631" t="s">
        <v>108</v>
      </c>
      <c r="H1631" t="s">
        <v>1140</v>
      </c>
    </row>
    <row r="1632" spans="1:8" outlineLevel="2" x14ac:dyDescent="0.3">
      <c r="A1632" s="6">
        <v>20</v>
      </c>
      <c r="B1632" t="s">
        <v>703</v>
      </c>
      <c r="C1632" s="9" t="s">
        <v>963</v>
      </c>
      <c r="D1632" s="9">
        <v>60</v>
      </c>
      <c r="E1632" s="9" t="s">
        <v>1804</v>
      </c>
      <c r="F1632" t="s">
        <v>110</v>
      </c>
      <c r="G1632" t="s">
        <v>41</v>
      </c>
      <c r="H1632" t="s">
        <v>1144</v>
      </c>
    </row>
    <row r="1633" spans="1:8" outlineLevel="2" x14ac:dyDescent="0.3">
      <c r="A1633" s="6">
        <v>20</v>
      </c>
      <c r="B1633" t="s">
        <v>703</v>
      </c>
      <c r="C1633" s="9" t="s">
        <v>963</v>
      </c>
      <c r="D1633" s="9">
        <v>60</v>
      </c>
      <c r="E1633" s="9" t="s">
        <v>1804</v>
      </c>
      <c r="F1633" t="s">
        <v>111</v>
      </c>
      <c r="G1633" t="s">
        <v>112</v>
      </c>
      <c r="H1633" t="s">
        <v>1146</v>
      </c>
    </row>
    <row r="1634" spans="1:8" outlineLevel="2" x14ac:dyDescent="0.3">
      <c r="A1634" s="6">
        <v>20</v>
      </c>
      <c r="B1634" t="s">
        <v>703</v>
      </c>
      <c r="C1634" s="9" t="s">
        <v>963</v>
      </c>
      <c r="D1634" s="9">
        <v>66</v>
      </c>
      <c r="E1634" s="9" t="s">
        <v>1804</v>
      </c>
      <c r="F1634" t="s">
        <v>353</v>
      </c>
      <c r="G1634" t="s">
        <v>354</v>
      </c>
      <c r="H1634" t="s">
        <v>1020</v>
      </c>
    </row>
    <row r="1635" spans="1:8" outlineLevel="2" x14ac:dyDescent="0.3">
      <c r="A1635" s="6">
        <v>20</v>
      </c>
      <c r="B1635" t="s">
        <v>703</v>
      </c>
      <c r="C1635" s="9" t="s">
        <v>963</v>
      </c>
      <c r="D1635" s="9">
        <v>64</v>
      </c>
      <c r="E1635" s="9" t="s">
        <v>1804</v>
      </c>
      <c r="F1635" t="s">
        <v>583</v>
      </c>
      <c r="G1635" t="s">
        <v>238</v>
      </c>
      <c r="H1635" t="s">
        <v>1122</v>
      </c>
    </row>
    <row r="1636" spans="1:8" outlineLevel="2" x14ac:dyDescent="0.3">
      <c r="A1636" s="6">
        <v>20</v>
      </c>
      <c r="B1636" t="s">
        <v>703</v>
      </c>
      <c r="C1636" s="9" t="s">
        <v>963</v>
      </c>
      <c r="D1636" s="9">
        <v>60</v>
      </c>
      <c r="E1636" s="9" t="s">
        <v>1804</v>
      </c>
      <c r="F1636" t="s">
        <v>117</v>
      </c>
      <c r="G1636" t="s">
        <v>118</v>
      </c>
      <c r="H1636" t="s">
        <v>1419</v>
      </c>
    </row>
    <row r="1637" spans="1:8" outlineLevel="2" x14ac:dyDescent="0.3">
      <c r="A1637" s="6">
        <v>20</v>
      </c>
      <c r="B1637" t="s">
        <v>703</v>
      </c>
      <c r="C1637" s="9" t="s">
        <v>963</v>
      </c>
      <c r="D1637" s="9">
        <v>60</v>
      </c>
      <c r="E1637" s="9" t="s">
        <v>1804</v>
      </c>
      <c r="F1637" t="s">
        <v>120</v>
      </c>
      <c r="G1637" t="s">
        <v>51</v>
      </c>
      <c r="H1637" t="s">
        <v>1590</v>
      </c>
    </row>
    <row r="1638" spans="1:8" outlineLevel="2" x14ac:dyDescent="0.3">
      <c r="A1638" s="6">
        <v>20</v>
      </c>
      <c r="B1638" t="s">
        <v>703</v>
      </c>
      <c r="C1638" s="9" t="s">
        <v>963</v>
      </c>
      <c r="D1638" s="9">
        <v>68</v>
      </c>
      <c r="E1638" s="9" t="s">
        <v>1804</v>
      </c>
      <c r="F1638" t="s">
        <v>468</v>
      </c>
      <c r="G1638" t="s">
        <v>54</v>
      </c>
      <c r="H1638" t="s">
        <v>1682</v>
      </c>
    </row>
    <row r="1639" spans="1:8" outlineLevel="2" x14ac:dyDescent="0.3">
      <c r="A1639" s="6">
        <v>20</v>
      </c>
      <c r="B1639" t="s">
        <v>703</v>
      </c>
      <c r="C1639" s="9" t="s">
        <v>963</v>
      </c>
      <c r="D1639" s="9">
        <v>64</v>
      </c>
      <c r="E1639" s="9" t="s">
        <v>1804</v>
      </c>
      <c r="F1639" t="s">
        <v>475</v>
      </c>
      <c r="G1639" t="s">
        <v>476</v>
      </c>
      <c r="H1639" t="s">
        <v>1127</v>
      </c>
    </row>
    <row r="1640" spans="1:8" outlineLevel="2" x14ac:dyDescent="0.3">
      <c r="A1640" s="6">
        <v>20</v>
      </c>
      <c r="B1640" t="s">
        <v>703</v>
      </c>
      <c r="C1640" s="9" t="s">
        <v>963</v>
      </c>
      <c r="D1640" s="9">
        <v>60</v>
      </c>
      <c r="E1640" s="9" t="s">
        <v>1804</v>
      </c>
      <c r="F1640" t="s">
        <v>367</v>
      </c>
      <c r="G1640" t="s">
        <v>368</v>
      </c>
      <c r="H1640" t="s">
        <v>1688</v>
      </c>
    </row>
    <row r="1641" spans="1:8" outlineLevel="2" x14ac:dyDescent="0.3">
      <c r="A1641" s="6">
        <v>20</v>
      </c>
      <c r="B1641" t="s">
        <v>703</v>
      </c>
      <c r="C1641" s="9" t="s">
        <v>963</v>
      </c>
      <c r="D1641" s="9">
        <v>64</v>
      </c>
      <c r="E1641" s="9" t="s">
        <v>1804</v>
      </c>
      <c r="F1641" t="s">
        <v>125</v>
      </c>
      <c r="G1641" t="s">
        <v>126</v>
      </c>
      <c r="H1641" t="s">
        <v>1581</v>
      </c>
    </row>
    <row r="1642" spans="1:8" outlineLevel="2" x14ac:dyDescent="0.3">
      <c r="A1642" s="6">
        <v>20</v>
      </c>
      <c r="B1642" t="s">
        <v>703</v>
      </c>
      <c r="C1642" s="9" t="s">
        <v>963</v>
      </c>
      <c r="D1642" s="9">
        <v>60</v>
      </c>
      <c r="E1642" s="9" t="s">
        <v>1804</v>
      </c>
      <c r="F1642" t="s">
        <v>486</v>
      </c>
      <c r="G1642" t="s">
        <v>487</v>
      </c>
      <c r="H1642" t="s">
        <v>1196</v>
      </c>
    </row>
    <row r="1643" spans="1:8" outlineLevel="2" x14ac:dyDescent="0.3">
      <c r="A1643" s="6">
        <v>20</v>
      </c>
      <c r="B1643" t="s">
        <v>703</v>
      </c>
      <c r="C1643" s="9" t="s">
        <v>963</v>
      </c>
      <c r="D1643" s="9">
        <v>60</v>
      </c>
      <c r="E1643" s="9" t="s">
        <v>1804</v>
      </c>
      <c r="F1643" t="s">
        <v>128</v>
      </c>
      <c r="G1643" t="s">
        <v>129</v>
      </c>
      <c r="H1643" t="s">
        <v>1582</v>
      </c>
    </row>
    <row r="1644" spans="1:8" outlineLevel="2" x14ac:dyDescent="0.3">
      <c r="A1644" s="6">
        <v>20</v>
      </c>
      <c r="B1644" t="s">
        <v>703</v>
      </c>
      <c r="C1644" s="9" t="s">
        <v>963</v>
      </c>
      <c r="D1644" s="9">
        <v>60</v>
      </c>
      <c r="E1644" s="9" t="s">
        <v>1804</v>
      </c>
      <c r="F1644" t="s">
        <v>690</v>
      </c>
      <c r="G1644" t="s">
        <v>691</v>
      </c>
      <c r="H1644" t="s">
        <v>1585</v>
      </c>
    </row>
    <row r="1645" spans="1:8" outlineLevel="1" x14ac:dyDescent="0.3">
      <c r="A1645" s="16" t="s">
        <v>2206</v>
      </c>
      <c r="H1645">
        <f>SUBTOTAL(3,H1567:H1644)</f>
        <v>78</v>
      </c>
    </row>
    <row r="1646" spans="1:8" outlineLevel="2" x14ac:dyDescent="0.3">
      <c r="A1646" s="6">
        <v>21</v>
      </c>
      <c r="B1646" t="s">
        <v>698</v>
      </c>
      <c r="C1646" s="9" t="s">
        <v>932</v>
      </c>
      <c r="D1646" s="9">
        <v>37</v>
      </c>
      <c r="E1646" s="9" t="s">
        <v>1804</v>
      </c>
      <c r="F1646" t="s">
        <v>198</v>
      </c>
      <c r="G1646" t="s">
        <v>196</v>
      </c>
      <c r="H1646" t="s">
        <v>1267</v>
      </c>
    </row>
    <row r="1647" spans="1:8" outlineLevel="2" x14ac:dyDescent="0.3">
      <c r="A1647" s="6">
        <v>21</v>
      </c>
      <c r="B1647" t="s">
        <v>698</v>
      </c>
      <c r="C1647" s="9" t="s">
        <v>932</v>
      </c>
      <c r="D1647" s="9">
        <v>42</v>
      </c>
      <c r="E1647" s="9" t="s">
        <v>1804</v>
      </c>
      <c r="F1647" t="s">
        <v>14</v>
      </c>
      <c r="G1647" t="s">
        <v>15</v>
      </c>
      <c r="H1647" t="s">
        <v>1290</v>
      </c>
    </row>
    <row r="1648" spans="1:8" outlineLevel="2" x14ac:dyDescent="0.3">
      <c r="A1648" s="6">
        <v>21</v>
      </c>
      <c r="B1648" t="s">
        <v>698</v>
      </c>
      <c r="C1648" s="9" t="s">
        <v>1266</v>
      </c>
      <c r="D1648" s="9">
        <v>12</v>
      </c>
      <c r="E1648" s="9" t="s">
        <v>1804</v>
      </c>
      <c r="F1648" t="s">
        <v>17</v>
      </c>
      <c r="G1648" t="s">
        <v>15</v>
      </c>
      <c r="H1648" t="s">
        <v>1291</v>
      </c>
    </row>
    <row r="1649" spans="1:8" outlineLevel="2" x14ac:dyDescent="0.3">
      <c r="A1649" s="6">
        <v>21</v>
      </c>
      <c r="B1649" t="s">
        <v>698</v>
      </c>
      <c r="C1649" s="9" t="s">
        <v>932</v>
      </c>
      <c r="D1649" s="9">
        <v>12</v>
      </c>
      <c r="E1649" s="9" t="s">
        <v>1804</v>
      </c>
      <c r="F1649" t="s">
        <v>483</v>
      </c>
      <c r="G1649" t="s">
        <v>29</v>
      </c>
      <c r="H1649" t="s">
        <v>1182</v>
      </c>
    </row>
    <row r="1650" spans="1:8" outlineLevel="2" x14ac:dyDescent="0.3">
      <c r="A1650" s="6">
        <v>21</v>
      </c>
      <c r="B1650" t="s">
        <v>698</v>
      </c>
      <c r="C1650" s="9" t="s">
        <v>932</v>
      </c>
      <c r="D1650" s="9">
        <v>12</v>
      </c>
      <c r="E1650" s="9" t="s">
        <v>1804</v>
      </c>
      <c r="F1650" t="s">
        <v>589</v>
      </c>
      <c r="G1650" t="s">
        <v>29</v>
      </c>
      <c r="H1650" t="s">
        <v>1184</v>
      </c>
    </row>
    <row r="1651" spans="1:8" outlineLevel="2" x14ac:dyDescent="0.3">
      <c r="A1651" s="6">
        <v>21</v>
      </c>
      <c r="B1651" t="s">
        <v>698</v>
      </c>
      <c r="C1651" s="9" t="s">
        <v>932</v>
      </c>
      <c r="D1651" s="9">
        <v>24</v>
      </c>
      <c r="E1651" s="9" t="s">
        <v>1804</v>
      </c>
      <c r="F1651" t="s">
        <v>31</v>
      </c>
      <c r="G1651" t="s">
        <v>32</v>
      </c>
      <c r="H1651" t="s">
        <v>1483</v>
      </c>
    </row>
    <row r="1652" spans="1:8" outlineLevel="2" x14ac:dyDescent="0.3">
      <c r="A1652" s="6">
        <v>21</v>
      </c>
      <c r="B1652" t="s">
        <v>698</v>
      </c>
      <c r="C1652" s="9" t="s">
        <v>932</v>
      </c>
      <c r="D1652" s="9">
        <v>21</v>
      </c>
      <c r="E1652" s="9" t="s">
        <v>1804</v>
      </c>
      <c r="F1652" t="s">
        <v>34</v>
      </c>
      <c r="G1652" t="s">
        <v>32</v>
      </c>
      <c r="H1652" t="s">
        <v>1485</v>
      </c>
    </row>
    <row r="1653" spans="1:8" outlineLevel="2" x14ac:dyDescent="0.3">
      <c r="A1653" s="6">
        <v>21</v>
      </c>
      <c r="B1653" t="s">
        <v>698</v>
      </c>
      <c r="C1653" s="9" t="s">
        <v>932</v>
      </c>
      <c r="D1653" s="9">
        <v>21</v>
      </c>
      <c r="E1653" s="9" t="s">
        <v>1804</v>
      </c>
      <c r="F1653" t="s">
        <v>36</v>
      </c>
      <c r="G1653" t="s">
        <v>32</v>
      </c>
      <c r="H1653" t="s">
        <v>1492</v>
      </c>
    </row>
    <row r="1654" spans="1:8" outlineLevel="2" x14ac:dyDescent="0.3">
      <c r="A1654" s="6">
        <v>21</v>
      </c>
      <c r="B1654" t="s">
        <v>698</v>
      </c>
      <c r="C1654" s="9" t="s">
        <v>932</v>
      </c>
      <c r="D1654" s="9">
        <v>18</v>
      </c>
      <c r="E1654" s="9" t="s">
        <v>1804</v>
      </c>
      <c r="F1654" t="s">
        <v>227</v>
      </c>
      <c r="G1654" t="s">
        <v>41</v>
      </c>
      <c r="H1654" t="s">
        <v>1167</v>
      </c>
    </row>
    <row r="1655" spans="1:8" outlineLevel="2" x14ac:dyDescent="0.3">
      <c r="A1655" s="6">
        <v>21</v>
      </c>
      <c r="B1655" t="s">
        <v>698</v>
      </c>
      <c r="C1655" s="9" t="s">
        <v>932</v>
      </c>
      <c r="D1655" s="9">
        <v>12</v>
      </c>
      <c r="E1655" s="9" t="s">
        <v>1804</v>
      </c>
      <c r="F1655" t="s">
        <v>233</v>
      </c>
      <c r="G1655" t="s">
        <v>112</v>
      </c>
      <c r="H1655" t="s">
        <v>1146</v>
      </c>
    </row>
    <row r="1656" spans="1:8" outlineLevel="2" x14ac:dyDescent="0.3">
      <c r="A1656" s="6">
        <v>21</v>
      </c>
      <c r="B1656" t="s">
        <v>698</v>
      </c>
      <c r="C1656" s="9" t="s">
        <v>932</v>
      </c>
      <c r="D1656" s="9">
        <v>12</v>
      </c>
      <c r="E1656" s="9" t="s">
        <v>1804</v>
      </c>
      <c r="F1656" t="s">
        <v>234</v>
      </c>
      <c r="G1656" t="s">
        <v>235</v>
      </c>
      <c r="H1656" t="s">
        <v>1047</v>
      </c>
    </row>
    <row r="1657" spans="1:8" outlineLevel="2" x14ac:dyDescent="0.3">
      <c r="A1657" s="6">
        <v>21</v>
      </c>
      <c r="B1657" t="s">
        <v>698</v>
      </c>
      <c r="C1657" s="9" t="s">
        <v>932</v>
      </c>
      <c r="D1657" s="9">
        <v>15</v>
      </c>
      <c r="E1657" s="9" t="s">
        <v>1804</v>
      </c>
      <c r="F1657" t="s">
        <v>43</v>
      </c>
      <c r="G1657" t="s">
        <v>44</v>
      </c>
      <c r="H1657" t="s">
        <v>1050</v>
      </c>
    </row>
    <row r="1658" spans="1:8" outlineLevel="2" x14ac:dyDescent="0.3">
      <c r="A1658" s="6">
        <v>21</v>
      </c>
      <c r="B1658" t="s">
        <v>698</v>
      </c>
      <c r="C1658" s="9" t="s">
        <v>932</v>
      </c>
      <c r="D1658" s="9">
        <v>18</v>
      </c>
      <c r="E1658" s="9" t="s">
        <v>1804</v>
      </c>
      <c r="F1658" t="s">
        <v>246</v>
      </c>
      <c r="G1658" t="s">
        <v>51</v>
      </c>
      <c r="H1658" t="s">
        <v>1596</v>
      </c>
    </row>
    <row r="1659" spans="1:8" outlineLevel="2" x14ac:dyDescent="0.3">
      <c r="A1659" s="6">
        <v>21</v>
      </c>
      <c r="B1659" t="s">
        <v>698</v>
      </c>
      <c r="C1659" s="9" t="s">
        <v>976</v>
      </c>
      <c r="D1659" s="9">
        <v>60</v>
      </c>
      <c r="E1659" s="9" t="s">
        <v>1804</v>
      </c>
      <c r="F1659" t="s">
        <v>700</v>
      </c>
      <c r="G1659" t="s">
        <v>701</v>
      </c>
      <c r="H1659" t="s">
        <v>1202</v>
      </c>
    </row>
    <row r="1660" spans="1:8" outlineLevel="2" x14ac:dyDescent="0.3">
      <c r="A1660" s="6">
        <v>21</v>
      </c>
      <c r="B1660" t="s">
        <v>698</v>
      </c>
      <c r="C1660" s="9" t="s">
        <v>932</v>
      </c>
      <c r="D1660" s="9">
        <v>15</v>
      </c>
      <c r="E1660" s="9" t="s">
        <v>1804</v>
      </c>
      <c r="F1660" t="s">
        <v>59</v>
      </c>
      <c r="G1660" t="s">
        <v>60</v>
      </c>
      <c r="H1660" t="s">
        <v>1078</v>
      </c>
    </row>
    <row r="1661" spans="1:8" outlineLevel="2" x14ac:dyDescent="0.3">
      <c r="A1661" s="6">
        <v>21</v>
      </c>
      <c r="B1661" t="s">
        <v>698</v>
      </c>
      <c r="C1661" s="9" t="s">
        <v>932</v>
      </c>
      <c r="D1661" s="9">
        <v>18</v>
      </c>
      <c r="E1661" s="9" t="s">
        <v>1804</v>
      </c>
      <c r="F1661" t="s">
        <v>65</v>
      </c>
      <c r="G1661" t="s">
        <v>66</v>
      </c>
      <c r="H1661" t="s">
        <v>1791</v>
      </c>
    </row>
    <row r="1662" spans="1:8" outlineLevel="2" x14ac:dyDescent="0.3">
      <c r="A1662" s="6">
        <v>21</v>
      </c>
      <c r="B1662" t="s">
        <v>698</v>
      </c>
      <c r="C1662" s="9" t="s">
        <v>1807</v>
      </c>
      <c r="D1662" s="9">
        <v>420</v>
      </c>
      <c r="E1662" s="9" t="s">
        <v>1808</v>
      </c>
      <c r="F1662" t="s">
        <v>68</v>
      </c>
      <c r="G1662" t="s">
        <v>69</v>
      </c>
      <c r="H1662" t="s">
        <v>1551</v>
      </c>
    </row>
    <row r="1663" spans="1:8" outlineLevel="2" x14ac:dyDescent="0.3">
      <c r="A1663" s="6">
        <v>21</v>
      </c>
      <c r="B1663" t="s">
        <v>698</v>
      </c>
      <c r="C1663" s="9" t="s">
        <v>1807</v>
      </c>
      <c r="D1663" s="9">
        <v>198</v>
      </c>
      <c r="E1663" s="9" t="s">
        <v>1808</v>
      </c>
      <c r="F1663" t="s">
        <v>484</v>
      </c>
      <c r="G1663" t="s">
        <v>69</v>
      </c>
      <c r="H1663" t="s">
        <v>1556</v>
      </c>
    </row>
    <row r="1664" spans="1:8" outlineLevel="2" x14ac:dyDescent="0.3">
      <c r="A1664" s="6">
        <v>21</v>
      </c>
      <c r="B1664" t="s">
        <v>698</v>
      </c>
      <c r="C1664" s="9" t="s">
        <v>1807</v>
      </c>
      <c r="D1664" s="9">
        <v>770</v>
      </c>
      <c r="E1664" s="9" t="s">
        <v>1808</v>
      </c>
      <c r="F1664" t="s">
        <v>71</v>
      </c>
      <c r="G1664" t="s">
        <v>72</v>
      </c>
      <c r="H1664" t="s">
        <v>1565</v>
      </c>
    </row>
    <row r="1665" spans="1:8" outlineLevel="2" x14ac:dyDescent="0.3">
      <c r="A1665" s="6">
        <v>21</v>
      </c>
      <c r="B1665" t="s">
        <v>698</v>
      </c>
      <c r="C1665" s="9" t="s">
        <v>1807</v>
      </c>
      <c r="D1665" s="9">
        <v>518</v>
      </c>
      <c r="E1665" s="9" t="s">
        <v>1808</v>
      </c>
      <c r="F1665" t="s">
        <v>74</v>
      </c>
      <c r="G1665" t="s">
        <v>72</v>
      </c>
      <c r="H1665" t="s">
        <v>1566</v>
      </c>
    </row>
    <row r="1666" spans="1:8" outlineLevel="2" x14ac:dyDescent="0.3">
      <c r="A1666" s="6">
        <v>21</v>
      </c>
      <c r="B1666" t="s">
        <v>698</v>
      </c>
      <c r="C1666" s="9" t="s">
        <v>1807</v>
      </c>
      <c r="D1666" s="9">
        <v>364</v>
      </c>
      <c r="E1666" s="9" t="s">
        <v>1808</v>
      </c>
      <c r="F1666" t="s">
        <v>702</v>
      </c>
      <c r="G1666" t="s">
        <v>72</v>
      </c>
      <c r="H1666" t="s">
        <v>1570</v>
      </c>
    </row>
    <row r="1667" spans="1:8" outlineLevel="2" x14ac:dyDescent="0.3">
      <c r="A1667" s="6">
        <v>21</v>
      </c>
      <c r="B1667" t="s">
        <v>698</v>
      </c>
      <c r="C1667" s="9" t="s">
        <v>963</v>
      </c>
      <c r="D1667" s="9">
        <v>74</v>
      </c>
      <c r="E1667" s="9" t="s">
        <v>1804</v>
      </c>
      <c r="F1667" t="s">
        <v>458</v>
      </c>
      <c r="G1667" t="s">
        <v>459</v>
      </c>
      <c r="H1667" t="s">
        <v>1347</v>
      </c>
    </row>
    <row r="1668" spans="1:8" outlineLevel="2" x14ac:dyDescent="0.3">
      <c r="A1668" s="6">
        <v>21</v>
      </c>
      <c r="B1668" t="s">
        <v>698</v>
      </c>
      <c r="C1668" s="9" t="s">
        <v>963</v>
      </c>
      <c r="D1668" s="9">
        <v>74</v>
      </c>
      <c r="E1668" s="9" t="s">
        <v>1804</v>
      </c>
      <c r="F1668" t="s">
        <v>87</v>
      </c>
      <c r="G1668" t="s">
        <v>88</v>
      </c>
      <c r="H1668" t="s">
        <v>1349</v>
      </c>
    </row>
    <row r="1669" spans="1:8" outlineLevel="2" x14ac:dyDescent="0.3">
      <c r="A1669" s="6">
        <v>21</v>
      </c>
      <c r="B1669" t="s">
        <v>698</v>
      </c>
      <c r="C1669" s="9" t="s">
        <v>963</v>
      </c>
      <c r="D1669" s="9">
        <v>77</v>
      </c>
      <c r="E1669" s="9" t="s">
        <v>1804</v>
      </c>
      <c r="F1669" t="s">
        <v>328</v>
      </c>
      <c r="G1669" t="s">
        <v>329</v>
      </c>
      <c r="H1669" t="s">
        <v>1350</v>
      </c>
    </row>
    <row r="1670" spans="1:8" outlineLevel="2" x14ac:dyDescent="0.3">
      <c r="A1670" s="6">
        <v>21</v>
      </c>
      <c r="B1670" t="s">
        <v>698</v>
      </c>
      <c r="C1670" s="9" t="s">
        <v>963</v>
      </c>
      <c r="D1670" s="9">
        <v>73</v>
      </c>
      <c r="E1670" s="9" t="s">
        <v>1804</v>
      </c>
      <c r="F1670" t="s">
        <v>90</v>
      </c>
      <c r="G1670" t="s">
        <v>15</v>
      </c>
      <c r="H1670" t="s">
        <v>1351</v>
      </c>
    </row>
    <row r="1671" spans="1:8" outlineLevel="2" x14ac:dyDescent="0.3">
      <c r="A1671" s="6">
        <v>21</v>
      </c>
      <c r="B1671" t="s">
        <v>698</v>
      </c>
      <c r="C1671" s="9" t="s">
        <v>963</v>
      </c>
      <c r="D1671" s="9">
        <v>77</v>
      </c>
      <c r="E1671" s="9" t="s">
        <v>1804</v>
      </c>
      <c r="F1671" t="s">
        <v>91</v>
      </c>
      <c r="G1671" t="s">
        <v>92</v>
      </c>
      <c r="H1671" t="s">
        <v>1353</v>
      </c>
    </row>
    <row r="1672" spans="1:8" outlineLevel="2" x14ac:dyDescent="0.3">
      <c r="A1672" s="6">
        <v>21</v>
      </c>
      <c r="B1672" t="s">
        <v>698</v>
      </c>
      <c r="C1672" s="9" t="s">
        <v>963</v>
      </c>
      <c r="D1672" s="9">
        <v>76</v>
      </c>
      <c r="E1672" s="9" t="s">
        <v>1804</v>
      </c>
      <c r="F1672" t="s">
        <v>94</v>
      </c>
      <c r="G1672" t="s">
        <v>95</v>
      </c>
      <c r="H1672" t="s">
        <v>1355</v>
      </c>
    </row>
    <row r="1673" spans="1:8" outlineLevel="2" x14ac:dyDescent="0.3">
      <c r="A1673" s="6">
        <v>21</v>
      </c>
      <c r="B1673" t="s">
        <v>698</v>
      </c>
      <c r="C1673" s="9" t="s">
        <v>963</v>
      </c>
      <c r="D1673" s="9">
        <v>77</v>
      </c>
      <c r="E1673" s="9" t="s">
        <v>1804</v>
      </c>
      <c r="F1673" t="s">
        <v>98</v>
      </c>
      <c r="G1673" t="s">
        <v>99</v>
      </c>
      <c r="H1673" t="s">
        <v>1357</v>
      </c>
    </row>
    <row r="1674" spans="1:8" outlineLevel="2" x14ac:dyDescent="0.3">
      <c r="A1674" s="6">
        <v>21</v>
      </c>
      <c r="B1674" t="s">
        <v>698</v>
      </c>
      <c r="C1674" s="9" t="s">
        <v>963</v>
      </c>
      <c r="D1674" s="9">
        <v>72</v>
      </c>
      <c r="E1674" s="9" t="s">
        <v>1804</v>
      </c>
      <c r="F1674" t="s">
        <v>101</v>
      </c>
      <c r="G1674" t="s">
        <v>102</v>
      </c>
      <c r="H1674" t="s">
        <v>1365</v>
      </c>
    </row>
    <row r="1675" spans="1:8" outlineLevel="2" x14ac:dyDescent="0.3">
      <c r="A1675" s="6">
        <v>21</v>
      </c>
      <c r="B1675" t="s">
        <v>698</v>
      </c>
      <c r="C1675" s="9" t="s">
        <v>963</v>
      </c>
      <c r="D1675" s="9">
        <v>60</v>
      </c>
      <c r="E1675" s="9" t="s">
        <v>1804</v>
      </c>
      <c r="F1675" t="s">
        <v>342</v>
      </c>
      <c r="G1675" t="s">
        <v>343</v>
      </c>
      <c r="H1675" t="s">
        <v>1191</v>
      </c>
    </row>
    <row r="1676" spans="1:8" outlineLevel="2" x14ac:dyDescent="0.3">
      <c r="A1676" s="6">
        <v>21</v>
      </c>
      <c r="B1676" t="s">
        <v>698</v>
      </c>
      <c r="C1676" s="9" t="s">
        <v>963</v>
      </c>
      <c r="D1676" s="9">
        <v>60</v>
      </c>
      <c r="E1676" s="9" t="s">
        <v>1804</v>
      </c>
      <c r="F1676" t="s">
        <v>170</v>
      </c>
      <c r="G1676" t="s">
        <v>171</v>
      </c>
      <c r="H1676" t="s">
        <v>1535</v>
      </c>
    </row>
    <row r="1677" spans="1:8" outlineLevel="2" x14ac:dyDescent="0.3">
      <c r="A1677" s="6">
        <v>21</v>
      </c>
      <c r="B1677" t="s">
        <v>698</v>
      </c>
      <c r="C1677" s="9" t="s">
        <v>963</v>
      </c>
      <c r="D1677" s="9">
        <v>63</v>
      </c>
      <c r="E1677" s="9" t="s">
        <v>1804</v>
      </c>
      <c r="F1677" t="s">
        <v>404</v>
      </c>
      <c r="G1677" t="s">
        <v>115</v>
      </c>
      <c r="H1677" t="s">
        <v>1536</v>
      </c>
    </row>
    <row r="1678" spans="1:8" outlineLevel="2" x14ac:dyDescent="0.3">
      <c r="A1678" s="6">
        <v>21</v>
      </c>
      <c r="B1678" t="s">
        <v>698</v>
      </c>
      <c r="C1678" s="9" t="s">
        <v>963</v>
      </c>
      <c r="D1678" s="9">
        <v>63</v>
      </c>
      <c r="E1678" s="9" t="s">
        <v>1804</v>
      </c>
      <c r="F1678" t="s">
        <v>349</v>
      </c>
      <c r="G1678" t="s">
        <v>32</v>
      </c>
      <c r="H1678" t="s">
        <v>1537</v>
      </c>
    </row>
    <row r="1679" spans="1:8" outlineLevel="2" x14ac:dyDescent="0.3">
      <c r="A1679" s="6">
        <v>21</v>
      </c>
      <c r="B1679" t="s">
        <v>698</v>
      </c>
      <c r="C1679" s="9" t="s">
        <v>963</v>
      </c>
      <c r="D1679" s="9">
        <v>60</v>
      </c>
      <c r="E1679" s="9" t="s">
        <v>1804</v>
      </c>
      <c r="F1679" t="s">
        <v>106</v>
      </c>
      <c r="G1679" t="s">
        <v>32</v>
      </c>
      <c r="H1679" t="s">
        <v>1537</v>
      </c>
    </row>
    <row r="1680" spans="1:8" outlineLevel="2" x14ac:dyDescent="0.3">
      <c r="A1680" s="6">
        <v>21</v>
      </c>
      <c r="B1680" t="s">
        <v>698</v>
      </c>
      <c r="C1680" s="9" t="s">
        <v>963</v>
      </c>
      <c r="D1680" s="9">
        <v>60</v>
      </c>
      <c r="E1680" s="9" t="s">
        <v>1804</v>
      </c>
      <c r="F1680" t="s">
        <v>107</v>
      </c>
      <c r="G1680" t="s">
        <v>108</v>
      </c>
      <c r="H1680" t="s">
        <v>1140</v>
      </c>
    </row>
    <row r="1681" spans="1:8" outlineLevel="2" x14ac:dyDescent="0.3">
      <c r="A1681" s="6">
        <v>21</v>
      </c>
      <c r="B1681" t="s">
        <v>698</v>
      </c>
      <c r="C1681" s="9" t="s">
        <v>963</v>
      </c>
      <c r="D1681" s="9">
        <v>60</v>
      </c>
      <c r="E1681" s="9" t="s">
        <v>1804</v>
      </c>
      <c r="F1681" t="s">
        <v>110</v>
      </c>
      <c r="G1681" t="s">
        <v>41</v>
      </c>
      <c r="H1681" t="s">
        <v>1144</v>
      </c>
    </row>
    <row r="1682" spans="1:8" outlineLevel="2" x14ac:dyDescent="0.3">
      <c r="A1682" s="6">
        <v>21</v>
      </c>
      <c r="B1682" t="s">
        <v>698</v>
      </c>
      <c r="C1682" s="9" t="s">
        <v>963</v>
      </c>
      <c r="D1682" s="9">
        <v>60</v>
      </c>
      <c r="E1682" s="9" t="s">
        <v>1804</v>
      </c>
      <c r="F1682" t="s">
        <v>114</v>
      </c>
      <c r="G1682" t="s">
        <v>115</v>
      </c>
      <c r="H1682" t="s">
        <v>1121</v>
      </c>
    </row>
    <row r="1683" spans="1:8" outlineLevel="2" x14ac:dyDescent="0.3">
      <c r="A1683" s="6">
        <v>21</v>
      </c>
      <c r="B1683" t="s">
        <v>698</v>
      </c>
      <c r="C1683" s="9" t="s">
        <v>963</v>
      </c>
      <c r="D1683" s="9">
        <v>60</v>
      </c>
      <c r="E1683" s="9" t="s">
        <v>1804</v>
      </c>
      <c r="F1683" t="s">
        <v>120</v>
      </c>
      <c r="G1683" t="s">
        <v>51</v>
      </c>
      <c r="H1683" t="s">
        <v>1590</v>
      </c>
    </row>
    <row r="1684" spans="1:8" outlineLevel="2" x14ac:dyDescent="0.3">
      <c r="A1684" s="6">
        <v>21</v>
      </c>
      <c r="B1684" t="s">
        <v>698</v>
      </c>
      <c r="C1684" s="9" t="s">
        <v>963</v>
      </c>
      <c r="D1684" s="9">
        <v>60</v>
      </c>
      <c r="E1684" s="9" t="s">
        <v>1804</v>
      </c>
      <c r="F1684" t="s">
        <v>361</v>
      </c>
      <c r="G1684" t="s">
        <v>283</v>
      </c>
      <c r="H1684" t="s">
        <v>1793</v>
      </c>
    </row>
    <row r="1685" spans="1:8" outlineLevel="2" x14ac:dyDescent="0.3">
      <c r="A1685" s="6">
        <v>21</v>
      </c>
      <c r="B1685" t="s">
        <v>698</v>
      </c>
      <c r="C1685" s="9" t="s">
        <v>963</v>
      </c>
      <c r="D1685" s="9">
        <v>64</v>
      </c>
      <c r="E1685" s="9" t="s">
        <v>1804</v>
      </c>
      <c r="F1685" t="s">
        <v>362</v>
      </c>
      <c r="G1685" t="s">
        <v>298</v>
      </c>
      <c r="H1685" t="s">
        <v>1794</v>
      </c>
    </row>
    <row r="1686" spans="1:8" outlineLevel="2" x14ac:dyDescent="0.3">
      <c r="A1686" s="6">
        <v>21</v>
      </c>
      <c r="B1686" t="s">
        <v>698</v>
      </c>
      <c r="C1686" s="9" t="s">
        <v>963</v>
      </c>
      <c r="D1686" s="9">
        <v>60</v>
      </c>
      <c r="E1686" s="9" t="s">
        <v>1804</v>
      </c>
      <c r="F1686" t="s">
        <v>365</v>
      </c>
      <c r="G1686" t="s">
        <v>301</v>
      </c>
      <c r="H1686" t="s">
        <v>1796</v>
      </c>
    </row>
    <row r="1687" spans="1:8" outlineLevel="2" x14ac:dyDescent="0.3">
      <c r="A1687" s="6">
        <v>21</v>
      </c>
      <c r="B1687" t="s">
        <v>698</v>
      </c>
      <c r="C1687" s="9" t="s">
        <v>963</v>
      </c>
      <c r="D1687" s="9">
        <v>60</v>
      </c>
      <c r="E1687" s="9" t="s">
        <v>1804</v>
      </c>
      <c r="F1687" t="s">
        <v>367</v>
      </c>
      <c r="G1687" t="s">
        <v>368</v>
      </c>
      <c r="H1687" t="s">
        <v>1688</v>
      </c>
    </row>
    <row r="1688" spans="1:8" outlineLevel="2" x14ac:dyDescent="0.3">
      <c r="A1688" s="6">
        <v>21</v>
      </c>
      <c r="B1688" t="s">
        <v>698</v>
      </c>
      <c r="C1688" s="9" t="s">
        <v>963</v>
      </c>
      <c r="D1688" s="9">
        <v>60</v>
      </c>
      <c r="E1688" s="9" t="s">
        <v>1804</v>
      </c>
      <c r="F1688" t="s">
        <v>371</v>
      </c>
      <c r="G1688" t="s">
        <v>66</v>
      </c>
      <c r="H1688" t="s">
        <v>1799</v>
      </c>
    </row>
    <row r="1689" spans="1:8" outlineLevel="2" x14ac:dyDescent="0.3">
      <c r="A1689" s="6">
        <v>21</v>
      </c>
      <c r="B1689" t="s">
        <v>698</v>
      </c>
      <c r="C1689" s="9" t="s">
        <v>963</v>
      </c>
      <c r="D1689" s="9">
        <v>60</v>
      </c>
      <c r="E1689" s="9" t="s">
        <v>1804</v>
      </c>
      <c r="F1689" t="s">
        <v>128</v>
      </c>
      <c r="G1689" t="s">
        <v>129</v>
      </c>
      <c r="H1689" t="s">
        <v>1582</v>
      </c>
    </row>
    <row r="1690" spans="1:8" outlineLevel="2" x14ac:dyDescent="0.3">
      <c r="A1690" s="6">
        <v>21</v>
      </c>
      <c r="B1690" t="s">
        <v>698</v>
      </c>
      <c r="C1690" s="9" t="s">
        <v>963</v>
      </c>
      <c r="D1690" s="9">
        <v>60</v>
      </c>
      <c r="E1690" s="9" t="s">
        <v>1804</v>
      </c>
      <c r="F1690" t="s">
        <v>131</v>
      </c>
      <c r="G1690" t="s">
        <v>376</v>
      </c>
      <c r="H1690" t="s">
        <v>1818</v>
      </c>
    </row>
    <row r="1691" spans="1:8" outlineLevel="1" x14ac:dyDescent="0.3">
      <c r="A1691" s="16" t="s">
        <v>2207</v>
      </c>
      <c r="H1691">
        <f>SUBTOTAL(3,H1646:H1690)</f>
        <v>45</v>
      </c>
    </row>
    <row r="1692" spans="1:8" outlineLevel="2" x14ac:dyDescent="0.3">
      <c r="A1692" s="6">
        <v>22</v>
      </c>
      <c r="B1692" t="s">
        <v>694</v>
      </c>
      <c r="C1692" s="9" t="s">
        <v>932</v>
      </c>
      <c r="D1692" s="9">
        <v>32</v>
      </c>
      <c r="E1692" s="9" t="s">
        <v>1804</v>
      </c>
      <c r="F1692" t="s">
        <v>619</v>
      </c>
      <c r="G1692" t="s">
        <v>620</v>
      </c>
      <c r="H1692" t="s">
        <v>1326</v>
      </c>
    </row>
    <row r="1693" spans="1:8" outlineLevel="2" x14ac:dyDescent="0.3">
      <c r="A1693" s="6">
        <v>22</v>
      </c>
      <c r="B1693" t="s">
        <v>694</v>
      </c>
      <c r="C1693" s="9" t="s">
        <v>932</v>
      </c>
      <c r="D1693" s="9">
        <v>37</v>
      </c>
      <c r="E1693" s="9" t="s">
        <v>1804</v>
      </c>
      <c r="F1693" t="s">
        <v>198</v>
      </c>
      <c r="G1693" t="s">
        <v>196</v>
      </c>
      <c r="H1693" t="s">
        <v>1267</v>
      </c>
    </row>
    <row r="1694" spans="1:8" outlineLevel="2" x14ac:dyDescent="0.3">
      <c r="A1694" s="6">
        <v>22</v>
      </c>
      <c r="B1694" t="s">
        <v>694</v>
      </c>
      <c r="C1694" s="9" t="s">
        <v>1807</v>
      </c>
      <c r="D1694" s="9">
        <v>1300</v>
      </c>
      <c r="E1694" s="9" t="s">
        <v>1808</v>
      </c>
      <c r="F1694" t="s">
        <v>199</v>
      </c>
      <c r="G1694" t="s">
        <v>200</v>
      </c>
      <c r="H1694" t="s">
        <v>1271</v>
      </c>
    </row>
    <row r="1695" spans="1:8" outlineLevel="2" x14ac:dyDescent="0.3">
      <c r="A1695" s="6">
        <v>22</v>
      </c>
      <c r="B1695" t="s">
        <v>694</v>
      </c>
      <c r="C1695" s="9" t="s">
        <v>932</v>
      </c>
      <c r="D1695" s="9">
        <v>42</v>
      </c>
      <c r="E1695" s="9" t="s">
        <v>1804</v>
      </c>
      <c r="F1695" t="s">
        <v>14</v>
      </c>
      <c r="G1695" t="s">
        <v>15</v>
      </c>
      <c r="H1695" t="s">
        <v>1290</v>
      </c>
    </row>
    <row r="1696" spans="1:8" outlineLevel="2" x14ac:dyDescent="0.3">
      <c r="A1696" s="6">
        <v>22</v>
      </c>
      <c r="B1696" t="s">
        <v>694</v>
      </c>
      <c r="C1696" s="9" t="s">
        <v>932</v>
      </c>
      <c r="D1696" s="9">
        <v>12</v>
      </c>
      <c r="E1696" s="9" t="s">
        <v>1804</v>
      </c>
      <c r="F1696" t="s">
        <v>204</v>
      </c>
      <c r="G1696" t="s">
        <v>15</v>
      </c>
      <c r="H1696" t="s">
        <v>1292</v>
      </c>
    </row>
    <row r="1697" spans="1:8" outlineLevel="2" x14ac:dyDescent="0.3">
      <c r="A1697" s="6">
        <v>22</v>
      </c>
      <c r="B1697" t="s">
        <v>694</v>
      </c>
      <c r="C1697" s="9" t="s">
        <v>1807</v>
      </c>
      <c r="D1697" s="9">
        <v>1350</v>
      </c>
      <c r="E1697" s="9" t="s">
        <v>1808</v>
      </c>
      <c r="F1697" t="s">
        <v>413</v>
      </c>
      <c r="G1697" t="s">
        <v>414</v>
      </c>
      <c r="H1697" t="s">
        <v>1332</v>
      </c>
    </row>
    <row r="1698" spans="1:8" outlineLevel="2" x14ac:dyDescent="0.3">
      <c r="A1698" s="6">
        <v>22</v>
      </c>
      <c r="B1698" t="s">
        <v>694</v>
      </c>
      <c r="C1698" s="9" t="s">
        <v>1807</v>
      </c>
      <c r="D1698" s="9">
        <v>120</v>
      </c>
      <c r="E1698" s="9" t="s">
        <v>1808</v>
      </c>
      <c r="F1698" t="s">
        <v>25</v>
      </c>
      <c r="G1698" t="s">
        <v>26</v>
      </c>
      <c r="H1698" t="s">
        <v>1333</v>
      </c>
    </row>
    <row r="1699" spans="1:8" outlineLevel="2" x14ac:dyDescent="0.3">
      <c r="A1699" s="6">
        <v>22</v>
      </c>
      <c r="B1699" t="s">
        <v>694</v>
      </c>
      <c r="C1699" s="9" t="s">
        <v>932</v>
      </c>
      <c r="D1699" s="9">
        <v>18</v>
      </c>
      <c r="E1699" s="9" t="s">
        <v>1804</v>
      </c>
      <c r="F1699" t="s">
        <v>418</v>
      </c>
      <c r="G1699" t="s">
        <v>168</v>
      </c>
      <c r="H1699" t="s">
        <v>1440</v>
      </c>
    </row>
    <row r="1700" spans="1:8" outlineLevel="2" x14ac:dyDescent="0.3">
      <c r="A1700" s="6">
        <v>22</v>
      </c>
      <c r="B1700" t="s">
        <v>694</v>
      </c>
      <c r="C1700" s="9" t="s">
        <v>932</v>
      </c>
      <c r="D1700" s="9">
        <v>24</v>
      </c>
      <c r="E1700" s="9" t="s">
        <v>1804</v>
      </c>
      <c r="F1700" t="s">
        <v>695</v>
      </c>
      <c r="G1700" t="s">
        <v>168</v>
      </c>
      <c r="H1700" t="s">
        <v>1441</v>
      </c>
    </row>
    <row r="1701" spans="1:8" outlineLevel="2" x14ac:dyDescent="0.3">
      <c r="A1701" s="6">
        <v>22</v>
      </c>
      <c r="B1701" t="s">
        <v>694</v>
      </c>
      <c r="C1701" s="9" t="s">
        <v>932</v>
      </c>
      <c r="D1701" s="9">
        <v>18</v>
      </c>
      <c r="E1701" s="9" t="s">
        <v>1804</v>
      </c>
      <c r="F1701" t="s">
        <v>217</v>
      </c>
      <c r="G1701" t="s">
        <v>168</v>
      </c>
      <c r="H1701" t="s">
        <v>1442</v>
      </c>
    </row>
    <row r="1702" spans="1:8" outlineLevel="2" x14ac:dyDescent="0.3">
      <c r="A1702" s="6">
        <v>22</v>
      </c>
      <c r="B1702" t="s">
        <v>694</v>
      </c>
      <c r="C1702" s="9" t="s">
        <v>932</v>
      </c>
      <c r="D1702" s="9">
        <v>27</v>
      </c>
      <c r="E1702" s="9" t="s">
        <v>1804</v>
      </c>
      <c r="F1702" t="s">
        <v>218</v>
      </c>
      <c r="G1702" t="s">
        <v>168</v>
      </c>
      <c r="H1702" t="s">
        <v>1443</v>
      </c>
    </row>
    <row r="1703" spans="1:8" outlineLevel="2" x14ac:dyDescent="0.3">
      <c r="A1703" s="6">
        <v>22</v>
      </c>
      <c r="B1703" t="s">
        <v>694</v>
      </c>
      <c r="C1703" s="9" t="s">
        <v>932</v>
      </c>
      <c r="D1703" s="9">
        <v>16</v>
      </c>
      <c r="E1703" s="9" t="s">
        <v>1804</v>
      </c>
      <c r="F1703" t="s">
        <v>502</v>
      </c>
      <c r="G1703" t="s">
        <v>168</v>
      </c>
      <c r="H1703" t="s">
        <v>1444</v>
      </c>
    </row>
    <row r="1704" spans="1:8" outlineLevel="2" x14ac:dyDescent="0.3">
      <c r="A1704" s="6">
        <v>22</v>
      </c>
      <c r="B1704" t="s">
        <v>694</v>
      </c>
      <c r="C1704" s="9" t="s">
        <v>932</v>
      </c>
      <c r="D1704" s="9">
        <v>18</v>
      </c>
      <c r="E1704" s="9" t="s">
        <v>1804</v>
      </c>
      <c r="F1704" t="s">
        <v>389</v>
      </c>
      <c r="G1704" t="s">
        <v>171</v>
      </c>
      <c r="H1704" t="s">
        <v>1447</v>
      </c>
    </row>
    <row r="1705" spans="1:8" outlineLevel="2" x14ac:dyDescent="0.3">
      <c r="A1705" s="6">
        <v>22</v>
      </c>
      <c r="B1705" t="s">
        <v>694</v>
      </c>
      <c r="C1705" s="9" t="s">
        <v>932</v>
      </c>
      <c r="D1705" s="9">
        <v>33</v>
      </c>
      <c r="E1705" s="9" t="s">
        <v>1804</v>
      </c>
      <c r="F1705" t="s">
        <v>390</v>
      </c>
      <c r="G1705" t="s">
        <v>391</v>
      </c>
      <c r="H1705" t="s">
        <v>1449</v>
      </c>
    </row>
    <row r="1706" spans="1:8" outlineLevel="2" x14ac:dyDescent="0.3">
      <c r="A1706" s="6">
        <v>22</v>
      </c>
      <c r="B1706" t="s">
        <v>694</v>
      </c>
      <c r="C1706" s="9" t="s">
        <v>932</v>
      </c>
      <c r="D1706" s="9">
        <v>35</v>
      </c>
      <c r="E1706" s="9" t="s">
        <v>1804</v>
      </c>
      <c r="F1706" t="s">
        <v>421</v>
      </c>
      <c r="G1706" t="s">
        <v>115</v>
      </c>
      <c r="H1706" t="s">
        <v>1464</v>
      </c>
    </row>
    <row r="1707" spans="1:8" outlineLevel="2" x14ac:dyDescent="0.3">
      <c r="A1707" s="6">
        <v>22</v>
      </c>
      <c r="B1707" t="s">
        <v>694</v>
      </c>
      <c r="C1707" s="9" t="s">
        <v>932</v>
      </c>
      <c r="D1707" s="9">
        <v>32</v>
      </c>
      <c r="E1707" s="9" t="s">
        <v>1804</v>
      </c>
      <c r="F1707" t="s">
        <v>219</v>
      </c>
      <c r="G1707" t="s">
        <v>32</v>
      </c>
      <c r="H1707" t="s">
        <v>1484</v>
      </c>
    </row>
    <row r="1708" spans="1:8" outlineLevel="2" x14ac:dyDescent="0.3">
      <c r="A1708" s="6">
        <v>22</v>
      </c>
      <c r="B1708" t="s">
        <v>694</v>
      </c>
      <c r="C1708" s="9" t="s">
        <v>932</v>
      </c>
      <c r="D1708" s="9">
        <v>36</v>
      </c>
      <c r="E1708" s="9" t="s">
        <v>1804</v>
      </c>
      <c r="F1708" t="s">
        <v>541</v>
      </c>
      <c r="G1708" t="s">
        <v>32</v>
      </c>
      <c r="H1708" t="s">
        <v>1486</v>
      </c>
    </row>
    <row r="1709" spans="1:8" outlineLevel="2" x14ac:dyDescent="0.3">
      <c r="A1709" s="6">
        <v>22</v>
      </c>
      <c r="B1709" t="s">
        <v>694</v>
      </c>
      <c r="C1709" s="9" t="s">
        <v>932</v>
      </c>
      <c r="D1709" s="9">
        <v>30</v>
      </c>
      <c r="E1709" s="9" t="s">
        <v>1804</v>
      </c>
      <c r="F1709" t="s">
        <v>35</v>
      </c>
      <c r="G1709" t="s">
        <v>32</v>
      </c>
      <c r="H1709" t="s">
        <v>1489</v>
      </c>
    </row>
    <row r="1710" spans="1:8" outlineLevel="2" x14ac:dyDescent="0.3">
      <c r="A1710" s="6">
        <v>22</v>
      </c>
      <c r="B1710" t="s">
        <v>694</v>
      </c>
      <c r="C1710" s="9" t="s">
        <v>932</v>
      </c>
      <c r="D1710" s="9">
        <v>32</v>
      </c>
      <c r="E1710" s="9" t="s">
        <v>1804</v>
      </c>
      <c r="F1710" t="s">
        <v>221</v>
      </c>
      <c r="G1710" t="s">
        <v>32</v>
      </c>
      <c r="H1710" t="s">
        <v>1490</v>
      </c>
    </row>
    <row r="1711" spans="1:8" outlineLevel="2" x14ac:dyDescent="0.3">
      <c r="A1711" s="6">
        <v>22</v>
      </c>
      <c r="B1711" t="s">
        <v>694</v>
      </c>
      <c r="C1711" s="9" t="s">
        <v>932</v>
      </c>
      <c r="D1711" s="9">
        <v>34</v>
      </c>
      <c r="E1711" s="9" t="s">
        <v>1804</v>
      </c>
      <c r="F1711" t="s">
        <v>422</v>
      </c>
      <c r="G1711" t="s">
        <v>423</v>
      </c>
      <c r="H1711" t="s">
        <v>1149</v>
      </c>
    </row>
    <row r="1712" spans="1:8" outlineLevel="2" x14ac:dyDescent="0.3">
      <c r="A1712" s="6">
        <v>22</v>
      </c>
      <c r="B1712" t="s">
        <v>694</v>
      </c>
      <c r="C1712" s="9" t="s">
        <v>932</v>
      </c>
      <c r="D1712" s="9">
        <v>12</v>
      </c>
      <c r="E1712" s="9" t="s">
        <v>1804</v>
      </c>
      <c r="F1712" t="s">
        <v>153</v>
      </c>
      <c r="G1712" t="s">
        <v>108</v>
      </c>
      <c r="H1712" t="s">
        <v>1150</v>
      </c>
    </row>
    <row r="1713" spans="1:8" outlineLevel="2" x14ac:dyDescent="0.3">
      <c r="A1713" s="6">
        <v>22</v>
      </c>
      <c r="B1713" t="s">
        <v>694</v>
      </c>
      <c r="C1713" s="9" t="s">
        <v>932</v>
      </c>
      <c r="D1713" s="9">
        <v>18</v>
      </c>
      <c r="E1713" s="9" t="s">
        <v>1804</v>
      </c>
      <c r="F1713" t="s">
        <v>154</v>
      </c>
      <c r="G1713" t="s">
        <v>108</v>
      </c>
      <c r="H1713" t="s">
        <v>1151</v>
      </c>
    </row>
    <row r="1714" spans="1:8" outlineLevel="2" x14ac:dyDescent="0.3">
      <c r="A1714" s="6">
        <v>22</v>
      </c>
      <c r="B1714" t="s">
        <v>694</v>
      </c>
      <c r="C1714" s="9" t="s">
        <v>932</v>
      </c>
      <c r="D1714" s="9">
        <v>21</v>
      </c>
      <c r="E1714" s="9" t="s">
        <v>1804</v>
      </c>
      <c r="F1714" t="s">
        <v>507</v>
      </c>
      <c r="G1714" t="s">
        <v>108</v>
      </c>
      <c r="H1714" t="s">
        <v>1154</v>
      </c>
    </row>
    <row r="1715" spans="1:8" outlineLevel="2" x14ac:dyDescent="0.3">
      <c r="A1715" s="6">
        <v>22</v>
      </c>
      <c r="B1715" t="s">
        <v>694</v>
      </c>
      <c r="C1715" s="9" t="s">
        <v>976</v>
      </c>
      <c r="D1715" s="9">
        <v>60</v>
      </c>
      <c r="E1715" s="9" t="s">
        <v>1804</v>
      </c>
      <c r="F1715" t="s">
        <v>696</v>
      </c>
      <c r="G1715" t="s">
        <v>108</v>
      </c>
      <c r="H1715" t="s">
        <v>1145</v>
      </c>
    </row>
    <row r="1716" spans="1:8" outlineLevel="2" x14ac:dyDescent="0.3">
      <c r="A1716" s="6">
        <v>22</v>
      </c>
      <c r="B1716" t="s">
        <v>694</v>
      </c>
      <c r="C1716" s="9" t="s">
        <v>932</v>
      </c>
      <c r="D1716" s="9">
        <v>18</v>
      </c>
      <c r="E1716" s="9" t="s">
        <v>1804</v>
      </c>
      <c r="F1716" t="s">
        <v>697</v>
      </c>
      <c r="G1716" t="s">
        <v>108</v>
      </c>
      <c r="H1716" t="s">
        <v>1155</v>
      </c>
    </row>
    <row r="1717" spans="1:8" outlineLevel="2" x14ac:dyDescent="0.3">
      <c r="A1717" s="6">
        <v>22</v>
      </c>
      <c r="B1717" t="s">
        <v>694</v>
      </c>
      <c r="C1717" s="9" t="s">
        <v>932</v>
      </c>
      <c r="D1717" s="9">
        <v>24</v>
      </c>
      <c r="E1717" s="9" t="s">
        <v>1804</v>
      </c>
      <c r="F1717" t="s">
        <v>393</v>
      </c>
      <c r="G1717" t="s">
        <v>108</v>
      </c>
      <c r="H1717" t="s">
        <v>1156</v>
      </c>
    </row>
    <row r="1718" spans="1:8" outlineLevel="2" x14ac:dyDescent="0.3">
      <c r="A1718" s="6">
        <v>22</v>
      </c>
      <c r="B1718" t="s">
        <v>694</v>
      </c>
      <c r="C1718" s="9" t="s">
        <v>932</v>
      </c>
      <c r="D1718" s="9">
        <v>27</v>
      </c>
      <c r="E1718" s="9" t="s">
        <v>1804</v>
      </c>
      <c r="F1718" t="s">
        <v>37</v>
      </c>
      <c r="G1718" t="s">
        <v>38</v>
      </c>
      <c r="H1718" t="s">
        <v>1164</v>
      </c>
    </row>
    <row r="1719" spans="1:8" outlineLevel="2" x14ac:dyDescent="0.3">
      <c r="A1719" s="6">
        <v>22</v>
      </c>
      <c r="B1719" t="s">
        <v>694</v>
      </c>
      <c r="C1719" s="9" t="s">
        <v>932</v>
      </c>
      <c r="D1719" s="9">
        <v>12</v>
      </c>
      <c r="E1719" s="9" t="s">
        <v>1804</v>
      </c>
      <c r="F1719" t="s">
        <v>226</v>
      </c>
      <c r="G1719" t="s">
        <v>38</v>
      </c>
      <c r="H1719" t="s">
        <v>1165</v>
      </c>
    </row>
    <row r="1720" spans="1:8" outlineLevel="2" x14ac:dyDescent="0.3">
      <c r="A1720" s="6">
        <v>22</v>
      </c>
      <c r="B1720" t="s">
        <v>694</v>
      </c>
      <c r="C1720" s="9" t="s">
        <v>932</v>
      </c>
      <c r="D1720" s="9">
        <v>18</v>
      </c>
      <c r="E1720" s="9" t="s">
        <v>1804</v>
      </c>
      <c r="F1720" t="s">
        <v>227</v>
      </c>
      <c r="G1720" t="s">
        <v>41</v>
      </c>
      <c r="H1720" t="s">
        <v>1167</v>
      </c>
    </row>
    <row r="1721" spans="1:8" outlineLevel="2" x14ac:dyDescent="0.3">
      <c r="A1721" s="6">
        <v>22</v>
      </c>
      <c r="B1721" t="s">
        <v>694</v>
      </c>
      <c r="C1721" s="9" t="s">
        <v>932</v>
      </c>
      <c r="D1721" s="9">
        <v>12</v>
      </c>
      <c r="E1721" s="9" t="s">
        <v>1804</v>
      </c>
      <c r="F1721" t="s">
        <v>228</v>
      </c>
      <c r="G1721" t="s">
        <v>41</v>
      </c>
      <c r="H1721" t="s">
        <v>1168</v>
      </c>
    </row>
    <row r="1722" spans="1:8" outlineLevel="2" x14ac:dyDescent="0.3">
      <c r="A1722" s="6">
        <v>22</v>
      </c>
      <c r="B1722" t="s">
        <v>694</v>
      </c>
      <c r="C1722" s="9" t="s">
        <v>932</v>
      </c>
      <c r="D1722" s="9">
        <v>27</v>
      </c>
      <c r="E1722" s="9" t="s">
        <v>1804</v>
      </c>
      <c r="F1722" t="s">
        <v>40</v>
      </c>
      <c r="G1722" t="s">
        <v>41</v>
      </c>
      <c r="H1722" t="s">
        <v>1169</v>
      </c>
    </row>
    <row r="1723" spans="1:8" outlineLevel="2" x14ac:dyDescent="0.3">
      <c r="A1723" s="6">
        <v>22</v>
      </c>
      <c r="B1723" t="s">
        <v>694</v>
      </c>
      <c r="C1723" s="9" t="s">
        <v>932</v>
      </c>
      <c r="D1723" s="9">
        <v>18</v>
      </c>
      <c r="E1723" s="9" t="s">
        <v>1804</v>
      </c>
      <c r="F1723" t="s">
        <v>229</v>
      </c>
      <c r="G1723" t="s">
        <v>230</v>
      </c>
      <c r="H1723" t="s">
        <v>1170</v>
      </c>
    </row>
    <row r="1724" spans="1:8" outlineLevel="2" x14ac:dyDescent="0.3">
      <c r="A1724" s="6">
        <v>22</v>
      </c>
      <c r="B1724" t="s">
        <v>694</v>
      </c>
      <c r="C1724" s="9" t="s">
        <v>932</v>
      </c>
      <c r="D1724" s="9">
        <v>24</v>
      </c>
      <c r="E1724" s="9" t="s">
        <v>1804</v>
      </c>
      <c r="F1724" t="s">
        <v>232</v>
      </c>
      <c r="G1724" t="s">
        <v>144</v>
      </c>
      <c r="H1724" t="s">
        <v>1171</v>
      </c>
    </row>
    <row r="1725" spans="1:8" outlineLevel="2" x14ac:dyDescent="0.3">
      <c r="A1725" s="6">
        <v>22</v>
      </c>
      <c r="B1725" t="s">
        <v>694</v>
      </c>
      <c r="C1725" s="9" t="s">
        <v>932</v>
      </c>
      <c r="D1725" s="9">
        <v>18</v>
      </c>
      <c r="E1725" s="9" t="s">
        <v>1804</v>
      </c>
      <c r="F1725" t="s">
        <v>246</v>
      </c>
      <c r="G1725" t="s">
        <v>51</v>
      </c>
      <c r="H1725" t="s">
        <v>1596</v>
      </c>
    </row>
    <row r="1726" spans="1:8" outlineLevel="2" x14ac:dyDescent="0.3">
      <c r="A1726" s="6">
        <v>22</v>
      </c>
      <c r="B1726" t="s">
        <v>694</v>
      </c>
      <c r="C1726" s="9" t="s">
        <v>932</v>
      </c>
      <c r="D1726" s="9">
        <v>12</v>
      </c>
      <c r="E1726" s="9" t="s">
        <v>1804</v>
      </c>
      <c r="F1726" t="s">
        <v>561</v>
      </c>
      <c r="G1726" t="s">
        <v>562</v>
      </c>
      <c r="H1726" t="s">
        <v>1622</v>
      </c>
    </row>
    <row r="1727" spans="1:8" outlineLevel="2" x14ac:dyDescent="0.3">
      <c r="A1727" s="6">
        <v>22</v>
      </c>
      <c r="B1727" t="s">
        <v>694</v>
      </c>
      <c r="C1727" s="9" t="s">
        <v>932</v>
      </c>
      <c r="D1727" s="9">
        <v>17</v>
      </c>
      <c r="E1727" s="9" t="s">
        <v>1804</v>
      </c>
      <c r="F1727" t="s">
        <v>307</v>
      </c>
      <c r="G1727" t="s">
        <v>122</v>
      </c>
      <c r="H1727" t="s">
        <v>1098</v>
      </c>
    </row>
    <row r="1728" spans="1:8" outlineLevel="2" x14ac:dyDescent="0.3">
      <c r="A1728" s="6">
        <v>22</v>
      </c>
      <c r="B1728" t="s">
        <v>694</v>
      </c>
      <c r="C1728" s="9" t="s">
        <v>932</v>
      </c>
      <c r="D1728" s="9">
        <v>18</v>
      </c>
      <c r="E1728" s="9" t="s">
        <v>1804</v>
      </c>
      <c r="F1728" t="s">
        <v>65</v>
      </c>
      <c r="G1728" t="s">
        <v>66</v>
      </c>
      <c r="H1728" t="s">
        <v>1791</v>
      </c>
    </row>
    <row r="1729" spans="1:8" outlineLevel="2" x14ac:dyDescent="0.3">
      <c r="A1729" s="6">
        <v>22</v>
      </c>
      <c r="B1729" t="s">
        <v>694</v>
      </c>
      <c r="C1729" s="9" t="s">
        <v>1807</v>
      </c>
      <c r="D1729" s="9">
        <v>420</v>
      </c>
      <c r="E1729" s="9" t="s">
        <v>1808</v>
      </c>
      <c r="F1729" t="s">
        <v>68</v>
      </c>
      <c r="G1729" t="s">
        <v>69</v>
      </c>
      <c r="H1729" t="s">
        <v>1551</v>
      </c>
    </row>
    <row r="1730" spans="1:8" outlineLevel="2" x14ac:dyDescent="0.3">
      <c r="A1730" s="6">
        <v>22</v>
      </c>
      <c r="B1730" t="s">
        <v>694</v>
      </c>
      <c r="C1730" s="9" t="s">
        <v>1807</v>
      </c>
      <c r="D1730" s="9">
        <v>198</v>
      </c>
      <c r="E1730" s="9" t="s">
        <v>1808</v>
      </c>
      <c r="F1730" t="s">
        <v>484</v>
      </c>
      <c r="G1730" t="s">
        <v>69</v>
      </c>
      <c r="H1730" t="s">
        <v>1556</v>
      </c>
    </row>
    <row r="1731" spans="1:8" outlineLevel="2" x14ac:dyDescent="0.3">
      <c r="A1731" s="6">
        <v>22</v>
      </c>
      <c r="B1731" t="s">
        <v>694</v>
      </c>
      <c r="C1731" s="9" t="s">
        <v>932</v>
      </c>
      <c r="D1731" s="9">
        <v>24</v>
      </c>
      <c r="E1731" s="9" t="s">
        <v>1804</v>
      </c>
      <c r="F1731" t="s">
        <v>316</v>
      </c>
      <c r="G1731" t="s">
        <v>129</v>
      </c>
      <c r="H1731" t="s">
        <v>1562</v>
      </c>
    </row>
    <row r="1732" spans="1:8" outlineLevel="2" x14ac:dyDescent="0.3">
      <c r="A1732" s="6">
        <v>22</v>
      </c>
      <c r="B1732" t="s">
        <v>694</v>
      </c>
      <c r="C1732" s="9" t="s">
        <v>1807</v>
      </c>
      <c r="D1732" s="9">
        <v>770</v>
      </c>
      <c r="E1732" s="9" t="s">
        <v>1808</v>
      </c>
      <c r="F1732" t="s">
        <v>71</v>
      </c>
      <c r="G1732" t="s">
        <v>72</v>
      </c>
      <c r="H1732" t="s">
        <v>1565</v>
      </c>
    </row>
    <row r="1733" spans="1:8" outlineLevel="2" x14ac:dyDescent="0.3">
      <c r="A1733" s="6">
        <v>22</v>
      </c>
      <c r="B1733" t="s">
        <v>694</v>
      </c>
      <c r="C1733" s="9" t="s">
        <v>1807</v>
      </c>
      <c r="D1733" s="9">
        <v>518</v>
      </c>
      <c r="E1733" s="9" t="s">
        <v>1808</v>
      </c>
      <c r="F1733" t="s">
        <v>74</v>
      </c>
      <c r="G1733" t="s">
        <v>72</v>
      </c>
      <c r="H1733" t="s">
        <v>1566</v>
      </c>
    </row>
    <row r="1734" spans="1:8" outlineLevel="2" x14ac:dyDescent="0.3">
      <c r="A1734" s="6">
        <v>22</v>
      </c>
      <c r="B1734" t="s">
        <v>694</v>
      </c>
      <c r="C1734" s="9" t="s">
        <v>1807</v>
      </c>
      <c r="D1734" s="9">
        <v>532</v>
      </c>
      <c r="E1734" s="9" t="s">
        <v>1808</v>
      </c>
      <c r="F1734" t="s">
        <v>596</v>
      </c>
      <c r="G1734" t="s">
        <v>72</v>
      </c>
      <c r="H1734" t="s">
        <v>1567</v>
      </c>
    </row>
    <row r="1735" spans="1:8" outlineLevel="2" x14ac:dyDescent="0.3">
      <c r="A1735" s="6">
        <v>22</v>
      </c>
      <c r="B1735" t="s">
        <v>694</v>
      </c>
      <c r="C1735" s="9" t="s">
        <v>963</v>
      </c>
      <c r="D1735" s="9">
        <v>60</v>
      </c>
      <c r="E1735" s="9" t="s">
        <v>1804</v>
      </c>
      <c r="F1735" t="s">
        <v>612</v>
      </c>
      <c r="G1735" t="s">
        <v>613</v>
      </c>
      <c r="H1735" t="s">
        <v>1343</v>
      </c>
    </row>
    <row r="1736" spans="1:8" outlineLevel="2" x14ac:dyDescent="0.3">
      <c r="A1736" s="6">
        <v>22</v>
      </c>
      <c r="B1736" t="s">
        <v>694</v>
      </c>
      <c r="C1736" s="9" t="s">
        <v>963</v>
      </c>
      <c r="D1736" s="9">
        <v>70</v>
      </c>
      <c r="E1736" s="9" t="s">
        <v>1804</v>
      </c>
      <c r="F1736" t="s">
        <v>325</v>
      </c>
      <c r="G1736" t="s">
        <v>196</v>
      </c>
      <c r="H1736" t="s">
        <v>1344</v>
      </c>
    </row>
    <row r="1737" spans="1:8" outlineLevel="2" x14ac:dyDescent="0.3">
      <c r="A1737" s="6">
        <v>22</v>
      </c>
      <c r="B1737" t="s">
        <v>694</v>
      </c>
      <c r="C1737" s="9" t="s">
        <v>963</v>
      </c>
      <c r="D1737" s="9">
        <v>73</v>
      </c>
      <c r="E1737" s="9" t="s">
        <v>1804</v>
      </c>
      <c r="F1737" t="s">
        <v>90</v>
      </c>
      <c r="G1737" t="s">
        <v>15</v>
      </c>
      <c r="H1737" t="s">
        <v>1351</v>
      </c>
    </row>
    <row r="1738" spans="1:8" outlineLevel="2" x14ac:dyDescent="0.3">
      <c r="A1738" s="6">
        <v>22</v>
      </c>
      <c r="B1738" t="s">
        <v>694</v>
      </c>
      <c r="C1738" s="9" t="s">
        <v>963</v>
      </c>
      <c r="D1738" s="9">
        <v>77</v>
      </c>
      <c r="E1738" s="9" t="s">
        <v>1804</v>
      </c>
      <c r="F1738" t="s">
        <v>91</v>
      </c>
      <c r="G1738" t="s">
        <v>92</v>
      </c>
      <c r="H1738" t="s">
        <v>1353</v>
      </c>
    </row>
    <row r="1739" spans="1:8" outlineLevel="2" x14ac:dyDescent="0.3">
      <c r="A1739" s="6">
        <v>22</v>
      </c>
      <c r="B1739" t="s">
        <v>694</v>
      </c>
      <c r="C1739" s="9" t="s">
        <v>963</v>
      </c>
      <c r="D1739" s="9">
        <v>76</v>
      </c>
      <c r="E1739" s="9" t="s">
        <v>1804</v>
      </c>
      <c r="F1739" t="s">
        <v>94</v>
      </c>
      <c r="G1739" t="s">
        <v>95</v>
      </c>
      <c r="H1739" t="s">
        <v>1355</v>
      </c>
    </row>
    <row r="1740" spans="1:8" outlineLevel="2" x14ac:dyDescent="0.3">
      <c r="A1740" s="6">
        <v>22</v>
      </c>
      <c r="B1740" t="s">
        <v>694</v>
      </c>
      <c r="C1740" s="9" t="s">
        <v>963</v>
      </c>
      <c r="D1740" s="9">
        <v>72</v>
      </c>
      <c r="E1740" s="9" t="s">
        <v>1804</v>
      </c>
      <c r="F1740" t="s">
        <v>101</v>
      </c>
      <c r="G1740" t="s">
        <v>102</v>
      </c>
      <c r="H1740" t="s">
        <v>1365</v>
      </c>
    </row>
    <row r="1741" spans="1:8" outlineLevel="2" x14ac:dyDescent="0.3">
      <c r="A1741" s="6">
        <v>22</v>
      </c>
      <c r="B1741" t="s">
        <v>694</v>
      </c>
      <c r="C1741" s="9" t="s">
        <v>963</v>
      </c>
      <c r="D1741" s="9">
        <v>60</v>
      </c>
      <c r="E1741" s="9" t="s">
        <v>1804</v>
      </c>
      <c r="F1741" t="s">
        <v>167</v>
      </c>
      <c r="G1741" t="s">
        <v>168</v>
      </c>
      <c r="H1741" t="s">
        <v>1533</v>
      </c>
    </row>
    <row r="1742" spans="1:8" outlineLevel="2" x14ac:dyDescent="0.3">
      <c r="A1742" s="6">
        <v>22</v>
      </c>
      <c r="B1742" t="s">
        <v>694</v>
      </c>
      <c r="C1742" s="9" t="s">
        <v>963</v>
      </c>
      <c r="D1742" s="9">
        <v>60</v>
      </c>
      <c r="E1742" s="9" t="s">
        <v>1804</v>
      </c>
      <c r="F1742" t="s">
        <v>170</v>
      </c>
      <c r="G1742" t="s">
        <v>171</v>
      </c>
      <c r="H1742" t="s">
        <v>1535</v>
      </c>
    </row>
    <row r="1743" spans="1:8" outlineLevel="2" x14ac:dyDescent="0.3">
      <c r="A1743" s="6">
        <v>22</v>
      </c>
      <c r="B1743" t="s">
        <v>694</v>
      </c>
      <c r="C1743" s="9" t="s">
        <v>963</v>
      </c>
      <c r="D1743" s="9">
        <v>63</v>
      </c>
      <c r="E1743" s="9" t="s">
        <v>1804</v>
      </c>
      <c r="F1743" t="s">
        <v>404</v>
      </c>
      <c r="G1743" t="s">
        <v>115</v>
      </c>
      <c r="H1743" t="s">
        <v>1536</v>
      </c>
    </row>
    <row r="1744" spans="1:8" outlineLevel="2" x14ac:dyDescent="0.3">
      <c r="A1744" s="6">
        <v>22</v>
      </c>
      <c r="B1744" t="s">
        <v>694</v>
      </c>
      <c r="C1744" s="9" t="s">
        <v>963</v>
      </c>
      <c r="D1744" s="9">
        <v>60</v>
      </c>
      <c r="E1744" s="9" t="s">
        <v>1804</v>
      </c>
      <c r="F1744" t="s">
        <v>686</v>
      </c>
      <c r="G1744" t="s">
        <v>115</v>
      </c>
      <c r="H1744" t="s">
        <v>1536</v>
      </c>
    </row>
    <row r="1745" spans="1:8" outlineLevel="2" x14ac:dyDescent="0.3">
      <c r="A1745" s="6">
        <v>22</v>
      </c>
      <c r="B1745" t="s">
        <v>694</v>
      </c>
      <c r="C1745" s="9" t="s">
        <v>963</v>
      </c>
      <c r="D1745" s="9">
        <v>60</v>
      </c>
      <c r="E1745" s="9" t="s">
        <v>1804</v>
      </c>
      <c r="F1745" t="s">
        <v>106</v>
      </c>
      <c r="G1745" t="s">
        <v>32</v>
      </c>
      <c r="H1745" t="s">
        <v>1537</v>
      </c>
    </row>
    <row r="1746" spans="1:8" outlineLevel="2" x14ac:dyDescent="0.3">
      <c r="A1746" s="6">
        <v>22</v>
      </c>
      <c r="B1746" t="s">
        <v>694</v>
      </c>
      <c r="C1746" s="9" t="s">
        <v>963</v>
      </c>
      <c r="D1746" s="9">
        <v>60</v>
      </c>
      <c r="E1746" s="9" t="s">
        <v>1804</v>
      </c>
      <c r="F1746" t="s">
        <v>107</v>
      </c>
      <c r="G1746" t="s">
        <v>108</v>
      </c>
      <c r="H1746" t="s">
        <v>1140</v>
      </c>
    </row>
    <row r="1747" spans="1:8" outlineLevel="2" x14ac:dyDescent="0.3">
      <c r="A1747" s="6">
        <v>22</v>
      </c>
      <c r="B1747" t="s">
        <v>694</v>
      </c>
      <c r="C1747" s="9" t="s">
        <v>963</v>
      </c>
      <c r="D1747" s="9">
        <v>63</v>
      </c>
      <c r="E1747" s="9" t="s">
        <v>1804</v>
      </c>
      <c r="F1747" t="s">
        <v>598</v>
      </c>
      <c r="G1747" t="s">
        <v>38</v>
      </c>
      <c r="H1747" t="s">
        <v>1142</v>
      </c>
    </row>
    <row r="1748" spans="1:8" outlineLevel="2" x14ac:dyDescent="0.3">
      <c r="A1748" s="6">
        <v>22</v>
      </c>
      <c r="B1748" t="s">
        <v>694</v>
      </c>
      <c r="C1748" s="9" t="s">
        <v>963</v>
      </c>
      <c r="D1748" s="9">
        <v>60</v>
      </c>
      <c r="E1748" s="9" t="s">
        <v>1804</v>
      </c>
      <c r="F1748" t="s">
        <v>351</v>
      </c>
      <c r="G1748" t="s">
        <v>38</v>
      </c>
      <c r="H1748" t="s">
        <v>1142</v>
      </c>
    </row>
    <row r="1749" spans="1:8" outlineLevel="2" x14ac:dyDescent="0.3">
      <c r="A1749" s="6">
        <v>22</v>
      </c>
      <c r="B1749" t="s">
        <v>694</v>
      </c>
      <c r="C1749" s="9" t="s">
        <v>963</v>
      </c>
      <c r="D1749" s="9">
        <v>60</v>
      </c>
      <c r="E1749" s="9" t="s">
        <v>1804</v>
      </c>
      <c r="F1749" t="s">
        <v>528</v>
      </c>
      <c r="G1749" t="s">
        <v>38</v>
      </c>
      <c r="H1749" t="s">
        <v>1143</v>
      </c>
    </row>
    <row r="1750" spans="1:8" outlineLevel="2" x14ac:dyDescent="0.3">
      <c r="A1750" s="6">
        <v>22</v>
      </c>
      <c r="B1750" t="s">
        <v>694</v>
      </c>
      <c r="C1750" s="9" t="s">
        <v>963</v>
      </c>
      <c r="D1750" s="9">
        <v>60</v>
      </c>
      <c r="E1750" s="9" t="s">
        <v>1804</v>
      </c>
      <c r="F1750" t="s">
        <v>110</v>
      </c>
      <c r="G1750" t="s">
        <v>41</v>
      </c>
      <c r="H1750" t="s">
        <v>1144</v>
      </c>
    </row>
    <row r="1751" spans="1:8" outlineLevel="2" x14ac:dyDescent="0.3">
      <c r="A1751" s="6">
        <v>22</v>
      </c>
      <c r="B1751" t="s">
        <v>694</v>
      </c>
      <c r="C1751" s="9" t="s">
        <v>963</v>
      </c>
      <c r="D1751" s="9">
        <v>64</v>
      </c>
      <c r="E1751" s="9" t="s">
        <v>1804</v>
      </c>
      <c r="F1751" t="s">
        <v>583</v>
      </c>
      <c r="G1751" t="s">
        <v>238</v>
      </c>
      <c r="H1751" t="s">
        <v>1122</v>
      </c>
    </row>
    <row r="1752" spans="1:8" outlineLevel="2" x14ac:dyDescent="0.3">
      <c r="A1752" s="6">
        <v>22</v>
      </c>
      <c r="B1752" t="s">
        <v>694</v>
      </c>
      <c r="C1752" s="9" t="s">
        <v>963</v>
      </c>
      <c r="D1752" s="9">
        <v>60</v>
      </c>
      <c r="E1752" s="9" t="s">
        <v>1804</v>
      </c>
      <c r="F1752" t="s">
        <v>120</v>
      </c>
      <c r="G1752" t="s">
        <v>51</v>
      </c>
      <c r="H1752" t="s">
        <v>1590</v>
      </c>
    </row>
    <row r="1753" spans="1:8" outlineLevel="2" x14ac:dyDescent="0.3">
      <c r="A1753" s="6">
        <v>22</v>
      </c>
      <c r="B1753" t="s">
        <v>694</v>
      </c>
      <c r="C1753" s="9" t="s">
        <v>963</v>
      </c>
      <c r="D1753" s="9">
        <v>64</v>
      </c>
      <c r="E1753" s="9" t="s">
        <v>1804</v>
      </c>
      <c r="F1753" t="s">
        <v>121</v>
      </c>
      <c r="G1753" t="s">
        <v>122</v>
      </c>
      <c r="H1753" t="s">
        <v>1125</v>
      </c>
    </row>
    <row r="1754" spans="1:8" outlineLevel="2" x14ac:dyDescent="0.3">
      <c r="A1754" s="6">
        <v>22</v>
      </c>
      <c r="B1754" t="s">
        <v>694</v>
      </c>
      <c r="C1754" s="9" t="s">
        <v>963</v>
      </c>
      <c r="D1754" s="9">
        <v>64</v>
      </c>
      <c r="E1754" s="9" t="s">
        <v>1804</v>
      </c>
      <c r="F1754" t="s">
        <v>374</v>
      </c>
      <c r="G1754" t="s">
        <v>129</v>
      </c>
      <c r="H1754" t="s">
        <v>1582</v>
      </c>
    </row>
    <row r="1755" spans="1:8" outlineLevel="2" x14ac:dyDescent="0.3">
      <c r="A1755" s="6">
        <v>22</v>
      </c>
      <c r="B1755" t="s">
        <v>694</v>
      </c>
      <c r="C1755" s="9" t="s">
        <v>963</v>
      </c>
      <c r="D1755" s="9">
        <v>60</v>
      </c>
      <c r="E1755" s="9" t="s">
        <v>1804</v>
      </c>
      <c r="F1755" t="s">
        <v>128</v>
      </c>
      <c r="G1755" t="s">
        <v>129</v>
      </c>
      <c r="H1755" t="s">
        <v>1582</v>
      </c>
    </row>
    <row r="1756" spans="1:8" outlineLevel="2" x14ac:dyDescent="0.3">
      <c r="A1756" s="6">
        <v>22</v>
      </c>
      <c r="B1756" t="s">
        <v>694</v>
      </c>
      <c r="C1756" s="9" t="s">
        <v>963</v>
      </c>
      <c r="D1756" s="9">
        <v>63</v>
      </c>
      <c r="E1756" s="9" t="s">
        <v>1804</v>
      </c>
      <c r="F1756" t="s">
        <v>689</v>
      </c>
      <c r="G1756" t="s">
        <v>691</v>
      </c>
      <c r="H1756" t="s">
        <v>1857</v>
      </c>
    </row>
    <row r="1757" spans="1:8" outlineLevel="1" x14ac:dyDescent="0.3">
      <c r="A1757" s="16" t="s">
        <v>2208</v>
      </c>
      <c r="H1757">
        <f>SUBTOTAL(3,H1692:H1756)</f>
        <v>65</v>
      </c>
    </row>
    <row r="1758" spans="1:8" outlineLevel="2" x14ac:dyDescent="0.3">
      <c r="A1758" s="6">
        <v>23</v>
      </c>
      <c r="B1758" t="s">
        <v>662</v>
      </c>
      <c r="C1758" s="9" t="s">
        <v>932</v>
      </c>
      <c r="D1758" s="9">
        <v>30</v>
      </c>
      <c r="E1758" s="9" t="s">
        <v>1804</v>
      </c>
      <c r="F1758" t="s">
        <v>146</v>
      </c>
      <c r="G1758" t="s">
        <v>147</v>
      </c>
      <c r="H1758" t="s">
        <v>1377</v>
      </c>
    </row>
    <row r="1759" spans="1:8" outlineLevel="2" x14ac:dyDescent="0.3">
      <c r="A1759" s="6">
        <v>23</v>
      </c>
      <c r="B1759" t="s">
        <v>662</v>
      </c>
      <c r="C1759" s="9" t="s">
        <v>932</v>
      </c>
      <c r="D1759" s="9">
        <v>13</v>
      </c>
      <c r="E1759" s="9" t="s">
        <v>1804</v>
      </c>
      <c r="F1759" t="s">
        <v>150</v>
      </c>
      <c r="G1759" t="s">
        <v>147</v>
      </c>
      <c r="H1759" t="s">
        <v>1379</v>
      </c>
    </row>
    <row r="1760" spans="1:8" outlineLevel="2" x14ac:dyDescent="0.3">
      <c r="A1760" s="6">
        <v>23</v>
      </c>
      <c r="B1760" t="s">
        <v>662</v>
      </c>
      <c r="C1760" s="9" t="s">
        <v>932</v>
      </c>
      <c r="D1760" s="9">
        <v>19</v>
      </c>
      <c r="E1760" s="9" t="s">
        <v>1804</v>
      </c>
      <c r="F1760" t="s">
        <v>151</v>
      </c>
      <c r="G1760" t="s">
        <v>147</v>
      </c>
      <c r="H1760" t="s">
        <v>1380</v>
      </c>
    </row>
    <row r="1761" spans="1:8" outlineLevel="2" x14ac:dyDescent="0.3">
      <c r="A1761" s="6">
        <v>23</v>
      </c>
      <c r="B1761" t="s">
        <v>662</v>
      </c>
      <c r="C1761" s="9" t="s">
        <v>932</v>
      </c>
      <c r="D1761" s="9">
        <v>30</v>
      </c>
      <c r="E1761" s="9" t="s">
        <v>1804</v>
      </c>
      <c r="F1761" t="s">
        <v>176</v>
      </c>
      <c r="G1761" t="s">
        <v>177</v>
      </c>
      <c r="H1761" t="s">
        <v>1381</v>
      </c>
    </row>
    <row r="1762" spans="1:8" outlineLevel="2" x14ac:dyDescent="0.3">
      <c r="A1762" s="6">
        <v>23</v>
      </c>
      <c r="B1762" t="s">
        <v>662</v>
      </c>
      <c r="C1762" s="9" t="s">
        <v>932</v>
      </c>
      <c r="D1762" s="9">
        <v>12</v>
      </c>
      <c r="E1762" s="9" t="s">
        <v>1804</v>
      </c>
      <c r="F1762" t="s">
        <v>663</v>
      </c>
      <c r="G1762" t="s">
        <v>177</v>
      </c>
      <c r="H1762" t="s">
        <v>1382</v>
      </c>
    </row>
    <row r="1763" spans="1:8" outlineLevel="2" x14ac:dyDescent="0.3">
      <c r="A1763" s="6">
        <v>23</v>
      </c>
      <c r="B1763" t="s">
        <v>662</v>
      </c>
      <c r="C1763" s="9" t="s">
        <v>932</v>
      </c>
      <c r="D1763" s="9">
        <v>32</v>
      </c>
      <c r="E1763" s="9" t="s">
        <v>1804</v>
      </c>
      <c r="F1763" t="s">
        <v>619</v>
      </c>
      <c r="G1763" t="s">
        <v>620</v>
      </c>
      <c r="H1763" t="s">
        <v>1326</v>
      </c>
    </row>
    <row r="1764" spans="1:8" outlineLevel="2" x14ac:dyDescent="0.3">
      <c r="A1764" s="6">
        <v>23</v>
      </c>
      <c r="B1764" t="s">
        <v>662</v>
      </c>
      <c r="C1764" s="9" t="s">
        <v>932</v>
      </c>
      <c r="D1764" s="9">
        <v>34</v>
      </c>
      <c r="E1764" s="9" t="s">
        <v>1804</v>
      </c>
      <c r="F1764" t="s">
        <v>665</v>
      </c>
      <c r="G1764" t="s">
        <v>196</v>
      </c>
      <c r="H1764" t="s">
        <v>1267</v>
      </c>
    </row>
    <row r="1765" spans="1:8" outlineLevel="2" x14ac:dyDescent="0.3">
      <c r="A1765" s="6">
        <v>23</v>
      </c>
      <c r="B1765" t="s">
        <v>662</v>
      </c>
      <c r="C1765" s="9" t="s">
        <v>932</v>
      </c>
      <c r="D1765" s="9">
        <v>24</v>
      </c>
      <c r="E1765" s="9" t="s">
        <v>1804</v>
      </c>
      <c r="F1765" t="s">
        <v>195</v>
      </c>
      <c r="G1765" t="s">
        <v>196</v>
      </c>
      <c r="H1765" t="s">
        <v>1263</v>
      </c>
    </row>
    <row r="1766" spans="1:8" outlineLevel="2" x14ac:dyDescent="0.3">
      <c r="A1766" s="6">
        <v>23</v>
      </c>
      <c r="B1766" t="s">
        <v>662</v>
      </c>
      <c r="C1766" s="9" t="s">
        <v>932</v>
      </c>
      <c r="D1766" s="9">
        <v>37</v>
      </c>
      <c r="E1766" s="9" t="s">
        <v>1804</v>
      </c>
      <c r="F1766" t="s">
        <v>198</v>
      </c>
      <c r="G1766" t="s">
        <v>196</v>
      </c>
      <c r="H1766" t="s">
        <v>1267</v>
      </c>
    </row>
    <row r="1767" spans="1:8" outlineLevel="2" x14ac:dyDescent="0.3">
      <c r="A1767" s="6">
        <v>23</v>
      </c>
      <c r="B1767" t="s">
        <v>662</v>
      </c>
      <c r="C1767" s="9" t="s">
        <v>1266</v>
      </c>
      <c r="D1767" s="9">
        <v>11</v>
      </c>
      <c r="E1767" s="9" t="s">
        <v>1804</v>
      </c>
      <c r="F1767" t="s">
        <v>666</v>
      </c>
      <c r="G1767" t="s">
        <v>15</v>
      </c>
      <c r="H1767" t="s">
        <v>1855</v>
      </c>
    </row>
    <row r="1768" spans="1:8" outlineLevel="2" x14ac:dyDescent="0.3">
      <c r="A1768" s="6">
        <v>23</v>
      </c>
      <c r="B1768" t="s">
        <v>662</v>
      </c>
      <c r="C1768" s="9" t="s">
        <v>932</v>
      </c>
      <c r="D1768" s="9">
        <v>42</v>
      </c>
      <c r="E1768" s="9" t="s">
        <v>1804</v>
      </c>
      <c r="F1768" t="s">
        <v>14</v>
      </c>
      <c r="G1768" t="s">
        <v>15</v>
      </c>
      <c r="H1768" t="s">
        <v>1290</v>
      </c>
    </row>
    <row r="1769" spans="1:8" outlineLevel="2" x14ac:dyDescent="0.3">
      <c r="A1769" s="6">
        <v>23</v>
      </c>
      <c r="B1769" t="s">
        <v>662</v>
      </c>
      <c r="C1769" s="9" t="s">
        <v>1807</v>
      </c>
      <c r="D1769" s="9">
        <v>1100</v>
      </c>
      <c r="E1769" s="9" t="s">
        <v>1808</v>
      </c>
      <c r="F1769" t="s">
        <v>205</v>
      </c>
      <c r="G1769" t="s">
        <v>15</v>
      </c>
      <c r="H1769" t="s">
        <v>1290</v>
      </c>
    </row>
    <row r="1770" spans="1:8" outlineLevel="2" x14ac:dyDescent="0.3">
      <c r="A1770" s="6">
        <v>23</v>
      </c>
      <c r="B1770" t="s">
        <v>662</v>
      </c>
      <c r="C1770" s="9" t="s">
        <v>932</v>
      </c>
      <c r="D1770" s="9">
        <v>39</v>
      </c>
      <c r="E1770" s="9" t="s">
        <v>1804</v>
      </c>
      <c r="F1770" t="s">
        <v>667</v>
      </c>
      <c r="G1770" t="s">
        <v>1858</v>
      </c>
      <c r="H1770" t="s">
        <v>1859</v>
      </c>
    </row>
    <row r="1771" spans="1:8" outlineLevel="2" x14ac:dyDescent="0.3">
      <c r="A1771" s="6">
        <v>23</v>
      </c>
      <c r="B1771" t="s">
        <v>662</v>
      </c>
      <c r="C1771" s="9" t="s">
        <v>1266</v>
      </c>
      <c r="D1771" s="9">
        <v>21</v>
      </c>
      <c r="E1771" s="9" t="s">
        <v>1804</v>
      </c>
      <c r="F1771" t="s">
        <v>668</v>
      </c>
      <c r="G1771" t="s">
        <v>1860</v>
      </c>
      <c r="H1771" t="s">
        <v>1861</v>
      </c>
    </row>
    <row r="1772" spans="1:8" outlineLevel="2" x14ac:dyDescent="0.3">
      <c r="A1772" s="6">
        <v>23</v>
      </c>
      <c r="B1772" t="s">
        <v>662</v>
      </c>
      <c r="C1772" s="9" t="s">
        <v>932</v>
      </c>
      <c r="D1772" s="9">
        <v>36</v>
      </c>
      <c r="E1772" s="9" t="s">
        <v>1804</v>
      </c>
      <c r="F1772" t="s">
        <v>28</v>
      </c>
      <c r="G1772" t="s">
        <v>29</v>
      </c>
      <c r="H1772" t="s">
        <v>1180</v>
      </c>
    </row>
    <row r="1773" spans="1:8" outlineLevel="2" x14ac:dyDescent="0.3">
      <c r="A1773" s="6">
        <v>23</v>
      </c>
      <c r="B1773" t="s">
        <v>662</v>
      </c>
      <c r="C1773" s="9" t="s">
        <v>932</v>
      </c>
      <c r="D1773" s="9">
        <v>12</v>
      </c>
      <c r="E1773" s="9" t="s">
        <v>1804</v>
      </c>
      <c r="F1773" t="s">
        <v>588</v>
      </c>
      <c r="G1773" t="s">
        <v>29</v>
      </c>
      <c r="H1773" t="s">
        <v>1183</v>
      </c>
    </row>
    <row r="1774" spans="1:8" outlineLevel="2" x14ac:dyDescent="0.3">
      <c r="A1774" s="6">
        <v>23</v>
      </c>
      <c r="B1774" t="s">
        <v>662</v>
      </c>
      <c r="C1774" s="9" t="s">
        <v>932</v>
      </c>
      <c r="D1774" s="9">
        <v>12</v>
      </c>
      <c r="E1774" s="9" t="s">
        <v>1804</v>
      </c>
      <c r="F1774" t="s">
        <v>589</v>
      </c>
      <c r="G1774" t="s">
        <v>29</v>
      </c>
      <c r="H1774" t="s">
        <v>1184</v>
      </c>
    </row>
    <row r="1775" spans="1:8" outlineLevel="2" x14ac:dyDescent="0.3">
      <c r="A1775" s="6">
        <v>23</v>
      </c>
      <c r="B1775" t="s">
        <v>662</v>
      </c>
      <c r="C1775" s="9" t="s">
        <v>932</v>
      </c>
      <c r="D1775" s="9">
        <v>24</v>
      </c>
      <c r="E1775" s="9" t="s">
        <v>1804</v>
      </c>
      <c r="F1775" t="s">
        <v>385</v>
      </c>
      <c r="G1775" t="s">
        <v>386</v>
      </c>
      <c r="H1775" t="s">
        <v>1421</v>
      </c>
    </row>
    <row r="1776" spans="1:8" outlineLevel="2" x14ac:dyDescent="0.3">
      <c r="A1776" s="6">
        <v>23</v>
      </c>
      <c r="B1776" t="s">
        <v>662</v>
      </c>
      <c r="C1776" s="9" t="s">
        <v>932</v>
      </c>
      <c r="D1776" s="9">
        <v>18</v>
      </c>
      <c r="E1776" s="9" t="s">
        <v>1804</v>
      </c>
      <c r="F1776" t="s">
        <v>669</v>
      </c>
      <c r="G1776" t="s">
        <v>386</v>
      </c>
      <c r="H1776" t="s">
        <v>1423</v>
      </c>
    </row>
    <row r="1777" spans="1:8" outlineLevel="2" x14ac:dyDescent="0.3">
      <c r="A1777" s="6">
        <v>23</v>
      </c>
      <c r="B1777" t="s">
        <v>662</v>
      </c>
      <c r="C1777" s="9" t="s">
        <v>932</v>
      </c>
      <c r="D1777" s="9">
        <v>18</v>
      </c>
      <c r="E1777" s="9" t="s">
        <v>1804</v>
      </c>
      <c r="F1777" t="s">
        <v>670</v>
      </c>
      <c r="G1777" t="s">
        <v>386</v>
      </c>
      <c r="H1777" t="s">
        <v>1426</v>
      </c>
    </row>
    <row r="1778" spans="1:8" outlineLevel="2" x14ac:dyDescent="0.3">
      <c r="A1778" s="6">
        <v>23</v>
      </c>
      <c r="B1778" t="s">
        <v>662</v>
      </c>
      <c r="C1778" s="9" t="s">
        <v>932</v>
      </c>
      <c r="D1778" s="9">
        <v>18</v>
      </c>
      <c r="E1778" s="9" t="s">
        <v>1804</v>
      </c>
      <c r="F1778" t="s">
        <v>418</v>
      </c>
      <c r="G1778" t="s">
        <v>168</v>
      </c>
      <c r="H1778" t="s">
        <v>1440</v>
      </c>
    </row>
    <row r="1779" spans="1:8" outlineLevel="2" x14ac:dyDescent="0.3">
      <c r="A1779" s="6">
        <v>23</v>
      </c>
      <c r="B1779" t="s">
        <v>662</v>
      </c>
      <c r="C1779" s="9" t="s">
        <v>932</v>
      </c>
      <c r="D1779" s="9">
        <v>16</v>
      </c>
      <c r="E1779" s="9" t="s">
        <v>1804</v>
      </c>
      <c r="F1779" t="s">
        <v>502</v>
      </c>
      <c r="G1779" t="s">
        <v>168</v>
      </c>
      <c r="H1779" t="s">
        <v>1444</v>
      </c>
    </row>
    <row r="1780" spans="1:8" outlineLevel="2" x14ac:dyDescent="0.3">
      <c r="A1780" s="6">
        <v>23</v>
      </c>
      <c r="B1780" t="s">
        <v>662</v>
      </c>
      <c r="C1780" s="9" t="s">
        <v>932</v>
      </c>
      <c r="D1780" s="9">
        <v>18</v>
      </c>
      <c r="E1780" s="9" t="s">
        <v>1804</v>
      </c>
      <c r="F1780" t="s">
        <v>389</v>
      </c>
      <c r="G1780" t="s">
        <v>171</v>
      </c>
      <c r="H1780" t="s">
        <v>1447</v>
      </c>
    </row>
    <row r="1781" spans="1:8" outlineLevel="2" x14ac:dyDescent="0.3">
      <c r="A1781" s="6">
        <v>23</v>
      </c>
      <c r="B1781" t="s">
        <v>662</v>
      </c>
      <c r="C1781" s="9" t="s">
        <v>932</v>
      </c>
      <c r="D1781" s="9">
        <v>33</v>
      </c>
      <c r="E1781" s="9" t="s">
        <v>1804</v>
      </c>
      <c r="F1781" t="s">
        <v>390</v>
      </c>
      <c r="G1781" t="s">
        <v>391</v>
      </c>
      <c r="H1781" t="s">
        <v>1449</v>
      </c>
    </row>
    <row r="1782" spans="1:8" outlineLevel="2" x14ac:dyDescent="0.3">
      <c r="A1782" s="6">
        <v>23</v>
      </c>
      <c r="B1782" t="s">
        <v>662</v>
      </c>
      <c r="C1782" s="9" t="s">
        <v>932</v>
      </c>
      <c r="D1782" s="9">
        <v>24</v>
      </c>
      <c r="E1782" s="9" t="s">
        <v>1804</v>
      </c>
      <c r="F1782" t="s">
        <v>31</v>
      </c>
      <c r="G1782" t="s">
        <v>32</v>
      </c>
      <c r="H1782" t="s">
        <v>1483</v>
      </c>
    </row>
    <row r="1783" spans="1:8" outlineLevel="2" x14ac:dyDescent="0.3">
      <c r="A1783" s="6">
        <v>23</v>
      </c>
      <c r="B1783" t="s">
        <v>662</v>
      </c>
      <c r="C1783" s="9" t="s">
        <v>932</v>
      </c>
      <c r="D1783" s="9">
        <v>21</v>
      </c>
      <c r="E1783" s="9" t="s">
        <v>1804</v>
      </c>
      <c r="F1783" t="s">
        <v>34</v>
      </c>
      <c r="G1783" t="s">
        <v>32</v>
      </c>
      <c r="H1783" t="s">
        <v>1485</v>
      </c>
    </row>
    <row r="1784" spans="1:8" outlineLevel="2" x14ac:dyDescent="0.3">
      <c r="A1784" s="6">
        <v>23</v>
      </c>
      <c r="B1784" t="s">
        <v>662</v>
      </c>
      <c r="C1784" s="9" t="s">
        <v>932</v>
      </c>
      <c r="D1784" s="9">
        <v>21</v>
      </c>
      <c r="E1784" s="9" t="s">
        <v>1804</v>
      </c>
      <c r="F1784" t="s">
        <v>36</v>
      </c>
      <c r="G1784" t="s">
        <v>32</v>
      </c>
      <c r="H1784" t="s">
        <v>1492</v>
      </c>
    </row>
    <row r="1785" spans="1:8" outlineLevel="2" x14ac:dyDescent="0.3">
      <c r="A1785" s="6">
        <v>23</v>
      </c>
      <c r="B1785" t="s">
        <v>662</v>
      </c>
      <c r="C1785" s="9" t="s">
        <v>932</v>
      </c>
      <c r="D1785" s="9">
        <v>24</v>
      </c>
      <c r="E1785" s="9" t="s">
        <v>1804</v>
      </c>
      <c r="F1785" t="s">
        <v>543</v>
      </c>
      <c r="G1785" t="s">
        <v>32</v>
      </c>
      <c r="H1785" t="s">
        <v>1493</v>
      </c>
    </row>
    <row r="1786" spans="1:8" outlineLevel="2" x14ac:dyDescent="0.3">
      <c r="A1786" s="6">
        <v>23</v>
      </c>
      <c r="B1786" t="s">
        <v>662</v>
      </c>
      <c r="C1786" s="9" t="s">
        <v>932</v>
      </c>
      <c r="D1786" s="9">
        <v>18</v>
      </c>
      <c r="E1786" s="9" t="s">
        <v>1804</v>
      </c>
      <c r="F1786" t="s">
        <v>503</v>
      </c>
      <c r="G1786" t="s">
        <v>504</v>
      </c>
      <c r="H1786" t="s">
        <v>1501</v>
      </c>
    </row>
    <row r="1787" spans="1:8" outlineLevel="2" x14ac:dyDescent="0.3">
      <c r="A1787" s="6">
        <v>23</v>
      </c>
      <c r="B1787" t="s">
        <v>662</v>
      </c>
      <c r="C1787" s="9" t="s">
        <v>932</v>
      </c>
      <c r="D1787" s="9">
        <v>12</v>
      </c>
      <c r="E1787" s="9" t="s">
        <v>1804</v>
      </c>
      <c r="F1787" t="s">
        <v>153</v>
      </c>
      <c r="G1787" t="s">
        <v>108</v>
      </c>
      <c r="H1787" t="s">
        <v>1150</v>
      </c>
    </row>
    <row r="1788" spans="1:8" outlineLevel="2" x14ac:dyDescent="0.3">
      <c r="A1788" s="6">
        <v>23</v>
      </c>
      <c r="B1788" t="s">
        <v>662</v>
      </c>
      <c r="C1788" s="9" t="s">
        <v>932</v>
      </c>
      <c r="D1788" s="9">
        <v>18</v>
      </c>
      <c r="E1788" s="9" t="s">
        <v>1804</v>
      </c>
      <c r="F1788" t="s">
        <v>154</v>
      </c>
      <c r="G1788" t="s">
        <v>108</v>
      </c>
      <c r="H1788" t="s">
        <v>1151</v>
      </c>
    </row>
    <row r="1789" spans="1:8" outlineLevel="2" x14ac:dyDescent="0.3">
      <c r="A1789" s="6">
        <v>23</v>
      </c>
      <c r="B1789" t="s">
        <v>662</v>
      </c>
      <c r="C1789" s="9" t="s">
        <v>932</v>
      </c>
      <c r="D1789" s="9">
        <v>18</v>
      </c>
      <c r="E1789" s="9" t="s">
        <v>1804</v>
      </c>
      <c r="F1789" t="s">
        <v>227</v>
      </c>
      <c r="G1789" t="s">
        <v>41</v>
      </c>
      <c r="H1789" t="s">
        <v>1167</v>
      </c>
    </row>
    <row r="1790" spans="1:8" outlineLevel="2" x14ac:dyDescent="0.3">
      <c r="A1790" s="6">
        <v>23</v>
      </c>
      <c r="B1790" t="s">
        <v>662</v>
      </c>
      <c r="C1790" s="9" t="s">
        <v>932</v>
      </c>
      <c r="D1790" s="9">
        <v>24</v>
      </c>
      <c r="E1790" s="9" t="s">
        <v>1804</v>
      </c>
      <c r="F1790" t="s">
        <v>232</v>
      </c>
      <c r="G1790" t="s">
        <v>144</v>
      </c>
      <c r="H1790" t="s">
        <v>1171</v>
      </c>
    </row>
    <row r="1791" spans="1:8" outlineLevel="2" x14ac:dyDescent="0.3">
      <c r="A1791" s="6">
        <v>23</v>
      </c>
      <c r="B1791" t="s">
        <v>662</v>
      </c>
      <c r="C1791" s="9" t="s">
        <v>932</v>
      </c>
      <c r="D1791" s="9">
        <v>12</v>
      </c>
      <c r="E1791" s="9" t="s">
        <v>1804</v>
      </c>
      <c r="F1791" t="s">
        <v>233</v>
      </c>
      <c r="G1791" t="s">
        <v>112</v>
      </c>
      <c r="H1791" t="s">
        <v>1146</v>
      </c>
    </row>
    <row r="1792" spans="1:8" outlineLevel="2" x14ac:dyDescent="0.3">
      <c r="A1792" s="6">
        <v>23</v>
      </c>
      <c r="B1792" t="s">
        <v>662</v>
      </c>
      <c r="C1792" s="9" t="s">
        <v>932</v>
      </c>
      <c r="D1792" s="9">
        <v>12</v>
      </c>
      <c r="E1792" s="9" t="s">
        <v>1804</v>
      </c>
      <c r="F1792" t="s">
        <v>234</v>
      </c>
      <c r="G1792" t="s">
        <v>235</v>
      </c>
      <c r="H1792" t="s">
        <v>1047</v>
      </c>
    </row>
    <row r="1793" spans="1:8" outlineLevel="2" x14ac:dyDescent="0.3">
      <c r="A1793" s="6">
        <v>23</v>
      </c>
      <c r="B1793" t="s">
        <v>662</v>
      </c>
      <c r="C1793" s="9" t="s">
        <v>932</v>
      </c>
      <c r="D1793" s="9">
        <v>17</v>
      </c>
      <c r="E1793" s="9" t="s">
        <v>1804</v>
      </c>
      <c r="F1793" t="s">
        <v>591</v>
      </c>
      <c r="G1793" t="s">
        <v>235</v>
      </c>
      <c r="H1793" t="s">
        <v>1049</v>
      </c>
    </row>
    <row r="1794" spans="1:8" outlineLevel="2" x14ac:dyDescent="0.3">
      <c r="A1794" s="6">
        <v>23</v>
      </c>
      <c r="B1794" t="s">
        <v>662</v>
      </c>
      <c r="C1794" s="9" t="s">
        <v>932</v>
      </c>
      <c r="D1794" s="9">
        <v>15</v>
      </c>
      <c r="E1794" s="9" t="s">
        <v>1804</v>
      </c>
      <c r="F1794" t="s">
        <v>43</v>
      </c>
      <c r="G1794" t="s">
        <v>44</v>
      </c>
      <c r="H1794" t="s">
        <v>1050</v>
      </c>
    </row>
    <row r="1795" spans="1:8" outlineLevel="2" x14ac:dyDescent="0.3">
      <c r="A1795" s="6">
        <v>23</v>
      </c>
      <c r="B1795" t="s">
        <v>662</v>
      </c>
      <c r="C1795" s="9" t="s">
        <v>932</v>
      </c>
      <c r="D1795" s="9">
        <v>18</v>
      </c>
      <c r="E1795" s="9" t="s">
        <v>1804</v>
      </c>
      <c r="F1795" t="s">
        <v>246</v>
      </c>
      <c r="G1795" t="s">
        <v>51</v>
      </c>
      <c r="H1795" t="s">
        <v>1596</v>
      </c>
    </row>
    <row r="1796" spans="1:8" outlineLevel="2" x14ac:dyDescent="0.3">
      <c r="A1796" s="6">
        <v>23</v>
      </c>
      <c r="B1796" t="s">
        <v>662</v>
      </c>
      <c r="C1796" s="9" t="s">
        <v>932</v>
      </c>
      <c r="D1796" s="9">
        <v>12</v>
      </c>
      <c r="E1796" s="9" t="s">
        <v>1804</v>
      </c>
      <c r="F1796" t="s">
        <v>50</v>
      </c>
      <c r="G1796" t="s">
        <v>51</v>
      </c>
      <c r="H1796" t="s">
        <v>1598</v>
      </c>
    </row>
    <row r="1797" spans="1:8" outlineLevel="2" x14ac:dyDescent="0.3">
      <c r="A1797" s="6">
        <v>23</v>
      </c>
      <c r="B1797" t="s">
        <v>662</v>
      </c>
      <c r="C1797" s="9" t="s">
        <v>932</v>
      </c>
      <c r="D1797" s="9">
        <v>30</v>
      </c>
      <c r="E1797" s="9" t="s">
        <v>1804</v>
      </c>
      <c r="F1797" t="s">
        <v>247</v>
      </c>
      <c r="G1797" t="s">
        <v>51</v>
      </c>
      <c r="H1797" t="s">
        <v>1599</v>
      </c>
    </row>
    <row r="1798" spans="1:8" outlineLevel="2" x14ac:dyDescent="0.3">
      <c r="A1798" s="6">
        <v>23</v>
      </c>
      <c r="B1798" t="s">
        <v>662</v>
      </c>
      <c r="C1798" s="9" t="s">
        <v>932</v>
      </c>
      <c r="D1798" s="9">
        <v>12</v>
      </c>
      <c r="E1798" s="9" t="s">
        <v>1804</v>
      </c>
      <c r="F1798" t="s">
        <v>53</v>
      </c>
      <c r="G1798" t="s">
        <v>54</v>
      </c>
      <c r="H1798" t="s">
        <v>1603</v>
      </c>
    </row>
    <row r="1799" spans="1:8" outlineLevel="2" x14ac:dyDescent="0.3">
      <c r="A1799" s="6">
        <v>23</v>
      </c>
      <c r="B1799" t="s">
        <v>662</v>
      </c>
      <c r="C1799" s="9" t="s">
        <v>932</v>
      </c>
      <c r="D1799" s="9">
        <v>23</v>
      </c>
      <c r="E1799" s="9" t="s">
        <v>1804</v>
      </c>
      <c r="F1799" t="s">
        <v>671</v>
      </c>
      <c r="G1799" t="s">
        <v>616</v>
      </c>
      <c r="H1799" t="s">
        <v>1613</v>
      </c>
    </row>
    <row r="1800" spans="1:8" outlineLevel="2" x14ac:dyDescent="0.3">
      <c r="A1800" s="6">
        <v>23</v>
      </c>
      <c r="B1800" t="s">
        <v>662</v>
      </c>
      <c r="C1800" s="9" t="s">
        <v>932</v>
      </c>
      <c r="D1800" s="9">
        <v>12</v>
      </c>
      <c r="E1800" s="9" t="s">
        <v>1804</v>
      </c>
      <c r="F1800" t="s">
        <v>672</v>
      </c>
      <c r="G1800" t="s">
        <v>517</v>
      </c>
      <c r="H1800" t="s">
        <v>1636</v>
      </c>
    </row>
    <row r="1801" spans="1:8" outlineLevel="2" x14ac:dyDescent="0.3">
      <c r="A1801" s="6">
        <v>23</v>
      </c>
      <c r="B1801" t="s">
        <v>662</v>
      </c>
      <c r="C1801" s="9" t="s">
        <v>932</v>
      </c>
      <c r="D1801" s="9">
        <v>12</v>
      </c>
      <c r="E1801" s="9" t="s">
        <v>1804</v>
      </c>
      <c r="F1801" t="s">
        <v>516</v>
      </c>
      <c r="G1801" t="s">
        <v>517</v>
      </c>
      <c r="H1801" t="s">
        <v>1637</v>
      </c>
    </row>
    <row r="1802" spans="1:8" outlineLevel="2" x14ac:dyDescent="0.3">
      <c r="A1802" s="6">
        <v>23</v>
      </c>
      <c r="B1802" t="s">
        <v>662</v>
      </c>
      <c r="C1802" s="9" t="s">
        <v>932</v>
      </c>
      <c r="D1802" s="9">
        <v>22</v>
      </c>
      <c r="E1802" s="9" t="s">
        <v>1804</v>
      </c>
      <c r="F1802" t="s">
        <v>259</v>
      </c>
      <c r="G1802" t="s">
        <v>260</v>
      </c>
      <c r="H1802" t="s">
        <v>986</v>
      </c>
    </row>
    <row r="1803" spans="1:8" outlineLevel="2" x14ac:dyDescent="0.3">
      <c r="A1803" s="6">
        <v>23</v>
      </c>
      <c r="B1803" t="s">
        <v>662</v>
      </c>
      <c r="C1803" s="9" t="s">
        <v>932</v>
      </c>
      <c r="D1803" s="9">
        <v>24</v>
      </c>
      <c r="E1803" s="9" t="s">
        <v>1804</v>
      </c>
      <c r="F1803" t="s">
        <v>437</v>
      </c>
      <c r="G1803" t="s">
        <v>438</v>
      </c>
      <c r="H1803" t="s">
        <v>1642</v>
      </c>
    </row>
    <row r="1804" spans="1:8" outlineLevel="2" x14ac:dyDescent="0.3">
      <c r="A1804" s="6">
        <v>23</v>
      </c>
      <c r="B1804" t="s">
        <v>662</v>
      </c>
      <c r="C1804" s="9" t="s">
        <v>932</v>
      </c>
      <c r="D1804" s="9">
        <v>19</v>
      </c>
      <c r="E1804" s="9" t="s">
        <v>1804</v>
      </c>
      <c r="F1804" t="s">
        <v>673</v>
      </c>
      <c r="G1804" t="s">
        <v>674</v>
      </c>
      <c r="H1804" t="s">
        <v>990</v>
      </c>
    </row>
    <row r="1805" spans="1:8" outlineLevel="2" x14ac:dyDescent="0.3">
      <c r="A1805" s="6">
        <v>23</v>
      </c>
      <c r="B1805" t="s">
        <v>662</v>
      </c>
      <c r="C1805" s="9" t="s">
        <v>932</v>
      </c>
      <c r="D1805" s="9">
        <v>15</v>
      </c>
      <c r="E1805" s="9" t="s">
        <v>1804</v>
      </c>
      <c r="F1805" t="s">
        <v>59</v>
      </c>
      <c r="G1805" t="s">
        <v>60</v>
      </c>
      <c r="H1805" t="s">
        <v>1078</v>
      </c>
    </row>
    <row r="1806" spans="1:8" outlineLevel="2" x14ac:dyDescent="0.3">
      <c r="A1806" s="6">
        <v>23</v>
      </c>
      <c r="B1806" t="s">
        <v>662</v>
      </c>
      <c r="C1806" s="9" t="s">
        <v>932</v>
      </c>
      <c r="D1806" s="9">
        <v>15</v>
      </c>
      <c r="E1806" s="9" t="s">
        <v>1804</v>
      </c>
      <c r="F1806" t="s">
        <v>62</v>
      </c>
      <c r="G1806" t="s">
        <v>63</v>
      </c>
      <c r="H1806" t="s">
        <v>1103</v>
      </c>
    </row>
    <row r="1807" spans="1:8" outlineLevel="2" x14ac:dyDescent="0.3">
      <c r="A1807" s="6">
        <v>23</v>
      </c>
      <c r="B1807" t="s">
        <v>662</v>
      </c>
      <c r="C1807" s="9" t="s">
        <v>932</v>
      </c>
      <c r="D1807" s="9">
        <v>22</v>
      </c>
      <c r="E1807" s="9" t="s">
        <v>1804</v>
      </c>
      <c r="F1807" t="s">
        <v>676</v>
      </c>
      <c r="G1807" t="s">
        <v>476</v>
      </c>
      <c r="H1807" t="s">
        <v>1108</v>
      </c>
    </row>
    <row r="1808" spans="1:8" outlineLevel="2" x14ac:dyDescent="0.3">
      <c r="A1808" s="6">
        <v>23</v>
      </c>
      <c r="B1808" t="s">
        <v>662</v>
      </c>
      <c r="C1808" s="9" t="s">
        <v>932</v>
      </c>
      <c r="D1808" s="9">
        <v>18</v>
      </c>
      <c r="E1808" s="9" t="s">
        <v>1804</v>
      </c>
      <c r="F1808" t="s">
        <v>65</v>
      </c>
      <c r="G1808" t="s">
        <v>66</v>
      </c>
      <c r="H1808" t="s">
        <v>1791</v>
      </c>
    </row>
    <row r="1809" spans="1:8" outlineLevel="2" x14ac:dyDescent="0.3">
      <c r="A1809" s="6">
        <v>23</v>
      </c>
      <c r="B1809" t="s">
        <v>662</v>
      </c>
      <c r="C1809" s="9" t="s">
        <v>932</v>
      </c>
      <c r="D1809" s="9">
        <v>12</v>
      </c>
      <c r="E1809" s="9" t="s">
        <v>1804</v>
      </c>
      <c r="F1809" t="s">
        <v>677</v>
      </c>
      <c r="G1809" t="s">
        <v>312</v>
      </c>
      <c r="H1809" t="s">
        <v>952</v>
      </c>
    </row>
    <row r="1810" spans="1:8" outlineLevel="2" x14ac:dyDescent="0.3">
      <c r="A1810" s="6">
        <v>23</v>
      </c>
      <c r="B1810" t="s">
        <v>662</v>
      </c>
      <c r="C1810" s="9" t="s">
        <v>1807</v>
      </c>
      <c r="D1810" s="9">
        <v>420</v>
      </c>
      <c r="E1810" s="9" t="s">
        <v>1808</v>
      </c>
      <c r="F1810" t="s">
        <v>68</v>
      </c>
      <c r="G1810" t="s">
        <v>69</v>
      </c>
      <c r="H1810" t="s">
        <v>1551</v>
      </c>
    </row>
    <row r="1811" spans="1:8" outlineLevel="2" x14ac:dyDescent="0.3">
      <c r="A1811" s="6">
        <v>23</v>
      </c>
      <c r="B1811" t="s">
        <v>662</v>
      </c>
      <c r="C1811" s="9" t="s">
        <v>932</v>
      </c>
      <c r="D1811" s="9">
        <v>24</v>
      </c>
      <c r="E1811" s="9" t="s">
        <v>1804</v>
      </c>
      <c r="F1811" t="s">
        <v>316</v>
      </c>
      <c r="G1811" t="s">
        <v>129</v>
      </c>
      <c r="H1811" t="s">
        <v>1562</v>
      </c>
    </row>
    <row r="1812" spans="1:8" outlineLevel="2" x14ac:dyDescent="0.3">
      <c r="A1812" s="6">
        <v>23</v>
      </c>
      <c r="B1812" t="s">
        <v>662</v>
      </c>
      <c r="C1812" s="9" t="s">
        <v>932</v>
      </c>
      <c r="D1812" s="9">
        <v>28</v>
      </c>
      <c r="E1812" s="9" t="s">
        <v>1804</v>
      </c>
      <c r="F1812" t="s">
        <v>395</v>
      </c>
      <c r="G1812" t="s">
        <v>396</v>
      </c>
      <c r="H1812" t="s">
        <v>1564</v>
      </c>
    </row>
    <row r="1813" spans="1:8" outlineLevel="2" x14ac:dyDescent="0.3">
      <c r="A1813" s="6">
        <v>23</v>
      </c>
      <c r="B1813" t="s">
        <v>662</v>
      </c>
      <c r="C1813" s="9" t="s">
        <v>1807</v>
      </c>
      <c r="D1813" s="9">
        <v>770</v>
      </c>
      <c r="E1813" s="9" t="s">
        <v>1808</v>
      </c>
      <c r="F1813" t="s">
        <v>71</v>
      </c>
      <c r="G1813" t="s">
        <v>72</v>
      </c>
      <c r="H1813" t="s">
        <v>1565</v>
      </c>
    </row>
    <row r="1814" spans="1:8" outlineLevel="2" x14ac:dyDescent="0.3">
      <c r="A1814" s="6">
        <v>23</v>
      </c>
      <c r="B1814" t="s">
        <v>662</v>
      </c>
      <c r="C1814" s="9" t="s">
        <v>932</v>
      </c>
      <c r="D1814" s="9">
        <v>15</v>
      </c>
      <c r="E1814" s="9" t="s">
        <v>1804</v>
      </c>
      <c r="F1814" t="s">
        <v>575</v>
      </c>
      <c r="G1814" t="s">
        <v>576</v>
      </c>
      <c r="H1814" t="s">
        <v>1574</v>
      </c>
    </row>
    <row r="1815" spans="1:8" outlineLevel="2" x14ac:dyDescent="0.3">
      <c r="A1815" s="6">
        <v>23</v>
      </c>
      <c r="B1815" t="s">
        <v>662</v>
      </c>
      <c r="C1815" s="9" t="s">
        <v>932</v>
      </c>
      <c r="D1815" s="9">
        <v>12</v>
      </c>
      <c r="E1815" s="9" t="s">
        <v>1804</v>
      </c>
      <c r="F1815" t="s">
        <v>578</v>
      </c>
      <c r="G1815" t="s">
        <v>376</v>
      </c>
      <c r="H1815" t="s">
        <v>1577</v>
      </c>
    </row>
    <row r="1816" spans="1:8" outlineLevel="2" x14ac:dyDescent="0.3">
      <c r="A1816" s="6">
        <v>23</v>
      </c>
      <c r="B1816" t="s">
        <v>662</v>
      </c>
      <c r="C1816" s="9" t="s">
        <v>932</v>
      </c>
      <c r="D1816" s="9">
        <v>15</v>
      </c>
      <c r="E1816" s="9" t="s">
        <v>1804</v>
      </c>
      <c r="F1816" t="s">
        <v>317</v>
      </c>
      <c r="G1816" t="s">
        <v>1825</v>
      </c>
      <c r="H1816" t="s">
        <v>1826</v>
      </c>
    </row>
    <row r="1817" spans="1:8" outlineLevel="2" x14ac:dyDescent="0.3">
      <c r="A1817" s="6">
        <v>23</v>
      </c>
      <c r="B1817" t="s">
        <v>662</v>
      </c>
      <c r="C1817" s="9" t="s">
        <v>1807</v>
      </c>
      <c r="D1817" s="9">
        <v>538</v>
      </c>
      <c r="E1817" s="9" t="s">
        <v>1808</v>
      </c>
      <c r="F1817" t="s">
        <v>75</v>
      </c>
      <c r="G1817" t="s">
        <v>76</v>
      </c>
      <c r="H1817" t="s">
        <v>1549</v>
      </c>
    </row>
    <row r="1818" spans="1:8" outlineLevel="2" x14ac:dyDescent="0.3">
      <c r="A1818" s="6">
        <v>23</v>
      </c>
      <c r="B1818" t="s">
        <v>662</v>
      </c>
      <c r="C1818" s="9" t="s">
        <v>1807</v>
      </c>
      <c r="D1818" s="9">
        <v>398</v>
      </c>
      <c r="E1818" s="9" t="s">
        <v>1808</v>
      </c>
      <c r="F1818" t="s">
        <v>318</v>
      </c>
      <c r="G1818" t="s">
        <v>76</v>
      </c>
      <c r="H1818" t="s">
        <v>1578</v>
      </c>
    </row>
    <row r="1819" spans="1:8" outlineLevel="2" x14ac:dyDescent="0.3">
      <c r="A1819" s="6">
        <v>23</v>
      </c>
      <c r="B1819" t="s">
        <v>662</v>
      </c>
      <c r="C1819" s="9" t="s">
        <v>1807</v>
      </c>
      <c r="D1819" s="9">
        <v>648</v>
      </c>
      <c r="E1819" s="9" t="s">
        <v>1808</v>
      </c>
      <c r="F1819" t="s">
        <v>678</v>
      </c>
      <c r="G1819" t="s">
        <v>76</v>
      </c>
      <c r="H1819" t="s">
        <v>1579</v>
      </c>
    </row>
    <row r="1820" spans="1:8" outlineLevel="2" x14ac:dyDescent="0.3">
      <c r="A1820" s="6">
        <v>23</v>
      </c>
      <c r="B1820" t="s">
        <v>662</v>
      </c>
      <c r="C1820" s="9" t="s">
        <v>932</v>
      </c>
      <c r="D1820" s="9">
        <v>24</v>
      </c>
      <c r="E1820" s="9" t="s">
        <v>1804</v>
      </c>
      <c r="F1820" t="s">
        <v>319</v>
      </c>
      <c r="G1820" t="s">
        <v>320</v>
      </c>
      <c r="H1820" t="s">
        <v>1245</v>
      </c>
    </row>
    <row r="1821" spans="1:8" outlineLevel="2" x14ac:dyDescent="0.3">
      <c r="A1821" s="6">
        <v>23</v>
      </c>
      <c r="B1821" t="s">
        <v>662</v>
      </c>
      <c r="C1821" s="9" t="s">
        <v>1807</v>
      </c>
      <c r="D1821" s="9">
        <v>232</v>
      </c>
      <c r="E1821" s="9" t="s">
        <v>1808</v>
      </c>
      <c r="F1821" t="s">
        <v>606</v>
      </c>
      <c r="G1821" t="s">
        <v>607</v>
      </c>
      <c r="H1821" t="s">
        <v>1580</v>
      </c>
    </row>
    <row r="1822" spans="1:8" outlineLevel="2" x14ac:dyDescent="0.3">
      <c r="A1822" s="6">
        <v>23</v>
      </c>
      <c r="B1822" t="s">
        <v>662</v>
      </c>
      <c r="C1822" s="9" t="s">
        <v>963</v>
      </c>
      <c r="D1822" s="9">
        <v>64</v>
      </c>
      <c r="E1822" s="9" t="s">
        <v>1804</v>
      </c>
      <c r="F1822" t="s">
        <v>166</v>
      </c>
      <c r="G1822" t="s">
        <v>80</v>
      </c>
      <c r="H1822" t="s">
        <v>1416</v>
      </c>
    </row>
    <row r="1823" spans="1:8" outlineLevel="2" x14ac:dyDescent="0.3">
      <c r="A1823" s="6">
        <v>23</v>
      </c>
      <c r="B1823" t="s">
        <v>662</v>
      </c>
      <c r="C1823" s="9" t="s">
        <v>963</v>
      </c>
      <c r="D1823" s="9">
        <v>60</v>
      </c>
      <c r="E1823" s="9" t="s">
        <v>1804</v>
      </c>
      <c r="F1823" t="s">
        <v>79</v>
      </c>
      <c r="G1823" t="s">
        <v>80</v>
      </c>
      <c r="H1823" t="s">
        <v>1416</v>
      </c>
    </row>
    <row r="1824" spans="1:8" outlineLevel="2" x14ac:dyDescent="0.3">
      <c r="A1824" s="6">
        <v>23</v>
      </c>
      <c r="B1824" t="s">
        <v>662</v>
      </c>
      <c r="C1824" s="9" t="s">
        <v>963</v>
      </c>
      <c r="D1824" s="9">
        <v>72</v>
      </c>
      <c r="E1824" s="9" t="s">
        <v>1804</v>
      </c>
      <c r="F1824" t="s">
        <v>323</v>
      </c>
      <c r="G1824" t="s">
        <v>190</v>
      </c>
      <c r="H1824" t="s">
        <v>1338</v>
      </c>
    </row>
    <row r="1825" spans="1:8" outlineLevel="2" x14ac:dyDescent="0.3">
      <c r="A1825" s="6">
        <v>23</v>
      </c>
      <c r="B1825" t="s">
        <v>662</v>
      </c>
      <c r="C1825" s="9" t="s">
        <v>963</v>
      </c>
      <c r="D1825" s="9">
        <v>61</v>
      </c>
      <c r="E1825" s="9" t="s">
        <v>1804</v>
      </c>
      <c r="F1825" t="s">
        <v>324</v>
      </c>
      <c r="G1825" t="s">
        <v>193</v>
      </c>
      <c r="H1825" t="s">
        <v>1339</v>
      </c>
    </row>
    <row r="1826" spans="1:8" outlineLevel="2" x14ac:dyDescent="0.3">
      <c r="A1826" s="6">
        <v>23</v>
      </c>
      <c r="B1826" t="s">
        <v>662</v>
      </c>
      <c r="C1826" s="9" t="s">
        <v>963</v>
      </c>
      <c r="D1826" s="9">
        <v>88</v>
      </c>
      <c r="E1826" s="9" t="s">
        <v>1804</v>
      </c>
      <c r="F1826" t="s">
        <v>84</v>
      </c>
      <c r="G1826" t="s">
        <v>85</v>
      </c>
      <c r="H1826" t="s">
        <v>1342</v>
      </c>
    </row>
    <row r="1827" spans="1:8" outlineLevel="2" x14ac:dyDescent="0.3">
      <c r="A1827" s="6">
        <v>23</v>
      </c>
      <c r="B1827" t="s">
        <v>662</v>
      </c>
      <c r="C1827" s="9" t="s">
        <v>963</v>
      </c>
      <c r="D1827" s="9">
        <v>60</v>
      </c>
      <c r="E1827" s="9" t="s">
        <v>1804</v>
      </c>
      <c r="F1827" t="s">
        <v>612</v>
      </c>
      <c r="G1827" t="s">
        <v>613</v>
      </c>
      <c r="H1827" t="s">
        <v>1343</v>
      </c>
    </row>
    <row r="1828" spans="1:8" outlineLevel="2" x14ac:dyDescent="0.3">
      <c r="A1828" s="6">
        <v>23</v>
      </c>
      <c r="B1828" t="s">
        <v>662</v>
      </c>
      <c r="C1828" s="9" t="s">
        <v>963</v>
      </c>
      <c r="D1828" s="9">
        <v>70</v>
      </c>
      <c r="E1828" s="9" t="s">
        <v>1804</v>
      </c>
      <c r="F1828" t="s">
        <v>325</v>
      </c>
      <c r="G1828" t="s">
        <v>196</v>
      </c>
      <c r="H1828" t="s">
        <v>1344</v>
      </c>
    </row>
    <row r="1829" spans="1:8" outlineLevel="2" x14ac:dyDescent="0.3">
      <c r="A1829" s="6">
        <v>23</v>
      </c>
      <c r="B1829" t="s">
        <v>662</v>
      </c>
      <c r="C1829" s="9" t="s">
        <v>963</v>
      </c>
      <c r="D1829" s="9">
        <v>74</v>
      </c>
      <c r="E1829" s="9" t="s">
        <v>1804</v>
      </c>
      <c r="F1829" t="s">
        <v>87</v>
      </c>
      <c r="G1829" t="s">
        <v>88</v>
      </c>
      <c r="H1829" t="s">
        <v>1349</v>
      </c>
    </row>
    <row r="1830" spans="1:8" outlineLevel="2" x14ac:dyDescent="0.3">
      <c r="A1830" s="6">
        <v>23</v>
      </c>
      <c r="B1830" t="s">
        <v>662</v>
      </c>
      <c r="C1830" s="9" t="s">
        <v>963</v>
      </c>
      <c r="D1830" s="9">
        <v>73</v>
      </c>
      <c r="E1830" s="9" t="s">
        <v>1804</v>
      </c>
      <c r="F1830" t="s">
        <v>679</v>
      </c>
      <c r="G1830" t="s">
        <v>680</v>
      </c>
      <c r="H1830" t="s">
        <v>972</v>
      </c>
    </row>
    <row r="1831" spans="1:8" outlineLevel="2" x14ac:dyDescent="0.3">
      <c r="A1831" s="6">
        <v>23</v>
      </c>
      <c r="B1831" t="s">
        <v>662</v>
      </c>
      <c r="C1831" s="9" t="s">
        <v>963</v>
      </c>
      <c r="D1831" s="9">
        <v>73</v>
      </c>
      <c r="E1831" s="9" t="s">
        <v>1804</v>
      </c>
      <c r="F1831" t="s">
        <v>90</v>
      </c>
      <c r="G1831" t="s">
        <v>15</v>
      </c>
      <c r="H1831" t="s">
        <v>1351</v>
      </c>
    </row>
    <row r="1832" spans="1:8" outlineLevel="2" x14ac:dyDescent="0.3">
      <c r="A1832" s="6">
        <v>23</v>
      </c>
      <c r="B1832" t="s">
        <v>662</v>
      </c>
      <c r="C1832" s="9" t="s">
        <v>963</v>
      </c>
      <c r="D1832" s="9">
        <v>77</v>
      </c>
      <c r="E1832" s="9" t="s">
        <v>1804</v>
      </c>
      <c r="F1832" t="s">
        <v>91</v>
      </c>
      <c r="G1832" t="s">
        <v>92</v>
      </c>
      <c r="H1832" t="s">
        <v>1353</v>
      </c>
    </row>
    <row r="1833" spans="1:8" outlineLevel="2" x14ac:dyDescent="0.3">
      <c r="A1833" s="6">
        <v>23</v>
      </c>
      <c r="B1833" t="s">
        <v>662</v>
      </c>
      <c r="C1833" s="9" t="s">
        <v>963</v>
      </c>
      <c r="D1833" s="9">
        <v>76</v>
      </c>
      <c r="E1833" s="9" t="s">
        <v>1804</v>
      </c>
      <c r="F1833" t="s">
        <v>94</v>
      </c>
      <c r="G1833" t="s">
        <v>95</v>
      </c>
      <c r="H1833" t="s">
        <v>1355</v>
      </c>
    </row>
    <row r="1834" spans="1:8" outlineLevel="2" x14ac:dyDescent="0.3">
      <c r="A1834" s="6">
        <v>23</v>
      </c>
      <c r="B1834" t="s">
        <v>662</v>
      </c>
      <c r="C1834" s="9" t="s">
        <v>963</v>
      </c>
      <c r="D1834" s="9">
        <v>65</v>
      </c>
      <c r="E1834" s="9" t="s">
        <v>1804</v>
      </c>
      <c r="F1834" t="s">
        <v>399</v>
      </c>
      <c r="G1834" t="s">
        <v>1819</v>
      </c>
      <c r="H1834" t="s">
        <v>1420</v>
      </c>
    </row>
    <row r="1835" spans="1:8" outlineLevel="2" x14ac:dyDescent="0.3">
      <c r="A1835" s="6">
        <v>23</v>
      </c>
      <c r="B1835" t="s">
        <v>662</v>
      </c>
      <c r="C1835" s="9" t="s">
        <v>963</v>
      </c>
      <c r="D1835" s="9">
        <v>60</v>
      </c>
      <c r="E1835" s="9" t="s">
        <v>1804</v>
      </c>
      <c r="F1835" t="s">
        <v>683</v>
      </c>
      <c r="G1835" t="s">
        <v>684</v>
      </c>
      <c r="H1835" t="s">
        <v>1364</v>
      </c>
    </row>
    <row r="1836" spans="1:8" outlineLevel="2" x14ac:dyDescent="0.3">
      <c r="A1836" s="6">
        <v>23</v>
      </c>
      <c r="B1836" t="s">
        <v>662</v>
      </c>
      <c r="C1836" s="9" t="s">
        <v>963</v>
      </c>
      <c r="D1836" s="9">
        <v>72</v>
      </c>
      <c r="E1836" s="9" t="s">
        <v>1804</v>
      </c>
      <c r="F1836" t="s">
        <v>101</v>
      </c>
      <c r="G1836" t="s">
        <v>102</v>
      </c>
      <c r="H1836" t="s">
        <v>1365</v>
      </c>
    </row>
    <row r="1837" spans="1:8" outlineLevel="2" x14ac:dyDescent="0.3">
      <c r="A1837" s="6">
        <v>23</v>
      </c>
      <c r="B1837" t="s">
        <v>662</v>
      </c>
      <c r="C1837" s="9" t="s">
        <v>963</v>
      </c>
      <c r="D1837" s="9">
        <v>63</v>
      </c>
      <c r="E1837" s="9" t="s">
        <v>1804</v>
      </c>
      <c r="F1837" t="s">
        <v>104</v>
      </c>
      <c r="G1837" t="s">
        <v>401</v>
      </c>
      <c r="H1837" t="s">
        <v>1185</v>
      </c>
    </row>
    <row r="1838" spans="1:8" outlineLevel="2" x14ac:dyDescent="0.3">
      <c r="A1838" s="6">
        <v>23</v>
      </c>
      <c r="B1838" t="s">
        <v>662</v>
      </c>
      <c r="C1838" s="9" t="s">
        <v>963</v>
      </c>
      <c r="D1838" s="9">
        <v>60</v>
      </c>
      <c r="E1838" s="9" t="s">
        <v>1804</v>
      </c>
      <c r="F1838" t="s">
        <v>400</v>
      </c>
      <c r="G1838" t="s">
        <v>401</v>
      </c>
      <c r="H1838" t="s">
        <v>1185</v>
      </c>
    </row>
    <row r="1839" spans="1:8" outlineLevel="2" x14ac:dyDescent="0.3">
      <c r="A1839" s="6">
        <v>23</v>
      </c>
      <c r="B1839" t="s">
        <v>662</v>
      </c>
      <c r="C1839" s="9" t="s">
        <v>963</v>
      </c>
      <c r="D1839" s="9">
        <v>60</v>
      </c>
      <c r="E1839" s="9" t="s">
        <v>1804</v>
      </c>
      <c r="F1839" t="s">
        <v>403</v>
      </c>
      <c r="G1839" t="s">
        <v>386</v>
      </c>
      <c r="H1839" t="s">
        <v>1432</v>
      </c>
    </row>
    <row r="1840" spans="1:8" outlineLevel="2" x14ac:dyDescent="0.3">
      <c r="A1840" s="6">
        <v>23</v>
      </c>
      <c r="B1840" t="s">
        <v>662</v>
      </c>
      <c r="C1840" s="9" t="s">
        <v>963</v>
      </c>
      <c r="D1840" s="9">
        <v>60</v>
      </c>
      <c r="E1840" s="9" t="s">
        <v>1804</v>
      </c>
      <c r="F1840" t="s">
        <v>167</v>
      </c>
      <c r="G1840" t="s">
        <v>168</v>
      </c>
      <c r="H1840" t="s">
        <v>1533</v>
      </c>
    </row>
    <row r="1841" spans="1:8" outlineLevel="2" x14ac:dyDescent="0.3">
      <c r="A1841" s="6">
        <v>23</v>
      </c>
      <c r="B1841" t="s">
        <v>662</v>
      </c>
      <c r="C1841" s="9" t="s">
        <v>963</v>
      </c>
      <c r="D1841" s="9">
        <v>63</v>
      </c>
      <c r="E1841" s="9" t="s">
        <v>1804</v>
      </c>
      <c r="F1841" t="s">
        <v>105</v>
      </c>
      <c r="G1841" t="s">
        <v>171</v>
      </c>
      <c r="H1841" t="s">
        <v>1535</v>
      </c>
    </row>
    <row r="1842" spans="1:8" outlineLevel="2" x14ac:dyDescent="0.3">
      <c r="A1842" s="6">
        <v>23</v>
      </c>
      <c r="B1842" t="s">
        <v>662</v>
      </c>
      <c r="C1842" s="9" t="s">
        <v>963</v>
      </c>
      <c r="D1842" s="9">
        <v>60</v>
      </c>
      <c r="E1842" s="9" t="s">
        <v>1804</v>
      </c>
      <c r="F1842" t="s">
        <v>170</v>
      </c>
      <c r="G1842" t="s">
        <v>171</v>
      </c>
      <c r="H1842" t="s">
        <v>1535</v>
      </c>
    </row>
    <row r="1843" spans="1:8" outlineLevel="2" x14ac:dyDescent="0.3">
      <c r="A1843" s="6">
        <v>23</v>
      </c>
      <c r="B1843" t="s">
        <v>662</v>
      </c>
      <c r="C1843" s="9" t="s">
        <v>963</v>
      </c>
      <c r="D1843" s="9">
        <v>63</v>
      </c>
      <c r="E1843" s="9" t="s">
        <v>1804</v>
      </c>
      <c r="F1843" t="s">
        <v>404</v>
      </c>
      <c r="G1843" t="s">
        <v>115</v>
      </c>
      <c r="H1843" t="s">
        <v>1536</v>
      </c>
    </row>
    <row r="1844" spans="1:8" outlineLevel="2" x14ac:dyDescent="0.3">
      <c r="A1844" s="6">
        <v>23</v>
      </c>
      <c r="B1844" t="s">
        <v>662</v>
      </c>
      <c r="C1844" s="9" t="s">
        <v>963</v>
      </c>
      <c r="D1844" s="9">
        <v>60</v>
      </c>
      <c r="E1844" s="9" t="s">
        <v>1804</v>
      </c>
      <c r="F1844" t="s">
        <v>686</v>
      </c>
      <c r="G1844" t="s">
        <v>115</v>
      </c>
      <c r="H1844" t="s">
        <v>1536</v>
      </c>
    </row>
    <row r="1845" spans="1:8" outlineLevel="2" x14ac:dyDescent="0.3">
      <c r="A1845" s="6">
        <v>23</v>
      </c>
      <c r="B1845" t="s">
        <v>662</v>
      </c>
      <c r="C1845" s="9" t="s">
        <v>963</v>
      </c>
      <c r="D1845" s="9">
        <v>63</v>
      </c>
      <c r="E1845" s="9" t="s">
        <v>1804</v>
      </c>
      <c r="F1845" t="s">
        <v>349</v>
      </c>
      <c r="G1845" t="s">
        <v>32</v>
      </c>
      <c r="H1845" t="s">
        <v>1537</v>
      </c>
    </row>
    <row r="1846" spans="1:8" outlineLevel="2" x14ac:dyDescent="0.3">
      <c r="A1846" s="6">
        <v>23</v>
      </c>
      <c r="B1846" t="s">
        <v>662</v>
      </c>
      <c r="C1846" s="9" t="s">
        <v>963</v>
      </c>
      <c r="D1846" s="9">
        <v>60</v>
      </c>
      <c r="E1846" s="9" t="s">
        <v>1804</v>
      </c>
      <c r="F1846" t="s">
        <v>106</v>
      </c>
      <c r="G1846" t="s">
        <v>32</v>
      </c>
      <c r="H1846" t="s">
        <v>1537</v>
      </c>
    </row>
    <row r="1847" spans="1:8" outlineLevel="2" x14ac:dyDescent="0.3">
      <c r="A1847" s="6">
        <v>23</v>
      </c>
      <c r="B1847" t="s">
        <v>662</v>
      </c>
      <c r="C1847" s="9" t="s">
        <v>963</v>
      </c>
      <c r="D1847" s="9">
        <v>63</v>
      </c>
      <c r="E1847" s="9" t="s">
        <v>1804</v>
      </c>
      <c r="F1847" t="s">
        <v>350</v>
      </c>
      <c r="G1847" t="s">
        <v>504</v>
      </c>
      <c r="H1847" t="s">
        <v>1538</v>
      </c>
    </row>
    <row r="1848" spans="1:8" outlineLevel="2" x14ac:dyDescent="0.3">
      <c r="A1848" s="6">
        <v>23</v>
      </c>
      <c r="B1848" t="s">
        <v>662</v>
      </c>
      <c r="C1848" s="9" t="s">
        <v>963</v>
      </c>
      <c r="D1848" s="9">
        <v>60</v>
      </c>
      <c r="E1848" s="9" t="s">
        <v>1804</v>
      </c>
      <c r="F1848" t="s">
        <v>656</v>
      </c>
      <c r="G1848" t="s">
        <v>504</v>
      </c>
      <c r="H1848" t="s">
        <v>1538</v>
      </c>
    </row>
    <row r="1849" spans="1:8" outlineLevel="2" x14ac:dyDescent="0.3">
      <c r="A1849" s="6">
        <v>23</v>
      </c>
      <c r="B1849" t="s">
        <v>662</v>
      </c>
      <c r="C1849" s="9" t="s">
        <v>963</v>
      </c>
      <c r="D1849" s="9">
        <v>63</v>
      </c>
      <c r="E1849" s="9" t="s">
        <v>1804</v>
      </c>
      <c r="F1849" t="s">
        <v>687</v>
      </c>
      <c r="G1849" t="s">
        <v>752</v>
      </c>
      <c r="H1849" t="s">
        <v>1540</v>
      </c>
    </row>
    <row r="1850" spans="1:8" outlineLevel="2" x14ac:dyDescent="0.3">
      <c r="A1850" s="6">
        <v>23</v>
      </c>
      <c r="B1850" t="s">
        <v>662</v>
      </c>
      <c r="C1850" s="9" t="s">
        <v>963</v>
      </c>
      <c r="D1850" s="9">
        <v>60</v>
      </c>
      <c r="E1850" s="9" t="s">
        <v>1804</v>
      </c>
      <c r="F1850" t="s">
        <v>107</v>
      </c>
      <c r="G1850" t="s">
        <v>108</v>
      </c>
      <c r="H1850" t="s">
        <v>1140</v>
      </c>
    </row>
    <row r="1851" spans="1:8" outlineLevel="2" x14ac:dyDescent="0.3">
      <c r="A1851" s="6">
        <v>23</v>
      </c>
      <c r="B1851" t="s">
        <v>662</v>
      </c>
      <c r="C1851" s="9" t="s">
        <v>963</v>
      </c>
      <c r="D1851" s="9">
        <v>66</v>
      </c>
      <c r="E1851" s="9" t="s">
        <v>1804</v>
      </c>
      <c r="F1851" t="s">
        <v>353</v>
      </c>
      <c r="G1851" t="s">
        <v>354</v>
      </c>
      <c r="H1851" t="s">
        <v>1020</v>
      </c>
    </row>
    <row r="1852" spans="1:8" outlineLevel="2" x14ac:dyDescent="0.3">
      <c r="A1852" s="6">
        <v>23</v>
      </c>
      <c r="B1852" t="s">
        <v>662</v>
      </c>
      <c r="C1852" s="9" t="s">
        <v>963</v>
      </c>
      <c r="D1852" s="9">
        <v>64</v>
      </c>
      <c r="E1852" s="9" t="s">
        <v>1804</v>
      </c>
      <c r="F1852" t="s">
        <v>356</v>
      </c>
      <c r="G1852" t="s">
        <v>115</v>
      </c>
      <c r="H1852" t="s">
        <v>1121</v>
      </c>
    </row>
    <row r="1853" spans="1:8" outlineLevel="2" x14ac:dyDescent="0.3">
      <c r="A1853" s="6">
        <v>23</v>
      </c>
      <c r="B1853" t="s">
        <v>662</v>
      </c>
      <c r="C1853" s="9" t="s">
        <v>963</v>
      </c>
      <c r="D1853" s="9">
        <v>60</v>
      </c>
      <c r="E1853" s="9" t="s">
        <v>1804</v>
      </c>
      <c r="F1853" t="s">
        <v>114</v>
      </c>
      <c r="G1853" t="s">
        <v>115</v>
      </c>
      <c r="H1853" t="s">
        <v>1121</v>
      </c>
    </row>
    <row r="1854" spans="1:8" outlineLevel="2" x14ac:dyDescent="0.3">
      <c r="A1854" s="6">
        <v>23</v>
      </c>
      <c r="B1854" t="s">
        <v>662</v>
      </c>
      <c r="C1854" s="9" t="s">
        <v>963</v>
      </c>
      <c r="D1854" s="9">
        <v>60</v>
      </c>
      <c r="E1854" s="9" t="s">
        <v>1804</v>
      </c>
      <c r="F1854" t="s">
        <v>120</v>
      </c>
      <c r="G1854" t="s">
        <v>51</v>
      </c>
      <c r="H1854" t="s">
        <v>1590</v>
      </c>
    </row>
    <row r="1855" spans="1:8" outlineLevel="2" x14ac:dyDescent="0.3">
      <c r="A1855" s="6">
        <v>23</v>
      </c>
      <c r="B1855" t="s">
        <v>662</v>
      </c>
      <c r="C1855" s="9" t="s">
        <v>963</v>
      </c>
      <c r="D1855" s="9">
        <v>61</v>
      </c>
      <c r="E1855" s="9" t="s">
        <v>1804</v>
      </c>
      <c r="F1855" t="s">
        <v>357</v>
      </c>
      <c r="G1855" t="s">
        <v>616</v>
      </c>
      <c r="H1855" t="s">
        <v>1827</v>
      </c>
    </row>
    <row r="1856" spans="1:8" outlineLevel="2" x14ac:dyDescent="0.3">
      <c r="A1856" s="6">
        <v>23</v>
      </c>
      <c r="B1856" t="s">
        <v>662</v>
      </c>
      <c r="C1856" s="9" t="s">
        <v>963</v>
      </c>
      <c r="D1856" s="9">
        <v>60</v>
      </c>
      <c r="E1856" s="9" t="s">
        <v>1804</v>
      </c>
      <c r="F1856" t="s">
        <v>615</v>
      </c>
      <c r="G1856" t="s">
        <v>616</v>
      </c>
      <c r="H1856" t="s">
        <v>1683</v>
      </c>
    </row>
    <row r="1857" spans="1:8" outlineLevel="2" x14ac:dyDescent="0.3">
      <c r="A1857" s="6">
        <v>23</v>
      </c>
      <c r="B1857" t="s">
        <v>662</v>
      </c>
      <c r="C1857" s="9" t="s">
        <v>963</v>
      </c>
      <c r="D1857" s="9">
        <v>62</v>
      </c>
      <c r="E1857" s="9" t="s">
        <v>1804</v>
      </c>
      <c r="F1857" t="s">
        <v>405</v>
      </c>
      <c r="G1857" t="s">
        <v>260</v>
      </c>
      <c r="H1857" t="s">
        <v>1022</v>
      </c>
    </row>
    <row r="1858" spans="1:8" outlineLevel="2" x14ac:dyDescent="0.3">
      <c r="A1858" s="6">
        <v>23</v>
      </c>
      <c r="B1858" t="s">
        <v>662</v>
      </c>
      <c r="C1858" s="9" t="s">
        <v>963</v>
      </c>
      <c r="D1858" s="9">
        <v>83</v>
      </c>
      <c r="E1858" s="9" t="s">
        <v>1804</v>
      </c>
      <c r="F1858" t="s">
        <v>364</v>
      </c>
      <c r="G1858" t="s">
        <v>301</v>
      </c>
      <c r="H1858" t="s">
        <v>1795</v>
      </c>
    </row>
    <row r="1859" spans="1:8" outlineLevel="2" x14ac:dyDescent="0.3">
      <c r="A1859" s="6">
        <v>23</v>
      </c>
      <c r="B1859" t="s">
        <v>662</v>
      </c>
      <c r="C1859" s="9" t="s">
        <v>963</v>
      </c>
      <c r="D1859" s="9">
        <v>64</v>
      </c>
      <c r="E1859" s="9" t="s">
        <v>1804</v>
      </c>
      <c r="F1859" t="s">
        <v>475</v>
      </c>
      <c r="G1859" t="s">
        <v>476</v>
      </c>
      <c r="H1859" t="s">
        <v>1127</v>
      </c>
    </row>
    <row r="1860" spans="1:8" outlineLevel="2" x14ac:dyDescent="0.3">
      <c r="A1860" s="6">
        <v>23</v>
      </c>
      <c r="B1860" t="s">
        <v>662</v>
      </c>
      <c r="C1860" s="9" t="s">
        <v>963</v>
      </c>
      <c r="D1860" s="9">
        <v>64</v>
      </c>
      <c r="E1860" s="9" t="s">
        <v>1804</v>
      </c>
      <c r="F1860" t="s">
        <v>478</v>
      </c>
      <c r="G1860" t="s">
        <v>479</v>
      </c>
      <c r="H1860" t="s">
        <v>1128</v>
      </c>
    </row>
    <row r="1861" spans="1:8" outlineLevel="2" x14ac:dyDescent="0.3">
      <c r="A1861" s="6">
        <v>23</v>
      </c>
      <c r="B1861" t="s">
        <v>662</v>
      </c>
      <c r="C1861" s="9" t="s">
        <v>963</v>
      </c>
      <c r="D1861" s="9">
        <v>60</v>
      </c>
      <c r="E1861" s="9" t="s">
        <v>1804</v>
      </c>
      <c r="F1861" t="s">
        <v>367</v>
      </c>
      <c r="G1861" t="s">
        <v>368</v>
      </c>
      <c r="H1861" t="s">
        <v>1688</v>
      </c>
    </row>
    <row r="1862" spans="1:8" outlineLevel="2" x14ac:dyDescent="0.3">
      <c r="A1862" s="6">
        <v>23</v>
      </c>
      <c r="B1862" t="s">
        <v>662</v>
      </c>
      <c r="C1862" s="9" t="s">
        <v>963</v>
      </c>
      <c r="D1862" s="9">
        <v>64</v>
      </c>
      <c r="E1862" s="9" t="s">
        <v>1804</v>
      </c>
      <c r="F1862" t="s">
        <v>372</v>
      </c>
      <c r="G1862" t="s">
        <v>312</v>
      </c>
      <c r="H1862" t="s">
        <v>973</v>
      </c>
    </row>
    <row r="1863" spans="1:8" outlineLevel="2" x14ac:dyDescent="0.3">
      <c r="A1863" s="6">
        <v>23</v>
      </c>
      <c r="B1863" t="s">
        <v>662</v>
      </c>
      <c r="C1863" s="9" t="s">
        <v>963</v>
      </c>
      <c r="D1863" s="9">
        <v>72</v>
      </c>
      <c r="E1863" s="9" t="s">
        <v>1804</v>
      </c>
      <c r="F1863" t="s">
        <v>373</v>
      </c>
      <c r="G1863" t="s">
        <v>832</v>
      </c>
      <c r="H1863" t="s">
        <v>1828</v>
      </c>
    </row>
    <row r="1864" spans="1:8" outlineLevel="2" x14ac:dyDescent="0.3">
      <c r="A1864" s="6">
        <v>23</v>
      </c>
      <c r="B1864" t="s">
        <v>662</v>
      </c>
      <c r="C1864" s="9" t="s">
        <v>963</v>
      </c>
      <c r="D1864" s="9">
        <v>64</v>
      </c>
      <c r="E1864" s="9" t="s">
        <v>1804</v>
      </c>
      <c r="F1864" t="s">
        <v>125</v>
      </c>
      <c r="G1864" t="s">
        <v>126</v>
      </c>
      <c r="H1864" t="s">
        <v>1581</v>
      </c>
    </row>
    <row r="1865" spans="1:8" outlineLevel="2" x14ac:dyDescent="0.3">
      <c r="A1865" s="6">
        <v>23</v>
      </c>
      <c r="B1865" t="s">
        <v>662</v>
      </c>
      <c r="C1865" s="9" t="s">
        <v>963</v>
      </c>
      <c r="D1865" s="9">
        <v>64</v>
      </c>
      <c r="E1865" s="9" t="s">
        <v>1804</v>
      </c>
      <c r="F1865" t="s">
        <v>374</v>
      </c>
      <c r="G1865" t="s">
        <v>129</v>
      </c>
      <c r="H1865" t="s">
        <v>1582</v>
      </c>
    </row>
    <row r="1866" spans="1:8" outlineLevel="2" x14ac:dyDescent="0.3">
      <c r="A1866" s="6">
        <v>23</v>
      </c>
      <c r="B1866" t="s">
        <v>662</v>
      </c>
      <c r="C1866" s="9" t="s">
        <v>963</v>
      </c>
      <c r="D1866" s="9">
        <v>60</v>
      </c>
      <c r="E1866" s="9" t="s">
        <v>1804</v>
      </c>
      <c r="F1866" t="s">
        <v>128</v>
      </c>
      <c r="G1866" t="s">
        <v>129</v>
      </c>
      <c r="H1866" t="s">
        <v>1582</v>
      </c>
    </row>
    <row r="1867" spans="1:8" outlineLevel="2" x14ac:dyDescent="0.3">
      <c r="A1867" s="6">
        <v>23</v>
      </c>
      <c r="B1867" t="s">
        <v>662</v>
      </c>
      <c r="C1867" s="9" t="s">
        <v>963</v>
      </c>
      <c r="D1867" s="9">
        <v>60</v>
      </c>
      <c r="E1867" s="9" t="s">
        <v>1804</v>
      </c>
      <c r="F1867" t="s">
        <v>407</v>
      </c>
      <c r="G1867" t="s">
        <v>396</v>
      </c>
      <c r="H1867" t="s">
        <v>1583</v>
      </c>
    </row>
    <row r="1868" spans="1:8" outlineLevel="2" x14ac:dyDescent="0.3">
      <c r="A1868" s="6">
        <v>23</v>
      </c>
      <c r="B1868" t="s">
        <v>662</v>
      </c>
      <c r="C1868" s="9" t="s">
        <v>963</v>
      </c>
      <c r="D1868" s="9">
        <v>60</v>
      </c>
      <c r="E1868" s="9" t="s">
        <v>1804</v>
      </c>
      <c r="F1868" t="s">
        <v>688</v>
      </c>
      <c r="G1868" t="s">
        <v>576</v>
      </c>
      <c r="H1868" t="s">
        <v>1584</v>
      </c>
    </row>
    <row r="1869" spans="1:8" outlineLevel="2" x14ac:dyDescent="0.3">
      <c r="A1869" s="6">
        <v>23</v>
      </c>
      <c r="B1869" t="s">
        <v>662</v>
      </c>
      <c r="C1869" s="9" t="s">
        <v>963</v>
      </c>
      <c r="D1869" s="9">
        <v>63</v>
      </c>
      <c r="E1869" s="9" t="s">
        <v>1804</v>
      </c>
      <c r="F1869" t="s">
        <v>689</v>
      </c>
      <c r="G1869" t="s">
        <v>691</v>
      </c>
      <c r="H1869" t="s">
        <v>1857</v>
      </c>
    </row>
    <row r="1870" spans="1:8" outlineLevel="2" x14ac:dyDescent="0.3">
      <c r="A1870" s="6">
        <v>23</v>
      </c>
      <c r="B1870" t="s">
        <v>662</v>
      </c>
      <c r="C1870" s="9" t="s">
        <v>963</v>
      </c>
      <c r="D1870" s="9">
        <v>60</v>
      </c>
      <c r="E1870" s="9" t="s">
        <v>1804</v>
      </c>
      <c r="F1870" t="s">
        <v>690</v>
      </c>
      <c r="G1870" t="s">
        <v>691</v>
      </c>
      <c r="H1870" t="s">
        <v>1585</v>
      </c>
    </row>
    <row r="1871" spans="1:8" outlineLevel="2" x14ac:dyDescent="0.3">
      <c r="A1871" s="6">
        <v>23</v>
      </c>
      <c r="B1871" t="s">
        <v>662</v>
      </c>
      <c r="C1871" s="9" t="s">
        <v>963</v>
      </c>
      <c r="D1871" s="9">
        <v>60</v>
      </c>
      <c r="E1871" s="9" t="s">
        <v>1804</v>
      </c>
      <c r="F1871" t="s">
        <v>131</v>
      </c>
      <c r="G1871" t="s">
        <v>376</v>
      </c>
      <c r="H1871" t="s">
        <v>1818</v>
      </c>
    </row>
    <row r="1872" spans="1:8" outlineLevel="2" x14ac:dyDescent="0.3">
      <c r="A1872" s="6">
        <v>23</v>
      </c>
      <c r="B1872" t="s">
        <v>662</v>
      </c>
      <c r="C1872" s="9" t="s">
        <v>963</v>
      </c>
      <c r="D1872" s="9">
        <v>60</v>
      </c>
      <c r="E1872" s="9" t="s">
        <v>1804</v>
      </c>
      <c r="F1872" t="s">
        <v>375</v>
      </c>
      <c r="G1872" t="s">
        <v>376</v>
      </c>
      <c r="H1872" t="s">
        <v>1586</v>
      </c>
    </row>
    <row r="1873" spans="1:8" outlineLevel="2" x14ac:dyDescent="0.3">
      <c r="A1873" s="6">
        <v>23</v>
      </c>
      <c r="B1873" t="s">
        <v>662</v>
      </c>
      <c r="C1873" s="9" t="s">
        <v>963</v>
      </c>
      <c r="D1873" s="9">
        <v>60</v>
      </c>
      <c r="E1873" s="9" t="s">
        <v>1804</v>
      </c>
      <c r="F1873" t="s">
        <v>378</v>
      </c>
      <c r="G1873" t="s">
        <v>320</v>
      </c>
      <c r="H1873" t="s">
        <v>1247</v>
      </c>
    </row>
    <row r="1874" spans="1:8" outlineLevel="1" x14ac:dyDescent="0.3">
      <c r="A1874" s="16" t="s">
        <v>2209</v>
      </c>
      <c r="H1874">
        <f>SUBTOTAL(3,H1758:H1873)</f>
        <v>116</v>
      </c>
    </row>
    <row r="1875" spans="1:8" outlineLevel="2" x14ac:dyDescent="0.3">
      <c r="A1875" s="6">
        <v>24</v>
      </c>
      <c r="B1875" t="s">
        <v>647</v>
      </c>
      <c r="C1875" s="9" t="s">
        <v>1807</v>
      </c>
      <c r="D1875" s="9">
        <v>1230</v>
      </c>
      <c r="E1875" s="9" t="s">
        <v>1808</v>
      </c>
      <c r="F1875" t="s">
        <v>10</v>
      </c>
      <c r="G1875" t="s">
        <v>526</v>
      </c>
      <c r="H1875" t="s">
        <v>1812</v>
      </c>
    </row>
    <row r="1876" spans="1:8" outlineLevel="2" x14ac:dyDescent="0.3">
      <c r="A1876" s="6">
        <v>24</v>
      </c>
      <c r="B1876" t="s">
        <v>647</v>
      </c>
      <c r="C1876" s="9" t="s">
        <v>932</v>
      </c>
      <c r="D1876" s="9">
        <v>24</v>
      </c>
      <c r="E1876" s="9" t="s">
        <v>1804</v>
      </c>
      <c r="F1876" t="s">
        <v>195</v>
      </c>
      <c r="G1876" t="s">
        <v>196</v>
      </c>
      <c r="H1876" t="s">
        <v>1263</v>
      </c>
    </row>
    <row r="1877" spans="1:8" outlineLevel="2" x14ac:dyDescent="0.3">
      <c r="A1877" s="6">
        <v>24</v>
      </c>
      <c r="B1877" t="s">
        <v>647</v>
      </c>
      <c r="C1877" s="9" t="s">
        <v>932</v>
      </c>
      <c r="D1877" s="9">
        <v>37</v>
      </c>
      <c r="E1877" s="9" t="s">
        <v>1804</v>
      </c>
      <c r="F1877" t="s">
        <v>198</v>
      </c>
      <c r="G1877" t="s">
        <v>196</v>
      </c>
      <c r="H1877" t="s">
        <v>1267</v>
      </c>
    </row>
    <row r="1878" spans="1:8" outlineLevel="2" x14ac:dyDescent="0.3">
      <c r="A1878" s="6">
        <v>24</v>
      </c>
      <c r="B1878" t="s">
        <v>647</v>
      </c>
      <c r="C1878" s="9" t="s">
        <v>932</v>
      </c>
      <c r="D1878" s="9">
        <v>42</v>
      </c>
      <c r="E1878" s="9" t="s">
        <v>1804</v>
      </c>
      <c r="F1878" t="s">
        <v>14</v>
      </c>
      <c r="G1878" t="s">
        <v>15</v>
      </c>
      <c r="H1878" t="s">
        <v>1290</v>
      </c>
    </row>
    <row r="1879" spans="1:8" outlineLevel="2" x14ac:dyDescent="0.3">
      <c r="A1879" s="6">
        <v>24</v>
      </c>
      <c r="B1879" t="s">
        <v>647</v>
      </c>
      <c r="C1879" s="9" t="s">
        <v>932</v>
      </c>
      <c r="D1879" s="9">
        <v>12</v>
      </c>
      <c r="E1879" s="9" t="s">
        <v>1804</v>
      </c>
      <c r="F1879" t="s">
        <v>204</v>
      </c>
      <c r="G1879" t="s">
        <v>15</v>
      </c>
      <c r="H1879" t="s">
        <v>1292</v>
      </c>
    </row>
    <row r="1880" spans="1:8" outlineLevel="2" x14ac:dyDescent="0.3">
      <c r="A1880" s="6">
        <v>24</v>
      </c>
      <c r="B1880" t="s">
        <v>647</v>
      </c>
      <c r="C1880" s="9" t="s">
        <v>932</v>
      </c>
      <c r="D1880" s="9">
        <v>30</v>
      </c>
      <c r="E1880" s="9" t="s">
        <v>1804</v>
      </c>
      <c r="F1880" t="s">
        <v>649</v>
      </c>
      <c r="G1880" t="s">
        <v>19</v>
      </c>
      <c r="H1880" t="s">
        <v>1299</v>
      </c>
    </row>
    <row r="1881" spans="1:8" outlineLevel="2" x14ac:dyDescent="0.3">
      <c r="A1881" s="6">
        <v>24</v>
      </c>
      <c r="B1881" t="s">
        <v>647</v>
      </c>
      <c r="C1881" s="9" t="s">
        <v>1807</v>
      </c>
      <c r="D1881" s="9">
        <v>1330</v>
      </c>
      <c r="E1881" s="9" t="s">
        <v>1808</v>
      </c>
      <c r="F1881" t="s">
        <v>207</v>
      </c>
      <c r="G1881" t="s">
        <v>19</v>
      </c>
      <c r="H1881" t="s">
        <v>1301</v>
      </c>
    </row>
    <row r="1882" spans="1:8" outlineLevel="2" x14ac:dyDescent="0.3">
      <c r="A1882" s="6">
        <v>24</v>
      </c>
      <c r="B1882" t="s">
        <v>647</v>
      </c>
      <c r="C1882" s="9" t="s">
        <v>1807</v>
      </c>
      <c r="D1882" s="9">
        <v>165</v>
      </c>
      <c r="E1882" s="9" t="s">
        <v>1808</v>
      </c>
      <c r="F1882" t="s">
        <v>410</v>
      </c>
      <c r="G1882" t="s">
        <v>411</v>
      </c>
      <c r="H1882" t="s">
        <v>1313</v>
      </c>
    </row>
    <row r="1883" spans="1:8" outlineLevel="2" x14ac:dyDescent="0.3">
      <c r="A1883" s="6">
        <v>24</v>
      </c>
      <c r="B1883" t="s">
        <v>647</v>
      </c>
      <c r="C1883" s="9" t="s">
        <v>1807</v>
      </c>
      <c r="D1883" s="9">
        <v>1350</v>
      </c>
      <c r="E1883" s="9" t="s">
        <v>1808</v>
      </c>
      <c r="F1883" t="s">
        <v>413</v>
      </c>
      <c r="G1883" t="s">
        <v>414</v>
      </c>
      <c r="H1883" t="s">
        <v>1332</v>
      </c>
    </row>
    <row r="1884" spans="1:8" outlineLevel="2" x14ac:dyDescent="0.3">
      <c r="A1884" s="6">
        <v>24</v>
      </c>
      <c r="B1884" t="s">
        <v>647</v>
      </c>
      <c r="C1884" s="9" t="s">
        <v>1807</v>
      </c>
      <c r="D1884" s="9">
        <v>165</v>
      </c>
      <c r="E1884" s="9" t="s">
        <v>1808</v>
      </c>
      <c r="F1884" t="s">
        <v>152</v>
      </c>
      <c r="G1884" t="s">
        <v>26</v>
      </c>
      <c r="H1884" t="s">
        <v>1335</v>
      </c>
    </row>
    <row r="1885" spans="1:8" outlineLevel="2" x14ac:dyDescent="0.3">
      <c r="A1885" s="6">
        <v>24</v>
      </c>
      <c r="B1885" t="s">
        <v>647</v>
      </c>
      <c r="C1885" s="9" t="s">
        <v>932</v>
      </c>
      <c r="D1885" s="9">
        <v>36</v>
      </c>
      <c r="E1885" s="9" t="s">
        <v>1804</v>
      </c>
      <c r="F1885" t="s">
        <v>28</v>
      </c>
      <c r="G1885" t="s">
        <v>29</v>
      </c>
      <c r="H1885" t="s">
        <v>1180</v>
      </c>
    </row>
    <row r="1886" spans="1:8" outlineLevel="2" x14ac:dyDescent="0.3">
      <c r="A1886" s="6">
        <v>24</v>
      </c>
      <c r="B1886" t="s">
        <v>647</v>
      </c>
      <c r="C1886" s="9" t="s">
        <v>932</v>
      </c>
      <c r="D1886" s="9">
        <v>18</v>
      </c>
      <c r="E1886" s="9" t="s">
        <v>1804</v>
      </c>
      <c r="F1886" t="s">
        <v>389</v>
      </c>
      <c r="G1886" t="s">
        <v>171</v>
      </c>
      <c r="H1886" t="s">
        <v>1447</v>
      </c>
    </row>
    <row r="1887" spans="1:8" outlineLevel="2" x14ac:dyDescent="0.3">
      <c r="A1887" s="6">
        <v>24</v>
      </c>
      <c r="B1887" t="s">
        <v>647</v>
      </c>
      <c r="C1887" s="9" t="s">
        <v>932</v>
      </c>
      <c r="D1887" s="9">
        <v>33</v>
      </c>
      <c r="E1887" s="9" t="s">
        <v>1804</v>
      </c>
      <c r="F1887" t="s">
        <v>390</v>
      </c>
      <c r="G1887" t="s">
        <v>391</v>
      </c>
      <c r="H1887" t="s">
        <v>1449</v>
      </c>
    </row>
    <row r="1888" spans="1:8" outlineLevel="2" x14ac:dyDescent="0.3">
      <c r="A1888" s="6">
        <v>24</v>
      </c>
      <c r="B1888" t="s">
        <v>647</v>
      </c>
      <c r="C1888" s="9" t="s">
        <v>932</v>
      </c>
      <c r="D1888" s="9">
        <v>24</v>
      </c>
      <c r="E1888" s="9" t="s">
        <v>1804</v>
      </c>
      <c r="F1888" t="s">
        <v>31</v>
      </c>
      <c r="G1888" t="s">
        <v>32</v>
      </c>
      <c r="H1888" t="s">
        <v>1483</v>
      </c>
    </row>
    <row r="1889" spans="1:8" outlineLevel="2" x14ac:dyDescent="0.3">
      <c r="A1889" s="6">
        <v>24</v>
      </c>
      <c r="B1889" t="s">
        <v>647</v>
      </c>
      <c r="C1889" s="9" t="s">
        <v>932</v>
      </c>
      <c r="D1889" s="9">
        <v>21</v>
      </c>
      <c r="E1889" s="9" t="s">
        <v>1804</v>
      </c>
      <c r="F1889" t="s">
        <v>34</v>
      </c>
      <c r="G1889" t="s">
        <v>32</v>
      </c>
      <c r="H1889" t="s">
        <v>1485</v>
      </c>
    </row>
    <row r="1890" spans="1:8" outlineLevel="2" x14ac:dyDescent="0.3">
      <c r="A1890" s="6">
        <v>24</v>
      </c>
      <c r="B1890" t="s">
        <v>647</v>
      </c>
      <c r="C1890" s="9" t="s">
        <v>932</v>
      </c>
      <c r="D1890" s="9">
        <v>30</v>
      </c>
      <c r="E1890" s="9" t="s">
        <v>1804</v>
      </c>
      <c r="F1890" t="s">
        <v>35</v>
      </c>
      <c r="G1890" t="s">
        <v>32</v>
      </c>
      <c r="H1890" t="s">
        <v>1489</v>
      </c>
    </row>
    <row r="1891" spans="1:8" outlineLevel="2" x14ac:dyDescent="0.3">
      <c r="A1891" s="6">
        <v>24</v>
      </c>
      <c r="B1891" t="s">
        <v>647</v>
      </c>
      <c r="C1891" s="9" t="s">
        <v>932</v>
      </c>
      <c r="D1891" s="9">
        <v>18</v>
      </c>
      <c r="E1891" s="9" t="s">
        <v>1804</v>
      </c>
      <c r="F1891" t="s">
        <v>229</v>
      </c>
      <c r="G1891" t="s">
        <v>230</v>
      </c>
      <c r="H1891" t="s">
        <v>1170</v>
      </c>
    </row>
    <row r="1892" spans="1:8" outlineLevel="2" x14ac:dyDescent="0.3">
      <c r="A1892" s="6">
        <v>24</v>
      </c>
      <c r="B1892" t="s">
        <v>647</v>
      </c>
      <c r="C1892" s="9" t="s">
        <v>932</v>
      </c>
      <c r="D1892" s="9">
        <v>15</v>
      </c>
      <c r="E1892" s="9" t="s">
        <v>1804</v>
      </c>
      <c r="F1892" t="s">
        <v>515</v>
      </c>
      <c r="G1892" t="s">
        <v>238</v>
      </c>
      <c r="H1892" t="s">
        <v>1064</v>
      </c>
    </row>
    <row r="1893" spans="1:8" outlineLevel="2" x14ac:dyDescent="0.3">
      <c r="A1893" s="6">
        <v>24</v>
      </c>
      <c r="B1893" t="s">
        <v>647</v>
      </c>
      <c r="C1893" s="9" t="s">
        <v>932</v>
      </c>
      <c r="D1893" s="9">
        <v>24</v>
      </c>
      <c r="E1893" s="9" t="s">
        <v>1804</v>
      </c>
      <c r="F1893" t="s">
        <v>237</v>
      </c>
      <c r="G1893" t="s">
        <v>238</v>
      </c>
      <c r="H1893" t="s">
        <v>1065</v>
      </c>
    </row>
    <row r="1894" spans="1:8" outlineLevel="2" x14ac:dyDescent="0.3">
      <c r="A1894" s="6">
        <v>24</v>
      </c>
      <c r="B1894" t="s">
        <v>647</v>
      </c>
      <c r="C1894" s="9" t="s">
        <v>1807</v>
      </c>
      <c r="D1894" s="9">
        <v>750</v>
      </c>
      <c r="E1894" s="9" t="s">
        <v>1808</v>
      </c>
      <c r="F1894" t="s">
        <v>248</v>
      </c>
      <c r="G1894" t="s">
        <v>249</v>
      </c>
      <c r="H1894" t="s">
        <v>979</v>
      </c>
    </row>
    <row r="1895" spans="1:8" outlineLevel="2" x14ac:dyDescent="0.3">
      <c r="A1895" s="6">
        <v>24</v>
      </c>
      <c r="B1895" t="s">
        <v>647</v>
      </c>
      <c r="C1895" s="9" t="s">
        <v>976</v>
      </c>
      <c r="D1895" s="9">
        <v>68</v>
      </c>
      <c r="E1895" s="9" t="s">
        <v>1804</v>
      </c>
      <c r="F1895" t="s">
        <v>255</v>
      </c>
      <c r="G1895" t="s">
        <v>256</v>
      </c>
      <c r="H1895" t="s">
        <v>1715</v>
      </c>
    </row>
    <row r="1896" spans="1:8" outlineLevel="2" x14ac:dyDescent="0.3">
      <c r="A1896" s="6">
        <v>24</v>
      </c>
      <c r="B1896" t="s">
        <v>647</v>
      </c>
      <c r="C1896" s="9" t="s">
        <v>932</v>
      </c>
      <c r="D1896" s="9">
        <v>37</v>
      </c>
      <c r="E1896" s="9" t="s">
        <v>1804</v>
      </c>
      <c r="F1896" t="s">
        <v>268</v>
      </c>
      <c r="G1896" t="s">
        <v>269</v>
      </c>
      <c r="H1896" t="s">
        <v>1645</v>
      </c>
    </row>
    <row r="1897" spans="1:8" outlineLevel="2" x14ac:dyDescent="0.3">
      <c r="A1897" s="6">
        <v>24</v>
      </c>
      <c r="B1897" t="s">
        <v>647</v>
      </c>
      <c r="C1897" s="9" t="s">
        <v>1807</v>
      </c>
      <c r="D1897" s="9">
        <v>1080</v>
      </c>
      <c r="E1897" s="9" t="s">
        <v>1808</v>
      </c>
      <c r="F1897" t="s">
        <v>634</v>
      </c>
      <c r="G1897" t="s">
        <v>635</v>
      </c>
      <c r="H1897" t="s">
        <v>1009</v>
      </c>
    </row>
    <row r="1898" spans="1:8" outlineLevel="2" x14ac:dyDescent="0.3">
      <c r="A1898" s="6">
        <v>24</v>
      </c>
      <c r="B1898" t="s">
        <v>647</v>
      </c>
      <c r="C1898" s="9" t="s">
        <v>1807</v>
      </c>
      <c r="D1898" s="9">
        <v>1800</v>
      </c>
      <c r="E1898" s="9" t="s">
        <v>1808</v>
      </c>
      <c r="F1898" t="s">
        <v>449</v>
      </c>
      <c r="G1898" t="s">
        <v>450</v>
      </c>
      <c r="H1898" t="s">
        <v>1711</v>
      </c>
    </row>
    <row r="1899" spans="1:8" outlineLevel="2" x14ac:dyDescent="0.3">
      <c r="A1899" s="6">
        <v>24</v>
      </c>
      <c r="B1899" t="s">
        <v>647</v>
      </c>
      <c r="C1899" s="9" t="s">
        <v>1807</v>
      </c>
      <c r="D1899" s="9">
        <v>1050</v>
      </c>
      <c r="E1899" s="9" t="s">
        <v>1808</v>
      </c>
      <c r="F1899" t="s">
        <v>291</v>
      </c>
      <c r="G1899" t="s">
        <v>292</v>
      </c>
      <c r="H1899" t="s">
        <v>1678</v>
      </c>
    </row>
    <row r="1900" spans="1:8" outlineLevel="2" x14ac:dyDescent="0.3">
      <c r="A1900" s="6">
        <v>24</v>
      </c>
      <c r="B1900" t="s">
        <v>647</v>
      </c>
      <c r="C1900" s="9" t="s">
        <v>1807</v>
      </c>
      <c r="D1900" s="9">
        <v>750</v>
      </c>
      <c r="E1900" s="9" t="s">
        <v>1808</v>
      </c>
      <c r="F1900" t="s">
        <v>456</v>
      </c>
      <c r="G1900" t="s">
        <v>292</v>
      </c>
      <c r="H1900" t="s">
        <v>1679</v>
      </c>
    </row>
    <row r="1901" spans="1:8" outlineLevel="2" x14ac:dyDescent="0.3">
      <c r="A1901" s="6">
        <v>24</v>
      </c>
      <c r="B1901" t="s">
        <v>647</v>
      </c>
      <c r="C1901" s="9" t="s">
        <v>1807</v>
      </c>
      <c r="D1901" s="9">
        <v>420</v>
      </c>
      <c r="E1901" s="9" t="s">
        <v>1808</v>
      </c>
      <c r="F1901" t="s">
        <v>68</v>
      </c>
      <c r="G1901" t="s">
        <v>69</v>
      </c>
      <c r="H1901" t="s">
        <v>1551</v>
      </c>
    </row>
    <row r="1902" spans="1:8" outlineLevel="2" x14ac:dyDescent="0.3">
      <c r="A1902" s="6">
        <v>24</v>
      </c>
      <c r="B1902" t="s">
        <v>647</v>
      </c>
      <c r="C1902" s="9" t="s">
        <v>1807</v>
      </c>
      <c r="D1902" s="9">
        <v>198</v>
      </c>
      <c r="E1902" s="9" t="s">
        <v>1808</v>
      </c>
      <c r="F1902" t="s">
        <v>484</v>
      </c>
      <c r="G1902" t="s">
        <v>69</v>
      </c>
      <c r="H1902" t="s">
        <v>1556</v>
      </c>
    </row>
    <row r="1903" spans="1:8" outlineLevel="2" x14ac:dyDescent="0.3">
      <c r="A1903" s="6">
        <v>24</v>
      </c>
      <c r="B1903" t="s">
        <v>647</v>
      </c>
      <c r="C1903" s="9" t="s">
        <v>1807</v>
      </c>
      <c r="D1903" s="9">
        <v>770</v>
      </c>
      <c r="E1903" s="9" t="s">
        <v>1808</v>
      </c>
      <c r="F1903" t="s">
        <v>71</v>
      </c>
      <c r="G1903" t="s">
        <v>72</v>
      </c>
      <c r="H1903" t="s">
        <v>1565</v>
      </c>
    </row>
    <row r="1904" spans="1:8" outlineLevel="2" x14ac:dyDescent="0.3">
      <c r="A1904" s="6">
        <v>24</v>
      </c>
      <c r="B1904" t="s">
        <v>647</v>
      </c>
      <c r="C1904" s="9" t="s">
        <v>1807</v>
      </c>
      <c r="D1904" s="9">
        <v>518</v>
      </c>
      <c r="E1904" s="9" t="s">
        <v>1808</v>
      </c>
      <c r="F1904" t="s">
        <v>74</v>
      </c>
      <c r="G1904" t="s">
        <v>72</v>
      </c>
      <c r="H1904" t="s">
        <v>1566</v>
      </c>
    </row>
    <row r="1905" spans="1:8" outlineLevel="2" x14ac:dyDescent="0.3">
      <c r="A1905" s="6">
        <v>24</v>
      </c>
      <c r="B1905" t="s">
        <v>647</v>
      </c>
      <c r="C1905" s="9" t="s">
        <v>963</v>
      </c>
      <c r="D1905" s="9">
        <v>60</v>
      </c>
      <c r="E1905" s="9" t="s">
        <v>1804</v>
      </c>
      <c r="F1905" t="s">
        <v>650</v>
      </c>
      <c r="G1905" t="s">
        <v>651</v>
      </c>
      <c r="H1905" t="s">
        <v>969</v>
      </c>
    </row>
    <row r="1906" spans="1:8" outlineLevel="2" x14ac:dyDescent="0.3">
      <c r="A1906" s="6">
        <v>24</v>
      </c>
      <c r="B1906" t="s">
        <v>647</v>
      </c>
      <c r="C1906" s="9" t="s">
        <v>963</v>
      </c>
      <c r="D1906" s="9">
        <v>61</v>
      </c>
      <c r="E1906" s="9" t="s">
        <v>1804</v>
      </c>
      <c r="F1906" t="s">
        <v>324</v>
      </c>
      <c r="G1906" t="s">
        <v>193</v>
      </c>
      <c r="H1906" t="s">
        <v>1339</v>
      </c>
    </row>
    <row r="1907" spans="1:8" outlineLevel="2" x14ac:dyDescent="0.3">
      <c r="A1907" s="6">
        <v>24</v>
      </c>
      <c r="B1907" t="s">
        <v>647</v>
      </c>
      <c r="C1907" s="9" t="s">
        <v>963</v>
      </c>
      <c r="D1907" s="9">
        <v>88</v>
      </c>
      <c r="E1907" s="9" t="s">
        <v>1804</v>
      </c>
      <c r="F1907" t="s">
        <v>84</v>
      </c>
      <c r="G1907" t="s">
        <v>85</v>
      </c>
      <c r="H1907" t="s">
        <v>1342</v>
      </c>
    </row>
    <row r="1908" spans="1:8" outlineLevel="2" x14ac:dyDescent="0.3">
      <c r="A1908" s="6">
        <v>24</v>
      </c>
      <c r="B1908" t="s">
        <v>647</v>
      </c>
      <c r="C1908" s="9" t="s">
        <v>963</v>
      </c>
      <c r="D1908" s="9">
        <v>60</v>
      </c>
      <c r="E1908" s="9" t="s">
        <v>1804</v>
      </c>
      <c r="F1908" t="s">
        <v>612</v>
      </c>
      <c r="G1908" t="s">
        <v>613</v>
      </c>
      <c r="H1908" t="s">
        <v>1343</v>
      </c>
    </row>
    <row r="1909" spans="1:8" outlineLevel="2" x14ac:dyDescent="0.3">
      <c r="A1909" s="6">
        <v>24</v>
      </c>
      <c r="B1909" t="s">
        <v>647</v>
      </c>
      <c r="C1909" s="9" t="s">
        <v>963</v>
      </c>
      <c r="D1909" s="9">
        <v>70</v>
      </c>
      <c r="E1909" s="9" t="s">
        <v>1804</v>
      </c>
      <c r="F1909" t="s">
        <v>325</v>
      </c>
      <c r="G1909" t="s">
        <v>196</v>
      </c>
      <c r="H1909" t="s">
        <v>1344</v>
      </c>
    </row>
    <row r="1910" spans="1:8" outlineLevel="2" x14ac:dyDescent="0.3">
      <c r="A1910" s="6">
        <v>24</v>
      </c>
      <c r="B1910" t="s">
        <v>647</v>
      </c>
      <c r="C1910" s="9" t="s">
        <v>963</v>
      </c>
      <c r="D1910" s="9">
        <v>74</v>
      </c>
      <c r="E1910" s="9" t="s">
        <v>1804</v>
      </c>
      <c r="F1910" t="s">
        <v>87</v>
      </c>
      <c r="G1910" t="s">
        <v>88</v>
      </c>
      <c r="H1910" t="s">
        <v>1349</v>
      </c>
    </row>
    <row r="1911" spans="1:8" outlineLevel="2" x14ac:dyDescent="0.3">
      <c r="A1911" s="6">
        <v>24</v>
      </c>
      <c r="B1911" t="s">
        <v>647</v>
      </c>
      <c r="C1911" s="9" t="s">
        <v>963</v>
      </c>
      <c r="D1911" s="9">
        <v>77</v>
      </c>
      <c r="E1911" s="9" t="s">
        <v>1804</v>
      </c>
      <c r="F1911" t="s">
        <v>328</v>
      </c>
      <c r="G1911" t="s">
        <v>329</v>
      </c>
      <c r="H1911" t="s">
        <v>1350</v>
      </c>
    </row>
    <row r="1912" spans="1:8" outlineLevel="2" x14ac:dyDescent="0.3">
      <c r="A1912" s="6">
        <v>24</v>
      </c>
      <c r="B1912" t="s">
        <v>647</v>
      </c>
      <c r="C1912" s="9" t="s">
        <v>963</v>
      </c>
      <c r="D1912" s="9">
        <v>73</v>
      </c>
      <c r="E1912" s="9" t="s">
        <v>1804</v>
      </c>
      <c r="F1912" t="s">
        <v>90</v>
      </c>
      <c r="G1912" t="s">
        <v>15</v>
      </c>
      <c r="H1912" t="s">
        <v>1351</v>
      </c>
    </row>
    <row r="1913" spans="1:8" outlineLevel="2" x14ac:dyDescent="0.3">
      <c r="A1913" s="6">
        <v>24</v>
      </c>
      <c r="B1913" t="s">
        <v>647</v>
      </c>
      <c r="C1913" s="9" t="s">
        <v>963</v>
      </c>
      <c r="D1913" s="9">
        <v>75</v>
      </c>
      <c r="E1913" s="9" t="s">
        <v>1804</v>
      </c>
      <c r="F1913" t="s">
        <v>653</v>
      </c>
      <c r="G1913" t="s">
        <v>654</v>
      </c>
      <c r="H1913" t="s">
        <v>1352</v>
      </c>
    </row>
    <row r="1914" spans="1:8" outlineLevel="2" x14ac:dyDescent="0.3">
      <c r="A1914" s="6">
        <v>24</v>
      </c>
      <c r="B1914" t="s">
        <v>647</v>
      </c>
      <c r="C1914" s="9" t="s">
        <v>963</v>
      </c>
      <c r="D1914" s="9">
        <v>77</v>
      </c>
      <c r="E1914" s="9" t="s">
        <v>1804</v>
      </c>
      <c r="F1914" t="s">
        <v>91</v>
      </c>
      <c r="G1914" t="s">
        <v>92</v>
      </c>
      <c r="H1914" t="s">
        <v>1353</v>
      </c>
    </row>
    <row r="1915" spans="1:8" outlineLevel="2" x14ac:dyDescent="0.3">
      <c r="A1915" s="6">
        <v>24</v>
      </c>
      <c r="B1915" t="s">
        <v>647</v>
      </c>
      <c r="C1915" s="9" t="s">
        <v>963</v>
      </c>
      <c r="D1915" s="9">
        <v>76</v>
      </c>
      <c r="E1915" s="9" t="s">
        <v>1804</v>
      </c>
      <c r="F1915" t="s">
        <v>94</v>
      </c>
      <c r="G1915" t="s">
        <v>95</v>
      </c>
      <c r="H1915" t="s">
        <v>1355</v>
      </c>
    </row>
    <row r="1916" spans="1:8" outlineLevel="2" x14ac:dyDescent="0.3">
      <c r="A1916" s="6">
        <v>24</v>
      </c>
      <c r="B1916" t="s">
        <v>647</v>
      </c>
      <c r="C1916" s="9" t="s">
        <v>963</v>
      </c>
      <c r="D1916" s="9">
        <v>77</v>
      </c>
      <c r="E1916" s="9" t="s">
        <v>1804</v>
      </c>
      <c r="F1916" t="s">
        <v>98</v>
      </c>
      <c r="G1916" t="s">
        <v>99</v>
      </c>
      <c r="H1916" t="s">
        <v>1357</v>
      </c>
    </row>
    <row r="1917" spans="1:8" outlineLevel="2" x14ac:dyDescent="0.3">
      <c r="A1917" s="6">
        <v>24</v>
      </c>
      <c r="B1917" t="s">
        <v>647</v>
      </c>
      <c r="C1917" s="9" t="s">
        <v>963</v>
      </c>
      <c r="D1917" s="9">
        <v>72</v>
      </c>
      <c r="E1917" s="9" t="s">
        <v>1804</v>
      </c>
      <c r="F1917" t="s">
        <v>101</v>
      </c>
      <c r="G1917" t="s">
        <v>102</v>
      </c>
      <c r="H1917" t="s">
        <v>1365</v>
      </c>
    </row>
    <row r="1918" spans="1:8" outlineLevel="2" x14ac:dyDescent="0.3">
      <c r="A1918" s="6">
        <v>24</v>
      </c>
      <c r="B1918" t="s">
        <v>647</v>
      </c>
      <c r="C1918" s="9" t="s">
        <v>963</v>
      </c>
      <c r="D1918" s="9">
        <v>60</v>
      </c>
      <c r="E1918" s="9" t="s">
        <v>1804</v>
      </c>
      <c r="F1918" t="s">
        <v>400</v>
      </c>
      <c r="G1918" t="s">
        <v>401</v>
      </c>
      <c r="H1918" t="s">
        <v>1185</v>
      </c>
    </row>
    <row r="1919" spans="1:8" outlineLevel="2" x14ac:dyDescent="0.3">
      <c r="A1919" s="6">
        <v>24</v>
      </c>
      <c r="B1919" t="s">
        <v>647</v>
      </c>
      <c r="C1919" s="9" t="s">
        <v>963</v>
      </c>
      <c r="D1919" s="9">
        <v>60</v>
      </c>
      <c r="E1919" s="9" t="s">
        <v>1804</v>
      </c>
      <c r="F1919" t="s">
        <v>167</v>
      </c>
      <c r="G1919" t="s">
        <v>168</v>
      </c>
      <c r="H1919" t="s">
        <v>1533</v>
      </c>
    </row>
    <row r="1920" spans="1:8" outlineLevel="2" x14ac:dyDescent="0.3">
      <c r="A1920" s="6">
        <v>24</v>
      </c>
      <c r="B1920" t="s">
        <v>647</v>
      </c>
      <c r="C1920" s="9" t="s">
        <v>963</v>
      </c>
      <c r="D1920" s="9">
        <v>60</v>
      </c>
      <c r="E1920" s="9" t="s">
        <v>1804</v>
      </c>
      <c r="F1920" t="s">
        <v>170</v>
      </c>
      <c r="G1920" t="s">
        <v>171</v>
      </c>
      <c r="H1920" t="s">
        <v>1535</v>
      </c>
    </row>
    <row r="1921" spans="1:8" outlineLevel="2" x14ac:dyDescent="0.3">
      <c r="A1921" s="6">
        <v>24</v>
      </c>
      <c r="B1921" t="s">
        <v>647</v>
      </c>
      <c r="C1921" s="9" t="s">
        <v>963</v>
      </c>
      <c r="D1921" s="9">
        <v>60</v>
      </c>
      <c r="E1921" s="9" t="s">
        <v>1804</v>
      </c>
      <c r="F1921" t="s">
        <v>106</v>
      </c>
      <c r="G1921" t="s">
        <v>32</v>
      </c>
      <c r="H1921" t="s">
        <v>1537</v>
      </c>
    </row>
    <row r="1922" spans="1:8" outlineLevel="2" x14ac:dyDescent="0.3">
      <c r="A1922" s="6">
        <v>24</v>
      </c>
      <c r="B1922" t="s">
        <v>647</v>
      </c>
      <c r="C1922" s="9" t="s">
        <v>963</v>
      </c>
      <c r="D1922" s="9">
        <v>60</v>
      </c>
      <c r="E1922" s="9" t="s">
        <v>1804</v>
      </c>
      <c r="F1922" t="s">
        <v>656</v>
      </c>
      <c r="G1922" t="s">
        <v>504</v>
      </c>
      <c r="H1922" t="s">
        <v>1538</v>
      </c>
    </row>
    <row r="1923" spans="1:8" outlineLevel="2" x14ac:dyDescent="0.3">
      <c r="A1923" s="6">
        <v>24</v>
      </c>
      <c r="B1923" t="s">
        <v>647</v>
      </c>
      <c r="C1923" s="9" t="s">
        <v>963</v>
      </c>
      <c r="D1923" s="9">
        <v>60</v>
      </c>
      <c r="E1923" s="9" t="s">
        <v>1804</v>
      </c>
      <c r="F1923" t="s">
        <v>107</v>
      </c>
      <c r="G1923" t="s">
        <v>108</v>
      </c>
      <c r="H1923" t="s">
        <v>1140</v>
      </c>
    </row>
    <row r="1924" spans="1:8" outlineLevel="2" x14ac:dyDescent="0.3">
      <c r="A1924" s="6">
        <v>24</v>
      </c>
      <c r="B1924" t="s">
        <v>647</v>
      </c>
      <c r="C1924" s="9" t="s">
        <v>963</v>
      </c>
      <c r="D1924" s="9">
        <v>60</v>
      </c>
      <c r="E1924" s="9" t="s">
        <v>1804</v>
      </c>
      <c r="F1924" t="s">
        <v>351</v>
      </c>
      <c r="G1924" t="s">
        <v>38</v>
      </c>
      <c r="H1924" t="s">
        <v>1142</v>
      </c>
    </row>
    <row r="1925" spans="1:8" outlineLevel="2" x14ac:dyDescent="0.3">
      <c r="A1925" s="6">
        <v>24</v>
      </c>
      <c r="B1925" t="s">
        <v>647</v>
      </c>
      <c r="C1925" s="9" t="s">
        <v>963</v>
      </c>
      <c r="D1925" s="9">
        <v>60</v>
      </c>
      <c r="E1925" s="9" t="s">
        <v>1804</v>
      </c>
      <c r="F1925" t="s">
        <v>110</v>
      </c>
      <c r="G1925" t="s">
        <v>41</v>
      </c>
      <c r="H1925" t="s">
        <v>1144</v>
      </c>
    </row>
    <row r="1926" spans="1:8" outlineLevel="2" x14ac:dyDescent="0.3">
      <c r="A1926" s="6">
        <v>24</v>
      </c>
      <c r="B1926" t="s">
        <v>647</v>
      </c>
      <c r="C1926" s="9" t="s">
        <v>963</v>
      </c>
      <c r="D1926" s="9">
        <v>60</v>
      </c>
      <c r="E1926" s="9" t="s">
        <v>1804</v>
      </c>
      <c r="F1926" t="s">
        <v>114</v>
      </c>
      <c r="G1926" t="s">
        <v>115</v>
      </c>
      <c r="H1926" t="s">
        <v>1121</v>
      </c>
    </row>
    <row r="1927" spans="1:8" outlineLevel="2" x14ac:dyDescent="0.3">
      <c r="A1927" s="6">
        <v>24</v>
      </c>
      <c r="B1927" t="s">
        <v>647</v>
      </c>
      <c r="C1927" s="9" t="s">
        <v>963</v>
      </c>
      <c r="D1927" s="9">
        <v>64</v>
      </c>
      <c r="E1927" s="9" t="s">
        <v>1804</v>
      </c>
      <c r="F1927" t="s">
        <v>583</v>
      </c>
      <c r="G1927" t="s">
        <v>238</v>
      </c>
      <c r="H1927" t="s">
        <v>1122</v>
      </c>
    </row>
    <row r="1928" spans="1:8" outlineLevel="2" x14ac:dyDescent="0.3">
      <c r="A1928" s="6">
        <v>24</v>
      </c>
      <c r="B1928" t="s">
        <v>647</v>
      </c>
      <c r="C1928" s="9" t="s">
        <v>963</v>
      </c>
      <c r="D1928" s="9">
        <v>60</v>
      </c>
      <c r="E1928" s="9" t="s">
        <v>1804</v>
      </c>
      <c r="F1928" t="s">
        <v>615</v>
      </c>
      <c r="G1928" t="s">
        <v>616</v>
      </c>
      <c r="H1928" t="s">
        <v>1683</v>
      </c>
    </row>
    <row r="1929" spans="1:8" outlineLevel="2" x14ac:dyDescent="0.3">
      <c r="A1929" s="6">
        <v>24</v>
      </c>
      <c r="B1929" t="s">
        <v>647</v>
      </c>
      <c r="C1929" s="9" t="s">
        <v>963</v>
      </c>
      <c r="D1929" s="9">
        <v>64</v>
      </c>
      <c r="E1929" s="9" t="s">
        <v>1804</v>
      </c>
      <c r="F1929" t="s">
        <v>406</v>
      </c>
      <c r="G1929" t="s">
        <v>269</v>
      </c>
      <c r="H1929" t="s">
        <v>1687</v>
      </c>
    </row>
    <row r="1930" spans="1:8" outlineLevel="2" x14ac:dyDescent="0.3">
      <c r="A1930" s="6">
        <v>24</v>
      </c>
      <c r="B1930" t="s">
        <v>647</v>
      </c>
      <c r="C1930" s="9" t="s">
        <v>963</v>
      </c>
      <c r="D1930" s="9">
        <v>60</v>
      </c>
      <c r="E1930" s="9" t="s">
        <v>1804</v>
      </c>
      <c r="F1930" t="s">
        <v>644</v>
      </c>
      <c r="G1930" t="s">
        <v>645</v>
      </c>
      <c r="H1930" t="s">
        <v>1023</v>
      </c>
    </row>
    <row r="1931" spans="1:8" outlineLevel="2" x14ac:dyDescent="0.3">
      <c r="A1931" s="6">
        <v>24</v>
      </c>
      <c r="B1931" t="s">
        <v>647</v>
      </c>
      <c r="C1931" s="9" t="s">
        <v>963</v>
      </c>
      <c r="D1931" s="9">
        <v>64</v>
      </c>
      <c r="E1931" s="9" t="s">
        <v>1804</v>
      </c>
      <c r="F1931" t="s">
        <v>121</v>
      </c>
      <c r="G1931" t="s">
        <v>122</v>
      </c>
      <c r="H1931" t="s">
        <v>1125</v>
      </c>
    </row>
    <row r="1932" spans="1:8" outlineLevel="2" x14ac:dyDescent="0.3">
      <c r="A1932" s="6">
        <v>24</v>
      </c>
      <c r="B1932" t="s">
        <v>647</v>
      </c>
      <c r="C1932" s="9" t="s">
        <v>963</v>
      </c>
      <c r="D1932" s="9">
        <v>64</v>
      </c>
      <c r="E1932" s="9" t="s">
        <v>1804</v>
      </c>
      <c r="F1932" t="s">
        <v>125</v>
      </c>
      <c r="G1932" t="s">
        <v>126</v>
      </c>
      <c r="H1932" t="s">
        <v>1581</v>
      </c>
    </row>
    <row r="1933" spans="1:8" outlineLevel="2" x14ac:dyDescent="0.3">
      <c r="A1933" s="6">
        <v>24</v>
      </c>
      <c r="B1933" t="s">
        <v>647</v>
      </c>
      <c r="C1933" s="9" t="s">
        <v>963</v>
      </c>
      <c r="D1933" s="9">
        <v>60</v>
      </c>
      <c r="E1933" s="9" t="s">
        <v>1804</v>
      </c>
      <c r="F1933" t="s">
        <v>128</v>
      </c>
      <c r="G1933" t="s">
        <v>129</v>
      </c>
      <c r="H1933" t="s">
        <v>1582</v>
      </c>
    </row>
    <row r="1934" spans="1:8" outlineLevel="1" x14ac:dyDescent="0.3">
      <c r="A1934" s="16" t="s">
        <v>2210</v>
      </c>
      <c r="H1934">
        <f>SUBTOTAL(3,H1875:H1933)</f>
        <v>59</v>
      </c>
    </row>
    <row r="1935" spans="1:8" outlineLevel="2" x14ac:dyDescent="0.3">
      <c r="A1935" s="6">
        <v>25</v>
      </c>
      <c r="B1935" t="s">
        <v>618</v>
      </c>
      <c r="C1935" s="9" t="s">
        <v>932</v>
      </c>
      <c r="D1935" s="9">
        <v>32</v>
      </c>
      <c r="E1935" s="9" t="s">
        <v>1804</v>
      </c>
      <c r="F1935" t="s">
        <v>619</v>
      </c>
      <c r="G1935" t="s">
        <v>620</v>
      </c>
      <c r="H1935" t="s">
        <v>1326</v>
      </c>
    </row>
    <row r="1936" spans="1:8" outlineLevel="2" x14ac:dyDescent="0.3">
      <c r="A1936" s="6">
        <v>25</v>
      </c>
      <c r="B1936" t="s">
        <v>618</v>
      </c>
      <c r="C1936" s="9" t="s">
        <v>932</v>
      </c>
      <c r="D1936" s="9">
        <v>37</v>
      </c>
      <c r="E1936" s="9" t="s">
        <v>1804</v>
      </c>
      <c r="F1936" t="s">
        <v>198</v>
      </c>
      <c r="G1936" t="s">
        <v>196</v>
      </c>
      <c r="H1936" t="s">
        <v>1267</v>
      </c>
    </row>
    <row r="1937" spans="1:8" outlineLevel="2" x14ac:dyDescent="0.3">
      <c r="A1937" s="6">
        <v>25</v>
      </c>
      <c r="B1937" t="s">
        <v>618</v>
      </c>
      <c r="C1937" s="9" t="s">
        <v>1266</v>
      </c>
      <c r="D1937" s="9">
        <v>40</v>
      </c>
      <c r="E1937" s="9" t="s">
        <v>1804</v>
      </c>
      <c r="F1937" t="s">
        <v>11</v>
      </c>
      <c r="G1937" t="s">
        <v>12</v>
      </c>
      <c r="H1937" t="s">
        <v>1277</v>
      </c>
    </row>
    <row r="1938" spans="1:8" outlineLevel="2" x14ac:dyDescent="0.3">
      <c r="A1938" s="6">
        <v>25</v>
      </c>
      <c r="B1938" t="s">
        <v>618</v>
      </c>
      <c r="C1938" s="9" t="s">
        <v>932</v>
      </c>
      <c r="D1938" s="9">
        <v>42</v>
      </c>
      <c r="E1938" s="9" t="s">
        <v>1804</v>
      </c>
      <c r="F1938" t="s">
        <v>14</v>
      </c>
      <c r="G1938" t="s">
        <v>15</v>
      </c>
      <c r="H1938" t="s">
        <v>1290</v>
      </c>
    </row>
    <row r="1939" spans="1:8" outlineLevel="2" x14ac:dyDescent="0.3">
      <c r="A1939" s="6">
        <v>25</v>
      </c>
      <c r="B1939" t="s">
        <v>618</v>
      </c>
      <c r="C1939" s="9" t="s">
        <v>932</v>
      </c>
      <c r="D1939" s="9">
        <v>12</v>
      </c>
      <c r="E1939" s="9" t="s">
        <v>1804</v>
      </c>
      <c r="F1939" t="s">
        <v>204</v>
      </c>
      <c r="G1939" t="s">
        <v>15</v>
      </c>
      <c r="H1939" t="s">
        <v>1292</v>
      </c>
    </row>
    <row r="1940" spans="1:8" outlineLevel="2" x14ac:dyDescent="0.3">
      <c r="A1940" s="6">
        <v>25</v>
      </c>
      <c r="B1940" t="s">
        <v>618</v>
      </c>
      <c r="C1940" s="9" t="s">
        <v>932</v>
      </c>
      <c r="D1940" s="9">
        <v>12</v>
      </c>
      <c r="E1940" s="9" t="s">
        <v>1804</v>
      </c>
      <c r="F1940" t="s">
        <v>622</v>
      </c>
      <c r="G1940" t="s">
        <v>401</v>
      </c>
      <c r="H1940" t="s">
        <v>1178</v>
      </c>
    </row>
    <row r="1941" spans="1:8" outlineLevel="2" x14ac:dyDescent="0.3">
      <c r="A1941" s="6">
        <v>25</v>
      </c>
      <c r="B1941" t="s">
        <v>618</v>
      </c>
      <c r="C1941" s="9" t="s">
        <v>932</v>
      </c>
      <c r="D1941" s="9">
        <v>36</v>
      </c>
      <c r="E1941" s="9" t="s">
        <v>1804</v>
      </c>
      <c r="F1941" t="s">
        <v>28</v>
      </c>
      <c r="G1941" t="s">
        <v>29</v>
      </c>
      <c r="H1941" t="s">
        <v>1180</v>
      </c>
    </row>
    <row r="1942" spans="1:8" outlineLevel="2" x14ac:dyDescent="0.3">
      <c r="A1942" s="6">
        <v>25</v>
      </c>
      <c r="B1942" t="s">
        <v>618</v>
      </c>
      <c r="C1942" s="9" t="s">
        <v>932</v>
      </c>
      <c r="D1942" s="9">
        <v>12</v>
      </c>
      <c r="E1942" s="9" t="s">
        <v>1804</v>
      </c>
      <c r="F1942" t="s">
        <v>483</v>
      </c>
      <c r="G1942" t="s">
        <v>29</v>
      </c>
      <c r="H1942" t="s">
        <v>1182</v>
      </c>
    </row>
    <row r="1943" spans="1:8" outlineLevel="2" x14ac:dyDescent="0.3">
      <c r="A1943" s="6">
        <v>25</v>
      </c>
      <c r="B1943" t="s">
        <v>618</v>
      </c>
      <c r="C1943" s="9" t="s">
        <v>932</v>
      </c>
      <c r="D1943" s="9">
        <v>12</v>
      </c>
      <c r="E1943" s="9" t="s">
        <v>1804</v>
      </c>
      <c r="F1943" t="s">
        <v>588</v>
      </c>
      <c r="G1943" t="s">
        <v>29</v>
      </c>
      <c r="H1943" t="s">
        <v>1183</v>
      </c>
    </row>
    <row r="1944" spans="1:8" outlineLevel="2" x14ac:dyDescent="0.3">
      <c r="A1944" s="6">
        <v>25</v>
      </c>
      <c r="B1944" t="s">
        <v>618</v>
      </c>
      <c r="C1944" s="9" t="s">
        <v>932</v>
      </c>
      <c r="D1944" s="9">
        <v>12</v>
      </c>
      <c r="E1944" s="9" t="s">
        <v>1804</v>
      </c>
      <c r="F1944" t="s">
        <v>589</v>
      </c>
      <c r="G1944" t="s">
        <v>29</v>
      </c>
      <c r="H1944" t="s">
        <v>1184</v>
      </c>
    </row>
    <row r="1945" spans="1:8" outlineLevel="2" x14ac:dyDescent="0.3">
      <c r="A1945" s="6">
        <v>25</v>
      </c>
      <c r="B1945" t="s">
        <v>618</v>
      </c>
      <c r="C1945" s="9" t="s">
        <v>1807</v>
      </c>
      <c r="D1945" s="9">
        <v>600</v>
      </c>
      <c r="E1945" s="9" t="s">
        <v>1808</v>
      </c>
      <c r="F1945" t="s">
        <v>623</v>
      </c>
      <c r="G1945" t="s">
        <v>29</v>
      </c>
      <c r="H1945" t="s">
        <v>1185</v>
      </c>
    </row>
    <row r="1946" spans="1:8" outlineLevel="2" x14ac:dyDescent="0.3">
      <c r="A1946" s="6">
        <v>25</v>
      </c>
      <c r="B1946" t="s">
        <v>618</v>
      </c>
      <c r="C1946" s="9" t="s">
        <v>932</v>
      </c>
      <c r="D1946" s="9">
        <v>39</v>
      </c>
      <c r="E1946" s="9" t="s">
        <v>1804</v>
      </c>
      <c r="F1946" t="s">
        <v>417</v>
      </c>
      <c r="G1946" t="s">
        <v>215</v>
      </c>
      <c r="H1946" t="s">
        <v>1028</v>
      </c>
    </row>
    <row r="1947" spans="1:8" outlineLevel="2" x14ac:dyDescent="0.3">
      <c r="A1947" s="6">
        <v>25</v>
      </c>
      <c r="B1947" t="s">
        <v>618</v>
      </c>
      <c r="C1947" s="9" t="s">
        <v>932</v>
      </c>
      <c r="D1947" s="9">
        <v>12</v>
      </c>
      <c r="E1947" s="9" t="s">
        <v>1804</v>
      </c>
      <c r="F1947" t="s">
        <v>214</v>
      </c>
      <c r="G1947" t="s">
        <v>215</v>
      </c>
      <c r="H1947" t="s">
        <v>1029</v>
      </c>
    </row>
    <row r="1948" spans="1:8" outlineLevel="2" x14ac:dyDescent="0.3">
      <c r="A1948" s="6">
        <v>25</v>
      </c>
      <c r="B1948" t="s">
        <v>618</v>
      </c>
      <c r="C1948" s="9" t="s">
        <v>932</v>
      </c>
      <c r="D1948" s="9">
        <v>18</v>
      </c>
      <c r="E1948" s="9" t="s">
        <v>1804</v>
      </c>
      <c r="F1948" t="s">
        <v>217</v>
      </c>
      <c r="G1948" t="s">
        <v>168</v>
      </c>
      <c r="H1948" t="s">
        <v>1442</v>
      </c>
    </row>
    <row r="1949" spans="1:8" outlineLevel="2" x14ac:dyDescent="0.3">
      <c r="A1949" s="6">
        <v>25</v>
      </c>
      <c r="B1949" t="s">
        <v>618</v>
      </c>
      <c r="C1949" s="9" t="s">
        <v>932</v>
      </c>
      <c r="D1949" s="9">
        <v>27</v>
      </c>
      <c r="E1949" s="9" t="s">
        <v>1804</v>
      </c>
      <c r="F1949" t="s">
        <v>218</v>
      </c>
      <c r="G1949" t="s">
        <v>168</v>
      </c>
      <c r="H1949" t="s">
        <v>1443</v>
      </c>
    </row>
    <row r="1950" spans="1:8" outlineLevel="2" x14ac:dyDescent="0.3">
      <c r="A1950" s="6">
        <v>25</v>
      </c>
      <c r="B1950" t="s">
        <v>618</v>
      </c>
      <c r="C1950" s="9" t="s">
        <v>932</v>
      </c>
      <c r="D1950" s="9">
        <v>18</v>
      </c>
      <c r="E1950" s="9" t="s">
        <v>1804</v>
      </c>
      <c r="F1950" t="s">
        <v>389</v>
      </c>
      <c r="G1950" t="s">
        <v>171</v>
      </c>
      <c r="H1950" t="s">
        <v>1447</v>
      </c>
    </row>
    <row r="1951" spans="1:8" outlineLevel="2" x14ac:dyDescent="0.3">
      <c r="A1951" s="6">
        <v>25</v>
      </c>
      <c r="B1951" t="s">
        <v>618</v>
      </c>
      <c r="C1951" s="9" t="s">
        <v>932</v>
      </c>
      <c r="D1951" s="9">
        <v>33</v>
      </c>
      <c r="E1951" s="9" t="s">
        <v>1804</v>
      </c>
      <c r="F1951" t="s">
        <v>390</v>
      </c>
      <c r="G1951" t="s">
        <v>391</v>
      </c>
      <c r="H1951" t="s">
        <v>1449</v>
      </c>
    </row>
    <row r="1952" spans="1:8" outlineLevel="2" x14ac:dyDescent="0.3">
      <c r="A1952" s="6">
        <v>25</v>
      </c>
      <c r="B1952" t="s">
        <v>618</v>
      </c>
      <c r="C1952" s="9" t="s">
        <v>932</v>
      </c>
      <c r="D1952" s="9">
        <v>24</v>
      </c>
      <c r="E1952" s="9" t="s">
        <v>1804</v>
      </c>
      <c r="F1952" t="s">
        <v>31</v>
      </c>
      <c r="G1952" t="s">
        <v>32</v>
      </c>
      <c r="H1952" t="s">
        <v>1483</v>
      </c>
    </row>
    <row r="1953" spans="1:8" outlineLevel="2" x14ac:dyDescent="0.3">
      <c r="A1953" s="6">
        <v>25</v>
      </c>
      <c r="B1953" t="s">
        <v>618</v>
      </c>
      <c r="C1953" s="9" t="s">
        <v>932</v>
      </c>
      <c r="D1953" s="9">
        <v>32</v>
      </c>
      <c r="E1953" s="9" t="s">
        <v>1804</v>
      </c>
      <c r="F1953" t="s">
        <v>219</v>
      </c>
      <c r="G1953" t="s">
        <v>32</v>
      </c>
      <c r="H1953" t="s">
        <v>1484</v>
      </c>
    </row>
    <row r="1954" spans="1:8" outlineLevel="2" x14ac:dyDescent="0.3">
      <c r="A1954" s="6">
        <v>25</v>
      </c>
      <c r="B1954" t="s">
        <v>618</v>
      </c>
      <c r="C1954" s="9" t="s">
        <v>932</v>
      </c>
      <c r="D1954" s="9">
        <v>21</v>
      </c>
      <c r="E1954" s="9" t="s">
        <v>1804</v>
      </c>
      <c r="F1954" t="s">
        <v>34</v>
      </c>
      <c r="G1954" t="s">
        <v>32</v>
      </c>
      <c r="H1954" t="s">
        <v>1485</v>
      </c>
    </row>
    <row r="1955" spans="1:8" outlineLevel="2" x14ac:dyDescent="0.3">
      <c r="A1955" s="6">
        <v>25</v>
      </c>
      <c r="B1955" t="s">
        <v>618</v>
      </c>
      <c r="C1955" s="9" t="s">
        <v>932</v>
      </c>
      <c r="D1955" s="9">
        <v>24</v>
      </c>
      <c r="E1955" s="9" t="s">
        <v>1804</v>
      </c>
      <c r="F1955" t="s">
        <v>542</v>
      </c>
      <c r="G1955" t="s">
        <v>32</v>
      </c>
      <c r="H1955" t="s">
        <v>1487</v>
      </c>
    </row>
    <row r="1956" spans="1:8" outlineLevel="2" x14ac:dyDescent="0.3">
      <c r="A1956" s="6">
        <v>25</v>
      </c>
      <c r="B1956" t="s">
        <v>618</v>
      </c>
      <c r="C1956" s="9" t="s">
        <v>932</v>
      </c>
      <c r="D1956" s="9">
        <v>32</v>
      </c>
      <c r="E1956" s="9" t="s">
        <v>1804</v>
      </c>
      <c r="F1956" t="s">
        <v>222</v>
      </c>
      <c r="G1956" t="s">
        <v>32</v>
      </c>
      <c r="H1956" t="s">
        <v>1491</v>
      </c>
    </row>
    <row r="1957" spans="1:8" outlineLevel="2" x14ac:dyDescent="0.3">
      <c r="A1957" s="6">
        <v>25</v>
      </c>
      <c r="B1957" t="s">
        <v>618</v>
      </c>
      <c r="C1957" s="9" t="s">
        <v>932</v>
      </c>
      <c r="D1957" s="9">
        <v>21</v>
      </c>
      <c r="E1957" s="9" t="s">
        <v>1804</v>
      </c>
      <c r="F1957" t="s">
        <v>36</v>
      </c>
      <c r="G1957" t="s">
        <v>32</v>
      </c>
      <c r="H1957" t="s">
        <v>1492</v>
      </c>
    </row>
    <row r="1958" spans="1:8" outlineLevel="2" x14ac:dyDescent="0.3">
      <c r="A1958" s="6">
        <v>25</v>
      </c>
      <c r="B1958" t="s">
        <v>618</v>
      </c>
      <c r="C1958" s="9" t="s">
        <v>932</v>
      </c>
      <c r="D1958" s="9">
        <v>12</v>
      </c>
      <c r="E1958" s="9" t="s">
        <v>1804</v>
      </c>
      <c r="F1958" t="s">
        <v>153</v>
      </c>
      <c r="G1958" t="s">
        <v>108</v>
      </c>
      <c r="H1958" t="s">
        <v>1150</v>
      </c>
    </row>
    <row r="1959" spans="1:8" outlineLevel="2" x14ac:dyDescent="0.3">
      <c r="A1959" s="6">
        <v>25</v>
      </c>
      <c r="B1959" t="s">
        <v>618</v>
      </c>
      <c r="C1959" s="9" t="s">
        <v>932</v>
      </c>
      <c r="D1959" s="9">
        <v>18</v>
      </c>
      <c r="E1959" s="9" t="s">
        <v>1804</v>
      </c>
      <c r="F1959" t="s">
        <v>154</v>
      </c>
      <c r="G1959" t="s">
        <v>108</v>
      </c>
      <c r="H1959" t="s">
        <v>1151</v>
      </c>
    </row>
    <row r="1960" spans="1:8" outlineLevel="2" x14ac:dyDescent="0.3">
      <c r="A1960" s="6">
        <v>25</v>
      </c>
      <c r="B1960" t="s">
        <v>618</v>
      </c>
      <c r="C1960" s="9" t="s">
        <v>932</v>
      </c>
      <c r="D1960" s="9">
        <v>21</v>
      </c>
      <c r="E1960" s="9" t="s">
        <v>1804</v>
      </c>
      <c r="F1960" t="s">
        <v>507</v>
      </c>
      <c r="G1960" t="s">
        <v>108</v>
      </c>
      <c r="H1960" t="s">
        <v>1154</v>
      </c>
    </row>
    <row r="1961" spans="1:8" outlineLevel="2" x14ac:dyDescent="0.3">
      <c r="A1961" s="6">
        <v>25</v>
      </c>
      <c r="B1961" t="s">
        <v>618</v>
      </c>
      <c r="C1961" s="9" t="s">
        <v>932</v>
      </c>
      <c r="D1961" s="9">
        <v>27</v>
      </c>
      <c r="E1961" s="9" t="s">
        <v>1804</v>
      </c>
      <c r="F1961" t="s">
        <v>37</v>
      </c>
      <c r="G1961" t="s">
        <v>38</v>
      </c>
      <c r="H1961" t="s">
        <v>1164</v>
      </c>
    </row>
    <row r="1962" spans="1:8" outlineLevel="2" x14ac:dyDescent="0.3">
      <c r="A1962" s="6">
        <v>25</v>
      </c>
      <c r="B1962" t="s">
        <v>618</v>
      </c>
      <c r="C1962" s="9" t="s">
        <v>932</v>
      </c>
      <c r="D1962" s="9">
        <v>12</v>
      </c>
      <c r="E1962" s="9" t="s">
        <v>1804</v>
      </c>
      <c r="F1962" t="s">
        <v>226</v>
      </c>
      <c r="G1962" t="s">
        <v>38</v>
      </c>
      <c r="H1962" t="s">
        <v>1165</v>
      </c>
    </row>
    <row r="1963" spans="1:8" outlineLevel="2" x14ac:dyDescent="0.3">
      <c r="A1963" s="6">
        <v>25</v>
      </c>
      <c r="B1963" t="s">
        <v>618</v>
      </c>
      <c r="C1963" s="9" t="s">
        <v>932</v>
      </c>
      <c r="D1963" s="9">
        <v>18</v>
      </c>
      <c r="E1963" s="9" t="s">
        <v>1804</v>
      </c>
      <c r="F1963" t="s">
        <v>227</v>
      </c>
      <c r="G1963" t="s">
        <v>41</v>
      </c>
      <c r="H1963" t="s">
        <v>1167</v>
      </c>
    </row>
    <row r="1964" spans="1:8" outlineLevel="2" x14ac:dyDescent="0.3">
      <c r="A1964" s="6">
        <v>25</v>
      </c>
      <c r="B1964" t="s">
        <v>618</v>
      </c>
      <c r="C1964" s="9" t="s">
        <v>932</v>
      </c>
      <c r="D1964" s="9">
        <v>12</v>
      </c>
      <c r="E1964" s="9" t="s">
        <v>1804</v>
      </c>
      <c r="F1964" t="s">
        <v>228</v>
      </c>
      <c r="G1964" t="s">
        <v>41</v>
      </c>
      <c r="H1964" t="s">
        <v>1168</v>
      </c>
    </row>
    <row r="1965" spans="1:8" outlineLevel="2" x14ac:dyDescent="0.3">
      <c r="A1965" s="6">
        <v>25</v>
      </c>
      <c r="B1965" t="s">
        <v>618</v>
      </c>
      <c r="C1965" s="9" t="s">
        <v>932</v>
      </c>
      <c r="D1965" s="9">
        <v>27</v>
      </c>
      <c r="E1965" s="9" t="s">
        <v>1804</v>
      </c>
      <c r="F1965" t="s">
        <v>40</v>
      </c>
      <c r="G1965" t="s">
        <v>41</v>
      </c>
      <c r="H1965" t="s">
        <v>1169</v>
      </c>
    </row>
    <row r="1966" spans="1:8" outlineLevel="2" x14ac:dyDescent="0.3">
      <c r="A1966" s="6">
        <v>25</v>
      </c>
      <c r="B1966" t="s">
        <v>618</v>
      </c>
      <c r="C1966" s="9" t="s">
        <v>932</v>
      </c>
      <c r="D1966" s="9">
        <v>18</v>
      </c>
      <c r="E1966" s="9" t="s">
        <v>1804</v>
      </c>
      <c r="F1966" t="s">
        <v>229</v>
      </c>
      <c r="G1966" t="s">
        <v>230</v>
      </c>
      <c r="H1966" t="s">
        <v>1170</v>
      </c>
    </row>
    <row r="1967" spans="1:8" outlineLevel="2" x14ac:dyDescent="0.3">
      <c r="A1967" s="6">
        <v>25</v>
      </c>
      <c r="B1967" t="s">
        <v>618</v>
      </c>
      <c r="C1967" s="9" t="s">
        <v>932</v>
      </c>
      <c r="D1967" s="9">
        <v>24</v>
      </c>
      <c r="E1967" s="9" t="s">
        <v>1804</v>
      </c>
      <c r="F1967" t="s">
        <v>232</v>
      </c>
      <c r="G1967" t="s">
        <v>144</v>
      </c>
      <c r="H1967" t="s">
        <v>1171</v>
      </c>
    </row>
    <row r="1968" spans="1:8" outlineLevel="2" x14ac:dyDescent="0.3">
      <c r="A1968" s="6">
        <v>25</v>
      </c>
      <c r="B1968" t="s">
        <v>618</v>
      </c>
      <c r="C1968" s="9" t="s">
        <v>932</v>
      </c>
      <c r="D1968" s="9">
        <v>12</v>
      </c>
      <c r="E1968" s="9" t="s">
        <v>1804</v>
      </c>
      <c r="F1968" t="s">
        <v>233</v>
      </c>
      <c r="G1968" t="s">
        <v>112</v>
      </c>
      <c r="H1968" t="s">
        <v>1146</v>
      </c>
    </row>
    <row r="1969" spans="1:8" outlineLevel="2" x14ac:dyDescent="0.3">
      <c r="A1969" s="6">
        <v>25</v>
      </c>
      <c r="B1969" t="s">
        <v>618</v>
      </c>
      <c r="C1969" s="9" t="s">
        <v>932</v>
      </c>
      <c r="D1969" s="9">
        <v>25</v>
      </c>
      <c r="E1969" s="9" t="s">
        <v>1804</v>
      </c>
      <c r="F1969" t="s">
        <v>624</v>
      </c>
      <c r="G1969" t="s">
        <v>112</v>
      </c>
      <c r="H1969" t="s">
        <v>1173</v>
      </c>
    </row>
    <row r="1970" spans="1:8" outlineLevel="2" x14ac:dyDescent="0.3">
      <c r="A1970" s="6">
        <v>25</v>
      </c>
      <c r="B1970" t="s">
        <v>618</v>
      </c>
      <c r="C1970" s="9" t="s">
        <v>932</v>
      </c>
      <c r="D1970" s="9">
        <v>24</v>
      </c>
      <c r="E1970" s="9" t="s">
        <v>1804</v>
      </c>
      <c r="F1970" t="s">
        <v>544</v>
      </c>
      <c r="G1970" t="s">
        <v>545</v>
      </c>
      <c r="H1970" t="s">
        <v>1042</v>
      </c>
    </row>
    <row r="1971" spans="1:8" outlineLevel="2" x14ac:dyDescent="0.3">
      <c r="A1971" s="6">
        <v>25</v>
      </c>
      <c r="B1971" t="s">
        <v>618</v>
      </c>
      <c r="C1971" s="9" t="s">
        <v>932</v>
      </c>
      <c r="D1971" s="9">
        <v>12</v>
      </c>
      <c r="E1971" s="9" t="s">
        <v>1804</v>
      </c>
      <c r="F1971" t="s">
        <v>511</v>
      </c>
      <c r="G1971" t="s">
        <v>235</v>
      </c>
      <c r="H1971" t="s">
        <v>1046</v>
      </c>
    </row>
    <row r="1972" spans="1:8" outlineLevel="2" x14ac:dyDescent="0.3">
      <c r="A1972" s="6">
        <v>25</v>
      </c>
      <c r="B1972" t="s">
        <v>618</v>
      </c>
      <c r="C1972" s="9" t="s">
        <v>932</v>
      </c>
      <c r="D1972" s="9">
        <v>15</v>
      </c>
      <c r="E1972" s="9" t="s">
        <v>1804</v>
      </c>
      <c r="F1972" t="s">
        <v>625</v>
      </c>
      <c r="G1972" t="s">
        <v>235</v>
      </c>
      <c r="H1972" t="s">
        <v>1048</v>
      </c>
    </row>
    <row r="1973" spans="1:8" outlineLevel="2" x14ac:dyDescent="0.3">
      <c r="A1973" s="6">
        <v>25</v>
      </c>
      <c r="B1973" t="s">
        <v>618</v>
      </c>
      <c r="C1973" s="9" t="s">
        <v>932</v>
      </c>
      <c r="D1973" s="9">
        <v>15</v>
      </c>
      <c r="E1973" s="9" t="s">
        <v>1804</v>
      </c>
      <c r="F1973" t="s">
        <v>43</v>
      </c>
      <c r="G1973" t="s">
        <v>44</v>
      </c>
      <c r="H1973" t="s">
        <v>1050</v>
      </c>
    </row>
    <row r="1974" spans="1:8" outlineLevel="2" x14ac:dyDescent="0.3">
      <c r="A1974" s="6">
        <v>25</v>
      </c>
      <c r="B1974" t="s">
        <v>618</v>
      </c>
      <c r="C1974" s="9" t="s">
        <v>932</v>
      </c>
      <c r="D1974" s="9">
        <v>12</v>
      </c>
      <c r="E1974" s="9" t="s">
        <v>1804</v>
      </c>
      <c r="F1974" t="s">
        <v>550</v>
      </c>
      <c r="G1974" t="s">
        <v>551</v>
      </c>
      <c r="H1974" t="s">
        <v>1059</v>
      </c>
    </row>
    <row r="1975" spans="1:8" outlineLevel="2" x14ac:dyDescent="0.3">
      <c r="A1975" s="6">
        <v>25</v>
      </c>
      <c r="B1975" t="s">
        <v>618</v>
      </c>
      <c r="C1975" s="9" t="s">
        <v>932</v>
      </c>
      <c r="D1975" s="9">
        <v>15</v>
      </c>
      <c r="E1975" s="9" t="s">
        <v>1804</v>
      </c>
      <c r="F1975" t="s">
        <v>515</v>
      </c>
      <c r="G1975" t="s">
        <v>238</v>
      </c>
      <c r="H1975" t="s">
        <v>1064</v>
      </c>
    </row>
    <row r="1976" spans="1:8" outlineLevel="2" x14ac:dyDescent="0.3">
      <c r="A1976" s="6">
        <v>25</v>
      </c>
      <c r="B1976" t="s">
        <v>618</v>
      </c>
      <c r="C1976" s="9" t="s">
        <v>932</v>
      </c>
      <c r="D1976" s="9">
        <v>24</v>
      </c>
      <c r="E1976" s="9" t="s">
        <v>1804</v>
      </c>
      <c r="F1976" t="s">
        <v>237</v>
      </c>
      <c r="G1976" t="s">
        <v>238</v>
      </c>
      <c r="H1976" t="s">
        <v>1065</v>
      </c>
    </row>
    <row r="1977" spans="1:8" outlineLevel="2" x14ac:dyDescent="0.3">
      <c r="A1977" s="6">
        <v>25</v>
      </c>
      <c r="B1977" t="s">
        <v>618</v>
      </c>
      <c r="C1977" s="9" t="s">
        <v>932</v>
      </c>
      <c r="D1977" s="9">
        <v>12</v>
      </c>
      <c r="E1977" s="9" t="s">
        <v>1804</v>
      </c>
      <c r="F1977" t="s">
        <v>50</v>
      </c>
      <c r="G1977" t="s">
        <v>51</v>
      </c>
      <c r="H1977" t="s">
        <v>1598</v>
      </c>
    </row>
    <row r="1978" spans="1:8" outlineLevel="2" x14ac:dyDescent="0.3">
      <c r="A1978" s="6">
        <v>25</v>
      </c>
      <c r="B1978" t="s">
        <v>618</v>
      </c>
      <c r="C1978" s="9" t="s">
        <v>932</v>
      </c>
      <c r="D1978" s="9">
        <v>30</v>
      </c>
      <c r="E1978" s="9" t="s">
        <v>1804</v>
      </c>
      <c r="F1978" t="s">
        <v>247</v>
      </c>
      <c r="G1978" t="s">
        <v>51</v>
      </c>
      <c r="H1978" t="s">
        <v>1599</v>
      </c>
    </row>
    <row r="1979" spans="1:8" outlineLevel="2" x14ac:dyDescent="0.3">
      <c r="A1979" s="6">
        <v>25</v>
      </c>
      <c r="B1979" t="s">
        <v>618</v>
      </c>
      <c r="C1979" s="9" t="s">
        <v>932</v>
      </c>
      <c r="D1979" s="9">
        <v>18</v>
      </c>
      <c r="E1979" s="9" t="s">
        <v>1804</v>
      </c>
      <c r="F1979" t="s">
        <v>626</v>
      </c>
      <c r="G1979" t="s">
        <v>627</v>
      </c>
      <c r="H1979" t="s">
        <v>1070</v>
      </c>
    </row>
    <row r="1980" spans="1:8" outlineLevel="2" x14ac:dyDescent="0.3">
      <c r="A1980" s="6">
        <v>25</v>
      </c>
      <c r="B1980" t="s">
        <v>618</v>
      </c>
      <c r="C1980" s="9" t="s">
        <v>1807</v>
      </c>
      <c r="D1980" s="9">
        <v>750</v>
      </c>
      <c r="E1980" s="9" t="s">
        <v>1808</v>
      </c>
      <c r="F1980" t="s">
        <v>248</v>
      </c>
      <c r="G1980" t="s">
        <v>249</v>
      </c>
      <c r="H1980" t="s">
        <v>979</v>
      </c>
    </row>
    <row r="1981" spans="1:8" outlineLevel="2" x14ac:dyDescent="0.3">
      <c r="A1981" s="6">
        <v>25</v>
      </c>
      <c r="B1981" t="s">
        <v>618</v>
      </c>
      <c r="C1981" s="9" t="s">
        <v>932</v>
      </c>
      <c r="D1981" s="9">
        <v>18</v>
      </c>
      <c r="E1981" s="9" t="s">
        <v>1804</v>
      </c>
      <c r="F1981" t="s">
        <v>629</v>
      </c>
      <c r="G1981" t="s">
        <v>630</v>
      </c>
      <c r="H1981" t="s">
        <v>1198</v>
      </c>
    </row>
    <row r="1982" spans="1:8" outlineLevel="2" x14ac:dyDescent="0.3">
      <c r="A1982" s="6">
        <v>25</v>
      </c>
      <c r="B1982" t="s">
        <v>618</v>
      </c>
      <c r="C1982" s="9" t="s">
        <v>976</v>
      </c>
      <c r="D1982" s="9">
        <v>68</v>
      </c>
      <c r="E1982" s="9" t="s">
        <v>1804</v>
      </c>
      <c r="F1982" t="s">
        <v>255</v>
      </c>
      <c r="G1982" t="s">
        <v>256</v>
      </c>
      <c r="H1982" t="s">
        <v>1715</v>
      </c>
    </row>
    <row r="1983" spans="1:8" outlineLevel="2" x14ac:dyDescent="0.3">
      <c r="A1983" s="6">
        <v>25</v>
      </c>
      <c r="B1983" t="s">
        <v>618</v>
      </c>
      <c r="C1983" s="9" t="s">
        <v>932</v>
      </c>
      <c r="D1983" s="9">
        <v>24</v>
      </c>
      <c r="E1983" s="9" t="s">
        <v>1804</v>
      </c>
      <c r="F1983" t="s">
        <v>258</v>
      </c>
      <c r="G1983" t="s">
        <v>256</v>
      </c>
      <c r="H1983" t="s">
        <v>1716</v>
      </c>
    </row>
    <row r="1984" spans="1:8" outlineLevel="2" x14ac:dyDescent="0.3">
      <c r="A1984" s="6">
        <v>25</v>
      </c>
      <c r="B1984" t="s">
        <v>618</v>
      </c>
      <c r="C1984" s="9" t="s">
        <v>932</v>
      </c>
      <c r="D1984" s="9">
        <v>44</v>
      </c>
      <c r="E1984" s="9" t="s">
        <v>1804</v>
      </c>
      <c r="F1984" t="s">
        <v>633</v>
      </c>
      <c r="G1984" t="s">
        <v>256</v>
      </c>
      <c r="H1984" t="s">
        <v>1717</v>
      </c>
    </row>
    <row r="1985" spans="1:8" outlineLevel="2" x14ac:dyDescent="0.3">
      <c r="A1985" s="6">
        <v>25</v>
      </c>
      <c r="B1985" t="s">
        <v>618</v>
      </c>
      <c r="C1985" s="9" t="s">
        <v>932</v>
      </c>
      <c r="D1985" s="9">
        <v>18</v>
      </c>
      <c r="E1985" s="9" t="s">
        <v>1804</v>
      </c>
      <c r="F1985" t="s">
        <v>564</v>
      </c>
      <c r="G1985" t="s">
        <v>359</v>
      </c>
      <c r="H1985" t="s">
        <v>983</v>
      </c>
    </row>
    <row r="1986" spans="1:8" outlineLevel="2" x14ac:dyDescent="0.3">
      <c r="A1986" s="6">
        <v>25</v>
      </c>
      <c r="B1986" t="s">
        <v>618</v>
      </c>
      <c r="C1986" s="9" t="s">
        <v>932</v>
      </c>
      <c r="D1986" s="9">
        <v>22</v>
      </c>
      <c r="E1986" s="9" t="s">
        <v>1804</v>
      </c>
      <c r="F1986" t="s">
        <v>259</v>
      </c>
      <c r="G1986" t="s">
        <v>260</v>
      </c>
      <c r="H1986" t="s">
        <v>986</v>
      </c>
    </row>
    <row r="1987" spans="1:8" outlineLevel="2" x14ac:dyDescent="0.3">
      <c r="A1987" s="6">
        <v>25</v>
      </c>
      <c r="B1987" t="s">
        <v>618</v>
      </c>
      <c r="C1987" s="9" t="s">
        <v>932</v>
      </c>
      <c r="D1987" s="9">
        <v>14</v>
      </c>
      <c r="E1987" s="9" t="s">
        <v>1804</v>
      </c>
      <c r="F1987" t="s">
        <v>262</v>
      </c>
      <c r="G1987" t="s">
        <v>263</v>
      </c>
      <c r="H1987" t="s">
        <v>989</v>
      </c>
    </row>
    <row r="1988" spans="1:8" outlineLevel="2" x14ac:dyDescent="0.3">
      <c r="A1988" s="6">
        <v>25</v>
      </c>
      <c r="B1988" t="s">
        <v>618</v>
      </c>
      <c r="C1988" s="9" t="s">
        <v>932</v>
      </c>
      <c r="D1988" s="9">
        <v>19</v>
      </c>
      <c r="E1988" s="9" t="s">
        <v>1804</v>
      </c>
      <c r="F1988" t="s">
        <v>265</v>
      </c>
      <c r="G1988" t="s">
        <v>266</v>
      </c>
      <c r="H1988" t="s">
        <v>1337</v>
      </c>
    </row>
    <row r="1989" spans="1:8" outlineLevel="2" x14ac:dyDescent="0.3">
      <c r="A1989" s="6">
        <v>25</v>
      </c>
      <c r="B1989" t="s">
        <v>618</v>
      </c>
      <c r="C1989" s="9" t="s">
        <v>1807</v>
      </c>
      <c r="D1989" s="9">
        <v>1200</v>
      </c>
      <c r="E1989" s="9" t="s">
        <v>1808</v>
      </c>
      <c r="F1989" t="s">
        <v>272</v>
      </c>
      <c r="G1989" t="s">
        <v>273</v>
      </c>
      <c r="H1989" t="s">
        <v>997</v>
      </c>
    </row>
    <row r="1990" spans="1:8" outlineLevel="2" x14ac:dyDescent="0.3">
      <c r="A1990" s="6">
        <v>25</v>
      </c>
      <c r="B1990" t="s">
        <v>618</v>
      </c>
      <c r="C1990" s="9" t="s">
        <v>1807</v>
      </c>
      <c r="D1990" s="9">
        <v>900</v>
      </c>
      <c r="E1990" s="9" t="s">
        <v>1808</v>
      </c>
      <c r="F1990" t="s">
        <v>440</v>
      </c>
      <c r="G1990" t="s">
        <v>441</v>
      </c>
      <c r="H1990" t="s">
        <v>1006</v>
      </c>
    </row>
    <row r="1991" spans="1:8" outlineLevel="2" x14ac:dyDescent="0.3">
      <c r="A1991" s="6">
        <v>25</v>
      </c>
      <c r="B1991" t="s">
        <v>618</v>
      </c>
      <c r="C1991" s="9" t="s">
        <v>1807</v>
      </c>
      <c r="D1991" s="9">
        <v>1080</v>
      </c>
      <c r="E1991" s="9" t="s">
        <v>1808</v>
      </c>
      <c r="F1991" t="s">
        <v>634</v>
      </c>
      <c r="G1991" t="s">
        <v>635</v>
      </c>
      <c r="H1991" t="s">
        <v>1009</v>
      </c>
    </row>
    <row r="1992" spans="1:8" outlineLevel="2" x14ac:dyDescent="0.3">
      <c r="A1992" s="6">
        <v>25</v>
      </c>
      <c r="B1992" t="s">
        <v>618</v>
      </c>
      <c r="C1992" s="9" t="s">
        <v>932</v>
      </c>
      <c r="D1992" s="9">
        <v>15</v>
      </c>
      <c r="E1992" s="9" t="s">
        <v>1804</v>
      </c>
      <c r="F1992" t="s">
        <v>443</v>
      </c>
      <c r="G1992" t="s">
        <v>444</v>
      </c>
      <c r="H1992" t="s">
        <v>1649</v>
      </c>
    </row>
    <row r="1993" spans="1:8" outlineLevel="2" x14ac:dyDescent="0.3">
      <c r="A1993" s="6">
        <v>25</v>
      </c>
      <c r="B1993" t="s">
        <v>618</v>
      </c>
      <c r="C1993" s="9" t="s">
        <v>1807</v>
      </c>
      <c r="D1993" s="9">
        <v>750</v>
      </c>
      <c r="E1993" s="9" t="s">
        <v>1808</v>
      </c>
      <c r="F1993" t="s">
        <v>278</v>
      </c>
      <c r="G1993" t="s">
        <v>276</v>
      </c>
      <c r="H1993" t="s">
        <v>1013</v>
      </c>
    </row>
    <row r="1994" spans="1:8" outlineLevel="2" x14ac:dyDescent="0.3">
      <c r="A1994" s="6">
        <v>25</v>
      </c>
      <c r="B1994" t="s">
        <v>618</v>
      </c>
      <c r="C1994" s="9" t="s">
        <v>1807</v>
      </c>
      <c r="D1994" s="9">
        <v>600</v>
      </c>
      <c r="E1994" s="9" t="s">
        <v>1808</v>
      </c>
      <c r="F1994" t="s">
        <v>637</v>
      </c>
      <c r="G1994" t="s">
        <v>276</v>
      </c>
      <c r="H1994" t="s">
        <v>1014</v>
      </c>
    </row>
    <row r="1995" spans="1:8" outlineLevel="2" x14ac:dyDescent="0.3">
      <c r="A1995" s="6">
        <v>25</v>
      </c>
      <c r="B1995" t="s">
        <v>618</v>
      </c>
      <c r="C1995" s="9" t="s">
        <v>932</v>
      </c>
      <c r="D1995" s="9">
        <v>15</v>
      </c>
      <c r="E1995" s="9" t="s">
        <v>1804</v>
      </c>
      <c r="F1995" t="s">
        <v>565</v>
      </c>
      <c r="G1995" t="s">
        <v>60</v>
      </c>
      <c r="H1995" t="s">
        <v>1077</v>
      </c>
    </row>
    <row r="1996" spans="1:8" outlineLevel="2" x14ac:dyDescent="0.3">
      <c r="A1996" s="6">
        <v>25</v>
      </c>
      <c r="B1996" t="s">
        <v>618</v>
      </c>
      <c r="C1996" s="9" t="s">
        <v>932</v>
      </c>
      <c r="D1996" s="9">
        <v>15</v>
      </c>
      <c r="E1996" s="9" t="s">
        <v>1804</v>
      </c>
      <c r="F1996" t="s">
        <v>59</v>
      </c>
      <c r="G1996" t="s">
        <v>60</v>
      </c>
      <c r="H1996" t="s">
        <v>1078</v>
      </c>
    </row>
    <row r="1997" spans="1:8" outlineLevel="2" x14ac:dyDescent="0.3">
      <c r="A1997" s="6">
        <v>25</v>
      </c>
      <c r="B1997" t="s">
        <v>618</v>
      </c>
      <c r="C1997" s="9" t="s">
        <v>932</v>
      </c>
      <c r="D1997" s="9">
        <v>17</v>
      </c>
      <c r="E1997" s="9" t="s">
        <v>1804</v>
      </c>
      <c r="F1997" t="s">
        <v>307</v>
      </c>
      <c r="G1997" t="s">
        <v>122</v>
      </c>
      <c r="H1997" t="s">
        <v>1098</v>
      </c>
    </row>
    <row r="1998" spans="1:8" outlineLevel="2" x14ac:dyDescent="0.3">
      <c r="A1998" s="6">
        <v>25</v>
      </c>
      <c r="B1998" t="s">
        <v>618</v>
      </c>
      <c r="C1998" s="9" t="s">
        <v>932</v>
      </c>
      <c r="D1998" s="9">
        <v>9</v>
      </c>
      <c r="E1998" s="9" t="s">
        <v>1804</v>
      </c>
      <c r="F1998" t="s">
        <v>570</v>
      </c>
      <c r="G1998" t="s">
        <v>368</v>
      </c>
      <c r="H1998" t="s">
        <v>1681</v>
      </c>
    </row>
    <row r="1999" spans="1:8" outlineLevel="2" x14ac:dyDescent="0.3">
      <c r="A1999" s="6">
        <v>25</v>
      </c>
      <c r="B1999" t="s">
        <v>618</v>
      </c>
      <c r="C1999" s="9" t="s">
        <v>932</v>
      </c>
      <c r="D1999" s="9">
        <v>18</v>
      </c>
      <c r="E1999" s="9" t="s">
        <v>1804</v>
      </c>
      <c r="F1999" t="s">
        <v>65</v>
      </c>
      <c r="G1999" t="s">
        <v>66</v>
      </c>
      <c r="H1999" t="s">
        <v>1791</v>
      </c>
    </row>
    <row r="2000" spans="1:8" outlineLevel="2" x14ac:dyDescent="0.3">
      <c r="A2000" s="6">
        <v>25</v>
      </c>
      <c r="B2000" t="s">
        <v>618</v>
      </c>
      <c r="C2000" s="9" t="s">
        <v>932</v>
      </c>
      <c r="D2000" s="9">
        <v>15</v>
      </c>
      <c r="E2000" s="9" t="s">
        <v>1804</v>
      </c>
      <c r="F2000" t="s">
        <v>638</v>
      </c>
      <c r="G2000" t="s">
        <v>639</v>
      </c>
      <c r="H2000" t="s">
        <v>1190</v>
      </c>
    </row>
    <row r="2001" spans="1:8" outlineLevel="2" x14ac:dyDescent="0.3">
      <c r="A2001" s="6">
        <v>25</v>
      </c>
      <c r="B2001" t="s">
        <v>618</v>
      </c>
      <c r="C2001" s="9" t="s">
        <v>932</v>
      </c>
      <c r="D2001" s="9">
        <v>11</v>
      </c>
      <c r="E2001" s="9" t="s">
        <v>1804</v>
      </c>
      <c r="F2001" t="s">
        <v>641</v>
      </c>
      <c r="G2001" t="s">
        <v>126</v>
      </c>
      <c r="H2001" t="s">
        <v>1550</v>
      </c>
    </row>
    <row r="2002" spans="1:8" outlineLevel="2" x14ac:dyDescent="0.3">
      <c r="A2002" s="6">
        <v>25</v>
      </c>
      <c r="B2002" t="s">
        <v>618</v>
      </c>
      <c r="C2002" s="9" t="s">
        <v>1807</v>
      </c>
      <c r="D2002" s="9">
        <v>420</v>
      </c>
      <c r="E2002" s="9" t="s">
        <v>1808</v>
      </c>
      <c r="F2002" t="s">
        <v>68</v>
      </c>
      <c r="G2002" t="s">
        <v>69</v>
      </c>
      <c r="H2002" t="s">
        <v>1551</v>
      </c>
    </row>
    <row r="2003" spans="1:8" outlineLevel="2" x14ac:dyDescent="0.3">
      <c r="A2003" s="6">
        <v>25</v>
      </c>
      <c r="B2003" t="s">
        <v>618</v>
      </c>
      <c r="C2003" s="9" t="s">
        <v>1807</v>
      </c>
      <c r="D2003" s="9">
        <v>198</v>
      </c>
      <c r="E2003" s="9" t="s">
        <v>1808</v>
      </c>
      <c r="F2003" t="s">
        <v>484</v>
      </c>
      <c r="G2003" t="s">
        <v>69</v>
      </c>
      <c r="H2003" t="s">
        <v>1556</v>
      </c>
    </row>
    <row r="2004" spans="1:8" outlineLevel="2" x14ac:dyDescent="0.3">
      <c r="A2004" s="6">
        <v>25</v>
      </c>
      <c r="B2004" t="s">
        <v>618</v>
      </c>
      <c r="C2004" s="9" t="s">
        <v>932</v>
      </c>
      <c r="D2004" s="9">
        <v>24</v>
      </c>
      <c r="E2004" s="9" t="s">
        <v>1804</v>
      </c>
      <c r="F2004" t="s">
        <v>316</v>
      </c>
      <c r="G2004" t="s">
        <v>129</v>
      </c>
      <c r="H2004" t="s">
        <v>1562</v>
      </c>
    </row>
    <row r="2005" spans="1:8" outlineLevel="2" x14ac:dyDescent="0.3">
      <c r="A2005" s="6">
        <v>25</v>
      </c>
      <c r="B2005" t="s">
        <v>618</v>
      </c>
      <c r="C2005" s="9" t="s">
        <v>1807</v>
      </c>
      <c r="D2005" s="9">
        <v>770</v>
      </c>
      <c r="E2005" s="9" t="s">
        <v>1808</v>
      </c>
      <c r="F2005" t="s">
        <v>71</v>
      </c>
      <c r="G2005" t="s">
        <v>72</v>
      </c>
      <c r="H2005" t="s">
        <v>1565</v>
      </c>
    </row>
    <row r="2006" spans="1:8" outlineLevel="2" x14ac:dyDescent="0.3">
      <c r="A2006" s="6">
        <v>25</v>
      </c>
      <c r="B2006" t="s">
        <v>618</v>
      </c>
      <c r="C2006" s="9" t="s">
        <v>1807</v>
      </c>
      <c r="D2006" s="9">
        <v>518</v>
      </c>
      <c r="E2006" s="9" t="s">
        <v>1808</v>
      </c>
      <c r="F2006" t="s">
        <v>74</v>
      </c>
      <c r="G2006" t="s">
        <v>72</v>
      </c>
      <c r="H2006" t="s">
        <v>1566</v>
      </c>
    </row>
    <row r="2007" spans="1:8" outlineLevel="2" x14ac:dyDescent="0.3">
      <c r="A2007" s="6">
        <v>25</v>
      </c>
      <c r="B2007" t="s">
        <v>618</v>
      </c>
      <c r="C2007" s="9" t="s">
        <v>932</v>
      </c>
      <c r="D2007" s="9">
        <v>15</v>
      </c>
      <c r="E2007" s="9" t="s">
        <v>1804</v>
      </c>
      <c r="F2007" t="s">
        <v>575</v>
      </c>
      <c r="G2007" t="s">
        <v>576</v>
      </c>
      <c r="H2007" t="s">
        <v>1574</v>
      </c>
    </row>
    <row r="2008" spans="1:8" outlineLevel="2" x14ac:dyDescent="0.3">
      <c r="A2008" s="6">
        <v>25</v>
      </c>
      <c r="B2008" t="s">
        <v>618</v>
      </c>
      <c r="C2008" s="9" t="s">
        <v>932</v>
      </c>
      <c r="D2008" s="9">
        <v>12</v>
      </c>
      <c r="E2008" s="9" t="s">
        <v>1804</v>
      </c>
      <c r="F2008" t="s">
        <v>578</v>
      </c>
      <c r="G2008" t="s">
        <v>376</v>
      </c>
      <c r="H2008" t="s">
        <v>1577</v>
      </c>
    </row>
    <row r="2009" spans="1:8" outlineLevel="2" x14ac:dyDescent="0.3">
      <c r="A2009" s="6">
        <v>25</v>
      </c>
      <c r="B2009" t="s">
        <v>618</v>
      </c>
      <c r="C2009" s="9" t="s">
        <v>1807</v>
      </c>
      <c r="D2009" s="9">
        <v>398</v>
      </c>
      <c r="E2009" s="9" t="s">
        <v>1808</v>
      </c>
      <c r="F2009" t="s">
        <v>318</v>
      </c>
      <c r="G2009" t="s">
        <v>76</v>
      </c>
      <c r="H2009" t="s">
        <v>1578</v>
      </c>
    </row>
    <row r="2010" spans="1:8" outlineLevel="2" x14ac:dyDescent="0.3">
      <c r="A2010" s="6">
        <v>25</v>
      </c>
      <c r="B2010" t="s">
        <v>618</v>
      </c>
      <c r="C2010" s="9" t="s">
        <v>1807</v>
      </c>
      <c r="D2010" s="9">
        <v>698</v>
      </c>
      <c r="E2010" s="9" t="s">
        <v>1808</v>
      </c>
      <c r="F2010" t="s">
        <v>485</v>
      </c>
      <c r="G2010" t="s">
        <v>76</v>
      </c>
      <c r="H2010" t="s">
        <v>1579</v>
      </c>
    </row>
    <row r="2011" spans="1:8" outlineLevel="2" x14ac:dyDescent="0.3">
      <c r="A2011" s="6">
        <v>25</v>
      </c>
      <c r="B2011" t="s">
        <v>618</v>
      </c>
      <c r="C2011" s="9" t="s">
        <v>963</v>
      </c>
      <c r="D2011" s="9">
        <v>60</v>
      </c>
      <c r="E2011" s="9" t="s">
        <v>1804</v>
      </c>
      <c r="F2011" t="s">
        <v>79</v>
      </c>
      <c r="G2011" t="s">
        <v>80</v>
      </c>
      <c r="H2011" t="s">
        <v>1416</v>
      </c>
    </row>
    <row r="2012" spans="1:8" outlineLevel="2" x14ac:dyDescent="0.3">
      <c r="A2012" s="6">
        <v>25</v>
      </c>
      <c r="B2012" t="s">
        <v>618</v>
      </c>
      <c r="C2012" s="9" t="s">
        <v>963</v>
      </c>
      <c r="D2012" s="9">
        <v>60</v>
      </c>
      <c r="E2012" s="9" t="s">
        <v>1804</v>
      </c>
      <c r="F2012" t="s">
        <v>643</v>
      </c>
      <c r="G2012" t="s">
        <v>499</v>
      </c>
      <c r="H2012" t="s">
        <v>1703</v>
      </c>
    </row>
    <row r="2013" spans="1:8" outlineLevel="2" x14ac:dyDescent="0.3">
      <c r="A2013" s="6">
        <v>25</v>
      </c>
      <c r="B2013" t="s">
        <v>618</v>
      </c>
      <c r="C2013" s="9" t="s">
        <v>963</v>
      </c>
      <c r="D2013" s="9">
        <v>60</v>
      </c>
      <c r="E2013" s="9" t="s">
        <v>1804</v>
      </c>
      <c r="F2013" t="s">
        <v>612</v>
      </c>
      <c r="G2013" t="s">
        <v>613</v>
      </c>
      <c r="H2013" t="s">
        <v>1343</v>
      </c>
    </row>
    <row r="2014" spans="1:8" outlineLevel="2" x14ac:dyDescent="0.3">
      <c r="A2014" s="6">
        <v>25</v>
      </c>
      <c r="B2014" t="s">
        <v>618</v>
      </c>
      <c r="C2014" s="9" t="s">
        <v>963</v>
      </c>
      <c r="D2014" s="9">
        <v>70</v>
      </c>
      <c r="E2014" s="9" t="s">
        <v>1804</v>
      </c>
      <c r="F2014" t="s">
        <v>325</v>
      </c>
      <c r="G2014" t="s">
        <v>196</v>
      </c>
      <c r="H2014" t="s">
        <v>1344</v>
      </c>
    </row>
    <row r="2015" spans="1:8" outlineLevel="2" x14ac:dyDescent="0.3">
      <c r="A2015" s="6">
        <v>25</v>
      </c>
      <c r="B2015" t="s">
        <v>618</v>
      </c>
      <c r="C2015" s="9" t="s">
        <v>963</v>
      </c>
      <c r="D2015" s="9">
        <v>70</v>
      </c>
      <c r="E2015" s="9" t="s">
        <v>1804</v>
      </c>
      <c r="F2015" t="s">
        <v>597</v>
      </c>
      <c r="G2015" t="s">
        <v>12</v>
      </c>
      <c r="H2015" t="s">
        <v>1348</v>
      </c>
    </row>
    <row r="2016" spans="1:8" outlineLevel="2" x14ac:dyDescent="0.3">
      <c r="A2016" s="6">
        <v>25</v>
      </c>
      <c r="B2016" t="s">
        <v>618</v>
      </c>
      <c r="C2016" s="9" t="s">
        <v>963</v>
      </c>
      <c r="D2016" s="9">
        <v>74</v>
      </c>
      <c r="E2016" s="9" t="s">
        <v>1804</v>
      </c>
      <c r="F2016" t="s">
        <v>87</v>
      </c>
      <c r="G2016" t="s">
        <v>88</v>
      </c>
      <c r="H2016" t="s">
        <v>1349</v>
      </c>
    </row>
    <row r="2017" spans="1:8" outlineLevel="2" x14ac:dyDescent="0.3">
      <c r="A2017" s="6">
        <v>25</v>
      </c>
      <c r="B2017" t="s">
        <v>618</v>
      </c>
      <c r="C2017" s="9" t="s">
        <v>963</v>
      </c>
      <c r="D2017" s="9">
        <v>73</v>
      </c>
      <c r="E2017" s="9" t="s">
        <v>1804</v>
      </c>
      <c r="F2017" t="s">
        <v>90</v>
      </c>
      <c r="G2017" t="s">
        <v>15</v>
      </c>
      <c r="H2017" t="s">
        <v>1351</v>
      </c>
    </row>
    <row r="2018" spans="1:8" outlineLevel="2" x14ac:dyDescent="0.3">
      <c r="A2018" s="6">
        <v>25</v>
      </c>
      <c r="B2018" t="s">
        <v>618</v>
      </c>
      <c r="C2018" s="9" t="s">
        <v>963</v>
      </c>
      <c r="D2018" s="9">
        <v>76</v>
      </c>
      <c r="E2018" s="9" t="s">
        <v>1804</v>
      </c>
      <c r="F2018" t="s">
        <v>94</v>
      </c>
      <c r="G2018" t="s">
        <v>95</v>
      </c>
      <c r="H2018" t="s">
        <v>1355</v>
      </c>
    </row>
    <row r="2019" spans="1:8" outlineLevel="2" x14ac:dyDescent="0.3">
      <c r="A2019" s="6">
        <v>25</v>
      </c>
      <c r="B2019" t="s">
        <v>618</v>
      </c>
      <c r="C2019" s="9" t="s">
        <v>963</v>
      </c>
      <c r="D2019" s="9">
        <v>72</v>
      </c>
      <c r="E2019" s="9" t="s">
        <v>1804</v>
      </c>
      <c r="F2019" t="s">
        <v>101</v>
      </c>
      <c r="G2019" t="s">
        <v>102</v>
      </c>
      <c r="H2019" t="s">
        <v>1365</v>
      </c>
    </row>
    <row r="2020" spans="1:8" outlineLevel="2" x14ac:dyDescent="0.3">
      <c r="A2020" s="6">
        <v>25</v>
      </c>
      <c r="B2020" t="s">
        <v>618</v>
      </c>
      <c r="C2020" s="9" t="s">
        <v>963</v>
      </c>
      <c r="D2020" s="9">
        <v>60</v>
      </c>
      <c r="E2020" s="9" t="s">
        <v>1804</v>
      </c>
      <c r="F2020" t="s">
        <v>400</v>
      </c>
      <c r="G2020" t="s">
        <v>401</v>
      </c>
      <c r="H2020" t="s">
        <v>1185</v>
      </c>
    </row>
    <row r="2021" spans="1:8" outlineLevel="2" x14ac:dyDescent="0.3">
      <c r="A2021" s="6">
        <v>25</v>
      </c>
      <c r="B2021" t="s">
        <v>618</v>
      </c>
      <c r="C2021" s="9" t="s">
        <v>963</v>
      </c>
      <c r="D2021" s="9">
        <v>75</v>
      </c>
      <c r="E2021" s="9" t="s">
        <v>1804</v>
      </c>
      <c r="F2021" t="s">
        <v>345</v>
      </c>
      <c r="G2021" t="s">
        <v>215</v>
      </c>
      <c r="H2021" t="s">
        <v>1115</v>
      </c>
    </row>
    <row r="2022" spans="1:8" outlineLevel="2" x14ac:dyDescent="0.3">
      <c r="A2022" s="6">
        <v>25</v>
      </c>
      <c r="B2022" t="s">
        <v>618</v>
      </c>
      <c r="C2022" s="9" t="s">
        <v>963</v>
      </c>
      <c r="D2022" s="9">
        <v>60</v>
      </c>
      <c r="E2022" s="9" t="s">
        <v>1804</v>
      </c>
      <c r="F2022" t="s">
        <v>170</v>
      </c>
      <c r="G2022" t="s">
        <v>171</v>
      </c>
      <c r="H2022" t="s">
        <v>1535</v>
      </c>
    </row>
    <row r="2023" spans="1:8" outlineLevel="2" x14ac:dyDescent="0.3">
      <c r="A2023" s="6">
        <v>25</v>
      </c>
      <c r="B2023" t="s">
        <v>618</v>
      </c>
      <c r="C2023" s="9" t="s">
        <v>963</v>
      </c>
      <c r="D2023" s="9">
        <v>60</v>
      </c>
      <c r="E2023" s="9" t="s">
        <v>1804</v>
      </c>
      <c r="F2023" t="s">
        <v>106</v>
      </c>
      <c r="G2023" t="s">
        <v>32</v>
      </c>
      <c r="H2023" t="s">
        <v>1537</v>
      </c>
    </row>
    <row r="2024" spans="1:8" outlineLevel="2" x14ac:dyDescent="0.3">
      <c r="A2024" s="6">
        <v>25</v>
      </c>
      <c r="B2024" t="s">
        <v>618</v>
      </c>
      <c r="C2024" s="9" t="s">
        <v>963</v>
      </c>
      <c r="D2024" s="9">
        <v>60</v>
      </c>
      <c r="E2024" s="9" t="s">
        <v>1804</v>
      </c>
      <c r="F2024" t="s">
        <v>107</v>
      </c>
      <c r="G2024" t="s">
        <v>108</v>
      </c>
      <c r="H2024" t="s">
        <v>1140</v>
      </c>
    </row>
    <row r="2025" spans="1:8" outlineLevel="2" x14ac:dyDescent="0.3">
      <c r="A2025" s="6">
        <v>25</v>
      </c>
      <c r="B2025" t="s">
        <v>618</v>
      </c>
      <c r="C2025" s="9" t="s">
        <v>963</v>
      </c>
      <c r="D2025" s="9">
        <v>60</v>
      </c>
      <c r="E2025" s="9" t="s">
        <v>1804</v>
      </c>
      <c r="F2025" t="s">
        <v>351</v>
      </c>
      <c r="G2025" t="s">
        <v>38</v>
      </c>
      <c r="H2025" t="s">
        <v>1142</v>
      </c>
    </row>
    <row r="2026" spans="1:8" outlineLevel="2" x14ac:dyDescent="0.3">
      <c r="A2026" s="6">
        <v>25</v>
      </c>
      <c r="B2026" t="s">
        <v>618</v>
      </c>
      <c r="C2026" s="9" t="s">
        <v>963</v>
      </c>
      <c r="D2026" s="9">
        <v>60</v>
      </c>
      <c r="E2026" s="9" t="s">
        <v>1804</v>
      </c>
      <c r="F2026" t="s">
        <v>110</v>
      </c>
      <c r="G2026" t="s">
        <v>41</v>
      </c>
      <c r="H2026" t="s">
        <v>1144</v>
      </c>
    </row>
    <row r="2027" spans="1:8" outlineLevel="2" x14ac:dyDescent="0.3">
      <c r="A2027" s="6">
        <v>25</v>
      </c>
      <c r="B2027" t="s">
        <v>618</v>
      </c>
      <c r="C2027" s="9" t="s">
        <v>963</v>
      </c>
      <c r="D2027" s="9">
        <v>60</v>
      </c>
      <c r="E2027" s="9" t="s">
        <v>1804</v>
      </c>
      <c r="F2027" t="s">
        <v>111</v>
      </c>
      <c r="G2027" t="s">
        <v>112</v>
      </c>
      <c r="H2027" t="s">
        <v>1146</v>
      </c>
    </row>
    <row r="2028" spans="1:8" outlineLevel="2" x14ac:dyDescent="0.3">
      <c r="A2028" s="6">
        <v>25</v>
      </c>
      <c r="B2028" t="s">
        <v>618</v>
      </c>
      <c r="C2028" s="9" t="s">
        <v>963</v>
      </c>
      <c r="D2028" s="9">
        <v>60</v>
      </c>
      <c r="E2028" s="9" t="s">
        <v>1804</v>
      </c>
      <c r="F2028" t="s">
        <v>465</v>
      </c>
      <c r="G2028" t="s">
        <v>235</v>
      </c>
      <c r="H2028" t="s">
        <v>1117</v>
      </c>
    </row>
    <row r="2029" spans="1:8" outlineLevel="2" x14ac:dyDescent="0.3">
      <c r="A2029" s="6">
        <v>25</v>
      </c>
      <c r="B2029" t="s">
        <v>618</v>
      </c>
      <c r="C2029" s="9" t="s">
        <v>963</v>
      </c>
      <c r="D2029" s="9">
        <v>64</v>
      </c>
      <c r="E2029" s="9" t="s">
        <v>1804</v>
      </c>
      <c r="F2029" t="s">
        <v>583</v>
      </c>
      <c r="G2029" t="s">
        <v>238</v>
      </c>
      <c r="H2029" t="s">
        <v>1122</v>
      </c>
    </row>
    <row r="2030" spans="1:8" outlineLevel="2" x14ac:dyDescent="0.3">
      <c r="A2030" s="6">
        <v>25</v>
      </c>
      <c r="B2030" t="s">
        <v>618</v>
      </c>
      <c r="C2030" s="9" t="s">
        <v>963</v>
      </c>
      <c r="D2030" s="9">
        <v>60</v>
      </c>
      <c r="E2030" s="9" t="s">
        <v>1804</v>
      </c>
      <c r="F2030" t="s">
        <v>120</v>
      </c>
      <c r="G2030" t="s">
        <v>51</v>
      </c>
      <c r="H2030" t="s">
        <v>1590</v>
      </c>
    </row>
    <row r="2031" spans="1:8" outlineLevel="2" x14ac:dyDescent="0.3">
      <c r="A2031" s="6">
        <v>25</v>
      </c>
      <c r="B2031" t="s">
        <v>618</v>
      </c>
      <c r="C2031" s="9" t="s">
        <v>963</v>
      </c>
      <c r="D2031" s="9">
        <v>62</v>
      </c>
      <c r="E2031" s="9" t="s">
        <v>1804</v>
      </c>
      <c r="F2031" t="s">
        <v>405</v>
      </c>
      <c r="G2031" t="s">
        <v>260</v>
      </c>
      <c r="H2031" t="s">
        <v>1022</v>
      </c>
    </row>
    <row r="2032" spans="1:8" outlineLevel="2" x14ac:dyDescent="0.3">
      <c r="A2032" s="6">
        <v>25</v>
      </c>
      <c r="B2032" t="s">
        <v>618</v>
      </c>
      <c r="C2032" s="9" t="s">
        <v>963</v>
      </c>
      <c r="D2032" s="9">
        <v>64</v>
      </c>
      <c r="E2032" s="9" t="s">
        <v>1804</v>
      </c>
      <c r="F2032" t="s">
        <v>406</v>
      </c>
      <c r="G2032" t="s">
        <v>269</v>
      </c>
      <c r="H2032" t="s">
        <v>1687</v>
      </c>
    </row>
    <row r="2033" spans="1:8" outlineLevel="2" x14ac:dyDescent="0.3">
      <c r="A2033" s="6">
        <v>25</v>
      </c>
      <c r="B2033" t="s">
        <v>618</v>
      </c>
      <c r="C2033" s="9" t="s">
        <v>963</v>
      </c>
      <c r="D2033" s="9">
        <v>60</v>
      </c>
      <c r="E2033" s="9" t="s">
        <v>1804</v>
      </c>
      <c r="F2033" t="s">
        <v>644</v>
      </c>
      <c r="G2033" t="s">
        <v>645</v>
      </c>
      <c r="H2033" t="s">
        <v>1023</v>
      </c>
    </row>
    <row r="2034" spans="1:8" outlineLevel="2" x14ac:dyDescent="0.3">
      <c r="A2034" s="6">
        <v>25</v>
      </c>
      <c r="B2034" t="s">
        <v>618</v>
      </c>
      <c r="C2034" s="9" t="s">
        <v>963</v>
      </c>
      <c r="D2034" s="9">
        <v>60</v>
      </c>
      <c r="E2034" s="9" t="s">
        <v>1804</v>
      </c>
      <c r="F2034" t="s">
        <v>367</v>
      </c>
      <c r="G2034" t="s">
        <v>368</v>
      </c>
      <c r="H2034" t="s">
        <v>1688</v>
      </c>
    </row>
    <row r="2035" spans="1:8" outlineLevel="2" x14ac:dyDescent="0.3">
      <c r="A2035" s="6">
        <v>25</v>
      </c>
      <c r="B2035" t="s">
        <v>618</v>
      </c>
      <c r="C2035" s="9" t="s">
        <v>963</v>
      </c>
      <c r="D2035" s="9">
        <v>60</v>
      </c>
      <c r="E2035" s="9" t="s">
        <v>1804</v>
      </c>
      <c r="F2035" t="s">
        <v>371</v>
      </c>
      <c r="G2035" t="s">
        <v>66</v>
      </c>
      <c r="H2035" t="s">
        <v>1799</v>
      </c>
    </row>
    <row r="2036" spans="1:8" outlineLevel="2" x14ac:dyDescent="0.3">
      <c r="A2036" s="6">
        <v>25</v>
      </c>
      <c r="B2036" t="s">
        <v>618</v>
      </c>
      <c r="C2036" s="9" t="s">
        <v>963</v>
      </c>
      <c r="D2036" s="9">
        <v>63</v>
      </c>
      <c r="E2036" s="9" t="s">
        <v>1804</v>
      </c>
      <c r="F2036" t="s">
        <v>124</v>
      </c>
      <c r="G2036" t="s">
        <v>572</v>
      </c>
      <c r="H2036" t="s">
        <v>1024</v>
      </c>
    </row>
    <row r="2037" spans="1:8" outlineLevel="2" x14ac:dyDescent="0.3">
      <c r="A2037" s="6">
        <v>25</v>
      </c>
      <c r="B2037" t="s">
        <v>618</v>
      </c>
      <c r="C2037" s="9" t="s">
        <v>963</v>
      </c>
      <c r="D2037" s="9">
        <v>64</v>
      </c>
      <c r="E2037" s="9" t="s">
        <v>1804</v>
      </c>
      <c r="F2037" t="s">
        <v>125</v>
      </c>
      <c r="G2037" t="s">
        <v>126</v>
      </c>
      <c r="H2037" t="s">
        <v>1581</v>
      </c>
    </row>
    <row r="2038" spans="1:8" outlineLevel="2" x14ac:dyDescent="0.3">
      <c r="A2038" s="6">
        <v>25</v>
      </c>
      <c r="B2038" t="s">
        <v>618</v>
      </c>
      <c r="C2038" s="9" t="s">
        <v>963</v>
      </c>
      <c r="D2038" s="9">
        <v>60</v>
      </c>
      <c r="E2038" s="9" t="s">
        <v>1804</v>
      </c>
      <c r="F2038" t="s">
        <v>128</v>
      </c>
      <c r="G2038" t="s">
        <v>129</v>
      </c>
      <c r="H2038" t="s">
        <v>1582</v>
      </c>
    </row>
    <row r="2039" spans="1:8" outlineLevel="2" x14ac:dyDescent="0.3">
      <c r="A2039" s="6">
        <v>25</v>
      </c>
      <c r="B2039" t="s">
        <v>618</v>
      </c>
      <c r="C2039" s="9" t="s">
        <v>963</v>
      </c>
      <c r="D2039" s="9">
        <v>60</v>
      </c>
      <c r="E2039" s="9" t="s">
        <v>1804</v>
      </c>
      <c r="F2039" t="s">
        <v>375</v>
      </c>
      <c r="G2039" t="s">
        <v>376</v>
      </c>
      <c r="H2039" t="s">
        <v>1586</v>
      </c>
    </row>
    <row r="2040" spans="1:8" outlineLevel="1" x14ac:dyDescent="0.3">
      <c r="A2040" s="16" t="s">
        <v>2211</v>
      </c>
      <c r="H2040">
        <f>SUBTOTAL(3,H1935:H2039)</f>
        <v>105</v>
      </c>
    </row>
    <row r="2041" spans="1:8" outlineLevel="2" x14ac:dyDescent="0.3">
      <c r="A2041" s="6">
        <v>26</v>
      </c>
      <c r="B2041" t="s">
        <v>599</v>
      </c>
      <c r="C2041" s="9" t="s">
        <v>932</v>
      </c>
      <c r="D2041" s="9">
        <v>18</v>
      </c>
      <c r="E2041" s="9" t="s">
        <v>1804</v>
      </c>
      <c r="F2041" t="s">
        <v>533</v>
      </c>
      <c r="G2041" t="s">
        <v>531</v>
      </c>
      <c r="H2041" t="s">
        <v>939</v>
      </c>
    </row>
    <row r="2042" spans="1:8" outlineLevel="2" x14ac:dyDescent="0.3">
      <c r="A2042" s="6">
        <v>26</v>
      </c>
      <c r="B2042" t="s">
        <v>599</v>
      </c>
      <c r="C2042" s="9" t="s">
        <v>932</v>
      </c>
      <c r="D2042" s="9">
        <v>30</v>
      </c>
      <c r="E2042" s="9" t="s">
        <v>1804</v>
      </c>
      <c r="F2042" t="s">
        <v>534</v>
      </c>
      <c r="G2042" t="s">
        <v>531</v>
      </c>
      <c r="H2042" t="s">
        <v>940</v>
      </c>
    </row>
    <row r="2043" spans="1:8" outlineLevel="2" x14ac:dyDescent="0.3">
      <c r="A2043" s="6">
        <v>26</v>
      </c>
      <c r="B2043" t="s">
        <v>599</v>
      </c>
      <c r="C2043" s="9" t="s">
        <v>1807</v>
      </c>
      <c r="D2043" s="9">
        <v>1230</v>
      </c>
      <c r="E2043" s="9" t="s">
        <v>1808</v>
      </c>
      <c r="F2043" t="s">
        <v>10</v>
      </c>
      <c r="G2043" t="s">
        <v>526</v>
      </c>
      <c r="H2043" t="s">
        <v>1812</v>
      </c>
    </row>
    <row r="2044" spans="1:8" outlineLevel="2" x14ac:dyDescent="0.3">
      <c r="A2044" s="6">
        <v>26</v>
      </c>
      <c r="B2044" t="s">
        <v>599</v>
      </c>
      <c r="C2044" s="9" t="s">
        <v>1807</v>
      </c>
      <c r="D2044" s="9">
        <v>1300</v>
      </c>
      <c r="E2044" s="9" t="s">
        <v>1808</v>
      </c>
      <c r="F2044" t="s">
        <v>199</v>
      </c>
      <c r="G2044" t="s">
        <v>200</v>
      </c>
      <c r="H2044" t="s">
        <v>1271</v>
      </c>
    </row>
    <row r="2045" spans="1:8" outlineLevel="2" x14ac:dyDescent="0.3">
      <c r="A2045" s="6">
        <v>26</v>
      </c>
      <c r="B2045" t="s">
        <v>599</v>
      </c>
      <c r="C2045" s="9" t="s">
        <v>932</v>
      </c>
      <c r="D2045" s="9">
        <v>42</v>
      </c>
      <c r="E2045" s="9" t="s">
        <v>1804</v>
      </c>
      <c r="F2045" t="s">
        <v>14</v>
      </c>
      <c r="G2045" t="s">
        <v>15</v>
      </c>
      <c r="H2045" t="s">
        <v>1290</v>
      </c>
    </row>
    <row r="2046" spans="1:8" outlineLevel="2" x14ac:dyDescent="0.3">
      <c r="A2046" s="6">
        <v>26</v>
      </c>
      <c r="B2046" t="s">
        <v>599</v>
      </c>
      <c r="C2046" s="9" t="s">
        <v>1266</v>
      </c>
      <c r="D2046" s="9">
        <v>12</v>
      </c>
      <c r="E2046" s="9" t="s">
        <v>1804</v>
      </c>
      <c r="F2046" t="s">
        <v>17</v>
      </c>
      <c r="G2046" t="s">
        <v>15</v>
      </c>
      <c r="H2046" t="s">
        <v>1291</v>
      </c>
    </row>
    <row r="2047" spans="1:8" outlineLevel="2" x14ac:dyDescent="0.3">
      <c r="A2047" s="6">
        <v>26</v>
      </c>
      <c r="B2047" t="s">
        <v>599</v>
      </c>
      <c r="C2047" s="9" t="s">
        <v>932</v>
      </c>
      <c r="D2047" s="9">
        <v>12</v>
      </c>
      <c r="E2047" s="9" t="s">
        <v>1804</v>
      </c>
      <c r="F2047" t="s">
        <v>204</v>
      </c>
      <c r="G2047" t="s">
        <v>15</v>
      </c>
      <c r="H2047" t="s">
        <v>1292</v>
      </c>
    </row>
    <row r="2048" spans="1:8" outlineLevel="2" x14ac:dyDescent="0.3">
      <c r="A2048" s="6">
        <v>26</v>
      </c>
      <c r="B2048" t="s">
        <v>599</v>
      </c>
      <c r="C2048" s="9" t="s">
        <v>1807</v>
      </c>
      <c r="D2048" s="9">
        <v>165</v>
      </c>
      <c r="E2048" s="9" t="s">
        <v>1808</v>
      </c>
      <c r="F2048" t="s">
        <v>410</v>
      </c>
      <c r="G2048" t="s">
        <v>411</v>
      </c>
      <c r="H2048" t="s">
        <v>1313</v>
      </c>
    </row>
    <row r="2049" spans="1:8" outlineLevel="2" x14ac:dyDescent="0.3">
      <c r="A2049" s="6">
        <v>26</v>
      </c>
      <c r="B2049" t="s">
        <v>599</v>
      </c>
      <c r="C2049" s="9" t="s">
        <v>1807</v>
      </c>
      <c r="D2049" s="9">
        <v>1350</v>
      </c>
      <c r="E2049" s="9" t="s">
        <v>1808</v>
      </c>
      <c r="F2049" t="s">
        <v>413</v>
      </c>
      <c r="G2049" t="s">
        <v>414</v>
      </c>
      <c r="H2049" t="s">
        <v>1332</v>
      </c>
    </row>
    <row r="2050" spans="1:8" outlineLevel="2" x14ac:dyDescent="0.3">
      <c r="A2050" s="6">
        <v>26</v>
      </c>
      <c r="B2050" t="s">
        <v>599</v>
      </c>
      <c r="C2050" s="9" t="s">
        <v>1807</v>
      </c>
      <c r="D2050" s="9">
        <v>1200</v>
      </c>
      <c r="E2050" s="9" t="s">
        <v>1808</v>
      </c>
      <c r="F2050" t="s">
        <v>416</v>
      </c>
      <c r="G2050" t="s">
        <v>47</v>
      </c>
      <c r="H2050" t="s">
        <v>1401</v>
      </c>
    </row>
    <row r="2051" spans="1:8" outlineLevel="2" x14ac:dyDescent="0.3">
      <c r="A2051" s="6">
        <v>26</v>
      </c>
      <c r="B2051" t="s">
        <v>599</v>
      </c>
      <c r="C2051" s="9" t="s">
        <v>932</v>
      </c>
      <c r="D2051" s="9">
        <v>33</v>
      </c>
      <c r="E2051" s="9" t="s">
        <v>1804</v>
      </c>
      <c r="F2051" t="s">
        <v>390</v>
      </c>
      <c r="G2051" t="s">
        <v>391</v>
      </c>
      <c r="H2051" t="s">
        <v>1449</v>
      </c>
    </row>
    <row r="2052" spans="1:8" outlineLevel="2" x14ac:dyDescent="0.3">
      <c r="A2052" s="6">
        <v>26</v>
      </c>
      <c r="B2052" t="s">
        <v>599</v>
      </c>
      <c r="C2052" s="9" t="s">
        <v>932</v>
      </c>
      <c r="D2052" s="9">
        <v>30</v>
      </c>
      <c r="E2052" s="9" t="s">
        <v>1804</v>
      </c>
      <c r="F2052" t="s">
        <v>35</v>
      </c>
      <c r="G2052" t="s">
        <v>32</v>
      </c>
      <c r="H2052" t="s">
        <v>1489</v>
      </c>
    </row>
    <row r="2053" spans="1:8" outlineLevel="2" x14ac:dyDescent="0.3">
      <c r="A2053" s="6">
        <v>26</v>
      </c>
      <c r="B2053" t="s">
        <v>599</v>
      </c>
      <c r="C2053" s="9" t="s">
        <v>1807</v>
      </c>
      <c r="D2053" s="9">
        <v>750</v>
      </c>
      <c r="E2053" s="9" t="s">
        <v>1808</v>
      </c>
      <c r="F2053" t="s">
        <v>590</v>
      </c>
      <c r="G2053" t="s">
        <v>504</v>
      </c>
      <c r="H2053" t="s">
        <v>1498</v>
      </c>
    </row>
    <row r="2054" spans="1:8" outlineLevel="2" x14ac:dyDescent="0.3">
      <c r="A2054" s="6">
        <v>26</v>
      </c>
      <c r="B2054" t="s">
        <v>599</v>
      </c>
      <c r="C2054" s="9" t="s">
        <v>1807</v>
      </c>
      <c r="D2054" s="9">
        <v>1050</v>
      </c>
      <c r="E2054" s="9" t="s">
        <v>1808</v>
      </c>
      <c r="F2054" t="s">
        <v>600</v>
      </c>
      <c r="G2054" t="s">
        <v>423</v>
      </c>
      <c r="H2054" t="s">
        <v>1139</v>
      </c>
    </row>
    <row r="2055" spans="1:8" outlineLevel="2" x14ac:dyDescent="0.3">
      <c r="A2055" s="6">
        <v>26</v>
      </c>
      <c r="B2055" t="s">
        <v>599</v>
      </c>
      <c r="C2055" s="9" t="s">
        <v>932</v>
      </c>
      <c r="D2055" s="9">
        <v>34</v>
      </c>
      <c r="E2055" s="9" t="s">
        <v>1804</v>
      </c>
      <c r="F2055" t="s">
        <v>422</v>
      </c>
      <c r="G2055" t="s">
        <v>423</v>
      </c>
      <c r="H2055" t="s">
        <v>1149</v>
      </c>
    </row>
    <row r="2056" spans="1:8" outlineLevel="2" x14ac:dyDescent="0.3">
      <c r="A2056" s="6">
        <v>26</v>
      </c>
      <c r="B2056" t="s">
        <v>599</v>
      </c>
      <c r="C2056" s="9" t="s">
        <v>1807</v>
      </c>
      <c r="D2056" s="9">
        <v>900</v>
      </c>
      <c r="E2056" s="9" t="s">
        <v>1808</v>
      </c>
      <c r="F2056" t="s">
        <v>601</v>
      </c>
      <c r="G2056" t="s">
        <v>108</v>
      </c>
      <c r="H2056" t="s">
        <v>1141</v>
      </c>
    </row>
    <row r="2057" spans="1:8" outlineLevel="2" x14ac:dyDescent="0.3">
      <c r="A2057" s="6">
        <v>26</v>
      </c>
      <c r="B2057" t="s">
        <v>599</v>
      </c>
      <c r="C2057" s="9" t="s">
        <v>932</v>
      </c>
      <c r="D2057" s="9">
        <v>27</v>
      </c>
      <c r="E2057" s="9" t="s">
        <v>1804</v>
      </c>
      <c r="F2057" t="s">
        <v>37</v>
      </c>
      <c r="G2057" t="s">
        <v>38</v>
      </c>
      <c r="H2057" t="s">
        <v>1164</v>
      </c>
    </row>
    <row r="2058" spans="1:8" outlineLevel="2" x14ac:dyDescent="0.3">
      <c r="A2058" s="6">
        <v>26</v>
      </c>
      <c r="B2058" t="s">
        <v>599</v>
      </c>
      <c r="C2058" s="9" t="s">
        <v>932</v>
      </c>
      <c r="D2058" s="9">
        <v>27</v>
      </c>
      <c r="E2058" s="9" t="s">
        <v>1804</v>
      </c>
      <c r="F2058" t="s">
        <v>40</v>
      </c>
      <c r="G2058" t="s">
        <v>41</v>
      </c>
      <c r="H2058" t="s">
        <v>1169</v>
      </c>
    </row>
    <row r="2059" spans="1:8" outlineLevel="2" x14ac:dyDescent="0.3">
      <c r="A2059" s="6">
        <v>26</v>
      </c>
      <c r="B2059" t="s">
        <v>599</v>
      </c>
      <c r="C2059" s="9" t="s">
        <v>932</v>
      </c>
      <c r="D2059" s="9">
        <v>24</v>
      </c>
      <c r="E2059" s="9" t="s">
        <v>1804</v>
      </c>
      <c r="F2059" t="s">
        <v>232</v>
      </c>
      <c r="G2059" t="s">
        <v>144</v>
      </c>
      <c r="H2059" t="s">
        <v>1171</v>
      </c>
    </row>
    <row r="2060" spans="1:8" outlineLevel="2" x14ac:dyDescent="0.3">
      <c r="A2060" s="6">
        <v>26</v>
      </c>
      <c r="B2060" t="s">
        <v>599</v>
      </c>
      <c r="C2060" s="9" t="s">
        <v>932</v>
      </c>
      <c r="D2060" s="9">
        <v>15</v>
      </c>
      <c r="E2060" s="9" t="s">
        <v>1804</v>
      </c>
      <c r="F2060" t="s">
        <v>515</v>
      </c>
      <c r="G2060" t="s">
        <v>238</v>
      </c>
      <c r="H2060" t="s">
        <v>1064</v>
      </c>
    </row>
    <row r="2061" spans="1:8" outlineLevel="2" x14ac:dyDescent="0.3">
      <c r="A2061" s="6">
        <v>26</v>
      </c>
      <c r="B2061" t="s">
        <v>599</v>
      </c>
      <c r="C2061" s="9" t="s">
        <v>1807</v>
      </c>
      <c r="D2061" s="9">
        <v>1200</v>
      </c>
      <c r="E2061" s="9" t="s">
        <v>1808</v>
      </c>
      <c r="F2061" t="s">
        <v>240</v>
      </c>
      <c r="G2061" t="s">
        <v>241</v>
      </c>
      <c r="H2061" t="s">
        <v>1427</v>
      </c>
    </row>
    <row r="2062" spans="1:8" outlineLevel="2" x14ac:dyDescent="0.3">
      <c r="A2062" s="6">
        <v>26</v>
      </c>
      <c r="B2062" t="s">
        <v>599</v>
      </c>
      <c r="C2062" s="9" t="s">
        <v>932</v>
      </c>
      <c r="D2062" s="9">
        <v>30</v>
      </c>
      <c r="E2062" s="9" t="s">
        <v>1804</v>
      </c>
      <c r="F2062" t="s">
        <v>247</v>
      </c>
      <c r="G2062" t="s">
        <v>51</v>
      </c>
      <c r="H2062" t="s">
        <v>1599</v>
      </c>
    </row>
    <row r="2063" spans="1:8" outlineLevel="2" x14ac:dyDescent="0.3">
      <c r="A2063" s="6">
        <v>26</v>
      </c>
      <c r="B2063" t="s">
        <v>599</v>
      </c>
      <c r="C2063" s="9" t="s">
        <v>1807</v>
      </c>
      <c r="D2063" s="9">
        <v>600</v>
      </c>
      <c r="E2063" s="9" t="s">
        <v>1808</v>
      </c>
      <c r="F2063" t="s">
        <v>602</v>
      </c>
      <c r="G2063" t="s">
        <v>57</v>
      </c>
      <c r="H2063" t="s">
        <v>1624</v>
      </c>
    </row>
    <row r="2064" spans="1:8" outlineLevel="2" x14ac:dyDescent="0.3">
      <c r="A2064" s="6">
        <v>26</v>
      </c>
      <c r="B2064" t="s">
        <v>599</v>
      </c>
      <c r="C2064" s="9" t="s">
        <v>1807</v>
      </c>
      <c r="D2064" s="9">
        <v>750</v>
      </c>
      <c r="E2064" s="9" t="s">
        <v>1808</v>
      </c>
      <c r="F2064" t="s">
        <v>248</v>
      </c>
      <c r="G2064" t="s">
        <v>249</v>
      </c>
      <c r="H2064" t="s">
        <v>979</v>
      </c>
    </row>
    <row r="2065" spans="1:8" outlineLevel="2" x14ac:dyDescent="0.3">
      <c r="A2065" s="6">
        <v>26</v>
      </c>
      <c r="B2065" t="s">
        <v>599</v>
      </c>
      <c r="C2065" s="9" t="s">
        <v>1807</v>
      </c>
      <c r="D2065" s="9">
        <v>1500</v>
      </c>
      <c r="E2065" s="9" t="s">
        <v>1808</v>
      </c>
      <c r="F2065" t="s">
        <v>603</v>
      </c>
      <c r="G2065" t="s">
        <v>604</v>
      </c>
      <c r="H2065" t="s">
        <v>1208</v>
      </c>
    </row>
    <row r="2066" spans="1:8" outlineLevel="2" x14ac:dyDescent="0.3">
      <c r="A2066" s="6">
        <v>26</v>
      </c>
      <c r="B2066" t="s">
        <v>599</v>
      </c>
      <c r="C2066" s="9" t="s">
        <v>1807</v>
      </c>
      <c r="D2066" s="9">
        <v>1400</v>
      </c>
      <c r="E2066" s="9" t="s">
        <v>1808</v>
      </c>
      <c r="F2066" t="s">
        <v>446</v>
      </c>
      <c r="G2066" t="s">
        <v>447</v>
      </c>
      <c r="H2066" t="s">
        <v>1719</v>
      </c>
    </row>
    <row r="2067" spans="1:8" outlineLevel="2" x14ac:dyDescent="0.3">
      <c r="A2067" s="6">
        <v>26</v>
      </c>
      <c r="B2067" t="s">
        <v>599</v>
      </c>
      <c r="C2067" s="9" t="s">
        <v>1807</v>
      </c>
      <c r="D2067" s="9">
        <v>1800</v>
      </c>
      <c r="E2067" s="9" t="s">
        <v>1808</v>
      </c>
      <c r="F2067" t="s">
        <v>449</v>
      </c>
      <c r="G2067" t="s">
        <v>450</v>
      </c>
      <c r="H2067" t="s">
        <v>1711</v>
      </c>
    </row>
    <row r="2068" spans="1:8" outlineLevel="2" x14ac:dyDescent="0.3">
      <c r="A2068" s="6">
        <v>26</v>
      </c>
      <c r="B2068" t="s">
        <v>599</v>
      </c>
      <c r="C2068" s="9" t="s">
        <v>932</v>
      </c>
      <c r="D2068" s="9">
        <v>18</v>
      </c>
      <c r="E2068" s="9" t="s">
        <v>1804</v>
      </c>
      <c r="F2068" t="s">
        <v>65</v>
      </c>
      <c r="G2068" t="s">
        <v>66</v>
      </c>
      <c r="H2068" t="s">
        <v>1791</v>
      </c>
    </row>
    <row r="2069" spans="1:8" outlineLevel="2" x14ac:dyDescent="0.3">
      <c r="A2069" s="6">
        <v>26</v>
      </c>
      <c r="B2069" t="s">
        <v>599</v>
      </c>
      <c r="C2069" s="9" t="s">
        <v>1807</v>
      </c>
      <c r="D2069" s="9">
        <v>420</v>
      </c>
      <c r="E2069" s="9" t="s">
        <v>1808</v>
      </c>
      <c r="F2069" t="s">
        <v>68</v>
      </c>
      <c r="G2069" t="s">
        <v>69</v>
      </c>
      <c r="H2069" t="s">
        <v>1551</v>
      </c>
    </row>
    <row r="2070" spans="1:8" outlineLevel="2" x14ac:dyDescent="0.3">
      <c r="A2070" s="6">
        <v>26</v>
      </c>
      <c r="B2070" t="s">
        <v>599</v>
      </c>
      <c r="C2070" s="9" t="s">
        <v>1807</v>
      </c>
      <c r="D2070" s="9">
        <v>770</v>
      </c>
      <c r="E2070" s="9" t="s">
        <v>1808</v>
      </c>
      <c r="F2070" t="s">
        <v>71</v>
      </c>
      <c r="G2070" t="s">
        <v>72</v>
      </c>
      <c r="H2070" t="s">
        <v>1565</v>
      </c>
    </row>
    <row r="2071" spans="1:8" outlineLevel="2" x14ac:dyDescent="0.3">
      <c r="A2071" s="6">
        <v>26</v>
      </c>
      <c r="B2071" t="s">
        <v>599</v>
      </c>
      <c r="C2071" s="9" t="s">
        <v>1807</v>
      </c>
      <c r="D2071" s="9">
        <v>518</v>
      </c>
      <c r="E2071" s="9" t="s">
        <v>1808</v>
      </c>
      <c r="F2071" t="s">
        <v>74</v>
      </c>
      <c r="G2071" t="s">
        <v>72</v>
      </c>
      <c r="H2071" t="s">
        <v>1566</v>
      </c>
    </row>
    <row r="2072" spans="1:8" outlineLevel="2" x14ac:dyDescent="0.3">
      <c r="A2072" s="6">
        <v>26</v>
      </c>
      <c r="B2072" t="s">
        <v>599</v>
      </c>
      <c r="C2072" s="9" t="s">
        <v>1807</v>
      </c>
      <c r="D2072" s="9">
        <v>398</v>
      </c>
      <c r="E2072" s="9" t="s">
        <v>1808</v>
      </c>
      <c r="F2072" t="s">
        <v>318</v>
      </c>
      <c r="G2072" t="s">
        <v>76</v>
      </c>
      <c r="H2072" t="s">
        <v>1578</v>
      </c>
    </row>
    <row r="2073" spans="1:8" outlineLevel="2" x14ac:dyDescent="0.3">
      <c r="A2073" s="6">
        <v>26</v>
      </c>
      <c r="B2073" t="s">
        <v>599</v>
      </c>
      <c r="C2073" s="9" t="s">
        <v>1807</v>
      </c>
      <c r="D2073" s="9">
        <v>232</v>
      </c>
      <c r="E2073" s="9" t="s">
        <v>1808</v>
      </c>
      <c r="F2073" t="s">
        <v>606</v>
      </c>
      <c r="G2073" t="s">
        <v>607</v>
      </c>
      <c r="H2073" t="s">
        <v>1580</v>
      </c>
    </row>
    <row r="2074" spans="1:8" outlineLevel="2" x14ac:dyDescent="0.3">
      <c r="A2074" s="6">
        <v>26</v>
      </c>
      <c r="B2074" t="s">
        <v>599</v>
      </c>
      <c r="C2074" s="9" t="s">
        <v>963</v>
      </c>
      <c r="D2074" s="9">
        <v>60</v>
      </c>
      <c r="E2074" s="9" t="s">
        <v>1804</v>
      </c>
      <c r="F2074" t="s">
        <v>579</v>
      </c>
      <c r="G2074" t="s">
        <v>531</v>
      </c>
      <c r="H2074" t="s">
        <v>967</v>
      </c>
    </row>
    <row r="2075" spans="1:8" outlineLevel="2" x14ac:dyDescent="0.3">
      <c r="A2075" s="6">
        <v>26</v>
      </c>
      <c r="B2075" t="s">
        <v>599</v>
      </c>
      <c r="C2075" s="9" t="s">
        <v>963</v>
      </c>
      <c r="D2075" s="9">
        <v>60</v>
      </c>
      <c r="E2075" s="9" t="s">
        <v>1804</v>
      </c>
      <c r="F2075" t="s">
        <v>609</v>
      </c>
      <c r="G2075" t="s">
        <v>610</v>
      </c>
      <c r="H2075" t="s">
        <v>970</v>
      </c>
    </row>
    <row r="2076" spans="1:8" outlineLevel="2" x14ac:dyDescent="0.3">
      <c r="A2076" s="6">
        <v>26</v>
      </c>
      <c r="B2076" t="s">
        <v>599</v>
      </c>
      <c r="C2076" s="9" t="s">
        <v>963</v>
      </c>
      <c r="D2076" s="9">
        <v>88</v>
      </c>
      <c r="E2076" s="9" t="s">
        <v>1804</v>
      </c>
      <c r="F2076" t="s">
        <v>84</v>
      </c>
      <c r="G2076" t="s">
        <v>85</v>
      </c>
      <c r="H2076" t="s">
        <v>1342</v>
      </c>
    </row>
    <row r="2077" spans="1:8" outlineLevel="2" x14ac:dyDescent="0.3">
      <c r="A2077" s="6">
        <v>26</v>
      </c>
      <c r="B2077" t="s">
        <v>599</v>
      </c>
      <c r="C2077" s="9" t="s">
        <v>963</v>
      </c>
      <c r="D2077" s="9">
        <v>60</v>
      </c>
      <c r="E2077" s="9" t="s">
        <v>1804</v>
      </c>
      <c r="F2077" t="s">
        <v>612</v>
      </c>
      <c r="G2077" t="s">
        <v>613</v>
      </c>
      <c r="H2077" t="s">
        <v>1343</v>
      </c>
    </row>
    <row r="2078" spans="1:8" outlineLevel="2" x14ac:dyDescent="0.3">
      <c r="A2078" s="6">
        <v>26</v>
      </c>
      <c r="B2078" t="s">
        <v>599</v>
      </c>
      <c r="C2078" s="9" t="s">
        <v>963</v>
      </c>
      <c r="D2078" s="9">
        <v>73</v>
      </c>
      <c r="E2078" s="9" t="s">
        <v>1804</v>
      </c>
      <c r="F2078" t="s">
        <v>90</v>
      </c>
      <c r="G2078" t="s">
        <v>15</v>
      </c>
      <c r="H2078" t="s">
        <v>1351</v>
      </c>
    </row>
    <row r="2079" spans="1:8" outlineLevel="2" x14ac:dyDescent="0.3">
      <c r="A2079" s="6">
        <v>26</v>
      </c>
      <c r="B2079" t="s">
        <v>599</v>
      </c>
      <c r="C2079" s="9" t="s">
        <v>963</v>
      </c>
      <c r="D2079" s="9">
        <v>77</v>
      </c>
      <c r="E2079" s="9" t="s">
        <v>1804</v>
      </c>
      <c r="F2079" t="s">
        <v>91</v>
      </c>
      <c r="G2079" t="s">
        <v>92</v>
      </c>
      <c r="H2079" t="s">
        <v>1353</v>
      </c>
    </row>
    <row r="2080" spans="1:8" outlineLevel="2" x14ac:dyDescent="0.3">
      <c r="A2080" s="6">
        <v>26</v>
      </c>
      <c r="B2080" t="s">
        <v>599</v>
      </c>
      <c r="C2080" s="9" t="s">
        <v>963</v>
      </c>
      <c r="D2080" s="9">
        <v>72</v>
      </c>
      <c r="E2080" s="9" t="s">
        <v>1804</v>
      </c>
      <c r="F2080" t="s">
        <v>101</v>
      </c>
      <c r="G2080" t="s">
        <v>102</v>
      </c>
      <c r="H2080" t="s">
        <v>1365</v>
      </c>
    </row>
    <row r="2081" spans="1:8" outlineLevel="2" x14ac:dyDescent="0.3">
      <c r="A2081" s="6">
        <v>26</v>
      </c>
      <c r="B2081" t="s">
        <v>599</v>
      </c>
      <c r="C2081" s="9" t="s">
        <v>963</v>
      </c>
      <c r="D2081" s="9">
        <v>60</v>
      </c>
      <c r="E2081" s="9" t="s">
        <v>1804</v>
      </c>
      <c r="F2081" t="s">
        <v>170</v>
      </c>
      <c r="G2081" t="s">
        <v>171</v>
      </c>
      <c r="H2081" t="s">
        <v>1535</v>
      </c>
    </row>
    <row r="2082" spans="1:8" outlineLevel="2" x14ac:dyDescent="0.3">
      <c r="A2082" s="6">
        <v>26</v>
      </c>
      <c r="B2082" t="s">
        <v>599</v>
      </c>
      <c r="C2082" s="9" t="s">
        <v>963</v>
      </c>
      <c r="D2082" s="9">
        <v>60</v>
      </c>
      <c r="E2082" s="9" t="s">
        <v>1804</v>
      </c>
      <c r="F2082" t="s">
        <v>106</v>
      </c>
      <c r="G2082" t="s">
        <v>32</v>
      </c>
      <c r="H2082" t="s">
        <v>1537</v>
      </c>
    </row>
    <row r="2083" spans="1:8" outlineLevel="2" x14ac:dyDescent="0.3">
      <c r="A2083" s="6">
        <v>26</v>
      </c>
      <c r="B2083" t="s">
        <v>599</v>
      </c>
      <c r="C2083" s="9" t="s">
        <v>963</v>
      </c>
      <c r="D2083" s="9">
        <v>60</v>
      </c>
      <c r="E2083" s="9" t="s">
        <v>1804</v>
      </c>
      <c r="F2083" t="s">
        <v>107</v>
      </c>
      <c r="G2083" t="s">
        <v>108</v>
      </c>
      <c r="H2083" t="s">
        <v>1140</v>
      </c>
    </row>
    <row r="2084" spans="1:8" outlineLevel="2" x14ac:dyDescent="0.3">
      <c r="A2084" s="6">
        <v>26</v>
      </c>
      <c r="B2084" t="s">
        <v>599</v>
      </c>
      <c r="C2084" s="9" t="s">
        <v>963</v>
      </c>
      <c r="D2084" s="9">
        <v>60</v>
      </c>
      <c r="E2084" s="9" t="s">
        <v>1804</v>
      </c>
      <c r="F2084" t="s">
        <v>351</v>
      </c>
      <c r="G2084" t="s">
        <v>38</v>
      </c>
      <c r="H2084" t="s">
        <v>1142</v>
      </c>
    </row>
    <row r="2085" spans="1:8" outlineLevel="2" x14ac:dyDescent="0.3">
      <c r="A2085" s="6">
        <v>26</v>
      </c>
      <c r="B2085" t="s">
        <v>599</v>
      </c>
      <c r="C2085" s="9" t="s">
        <v>963</v>
      </c>
      <c r="D2085" s="9">
        <v>60</v>
      </c>
      <c r="E2085" s="9" t="s">
        <v>1804</v>
      </c>
      <c r="F2085" t="s">
        <v>110</v>
      </c>
      <c r="G2085" t="s">
        <v>41</v>
      </c>
      <c r="H2085" t="s">
        <v>1144</v>
      </c>
    </row>
    <row r="2086" spans="1:8" outlineLevel="2" x14ac:dyDescent="0.3">
      <c r="A2086" s="6">
        <v>26</v>
      </c>
      <c r="B2086" t="s">
        <v>599</v>
      </c>
      <c r="C2086" s="9" t="s">
        <v>963</v>
      </c>
      <c r="D2086" s="9">
        <v>60</v>
      </c>
      <c r="E2086" s="9" t="s">
        <v>1804</v>
      </c>
      <c r="F2086" t="s">
        <v>120</v>
      </c>
      <c r="G2086" t="s">
        <v>51</v>
      </c>
      <c r="H2086" t="s">
        <v>1590</v>
      </c>
    </row>
    <row r="2087" spans="1:8" outlineLevel="2" x14ac:dyDescent="0.3">
      <c r="A2087" s="6">
        <v>26</v>
      </c>
      <c r="B2087" t="s">
        <v>599</v>
      </c>
      <c r="C2087" s="9" t="s">
        <v>963</v>
      </c>
      <c r="D2087" s="9">
        <v>60</v>
      </c>
      <c r="E2087" s="9" t="s">
        <v>1804</v>
      </c>
      <c r="F2087" t="s">
        <v>615</v>
      </c>
      <c r="G2087" t="s">
        <v>616</v>
      </c>
      <c r="H2087" t="s">
        <v>1683</v>
      </c>
    </row>
    <row r="2088" spans="1:8" outlineLevel="2" x14ac:dyDescent="0.3">
      <c r="A2088" s="6">
        <v>26</v>
      </c>
      <c r="B2088" t="s">
        <v>599</v>
      </c>
      <c r="C2088" s="9" t="s">
        <v>963</v>
      </c>
      <c r="D2088" s="9">
        <v>68</v>
      </c>
      <c r="E2088" s="9" t="s">
        <v>1804</v>
      </c>
      <c r="F2088" t="s">
        <v>472</v>
      </c>
      <c r="G2088" t="s">
        <v>473</v>
      </c>
      <c r="H2088" t="s">
        <v>1686</v>
      </c>
    </row>
    <row r="2089" spans="1:8" outlineLevel="2" x14ac:dyDescent="0.3">
      <c r="A2089" s="6">
        <v>26</v>
      </c>
      <c r="B2089" t="s">
        <v>599</v>
      </c>
      <c r="C2089" s="9" t="s">
        <v>963</v>
      </c>
      <c r="D2089" s="9">
        <v>60</v>
      </c>
      <c r="E2089" s="9" t="s">
        <v>1804</v>
      </c>
      <c r="F2089" t="s">
        <v>371</v>
      </c>
      <c r="G2089" t="s">
        <v>66</v>
      </c>
      <c r="H2089" t="s">
        <v>1799</v>
      </c>
    </row>
    <row r="2090" spans="1:8" outlineLevel="2" x14ac:dyDescent="0.3">
      <c r="A2090" s="6">
        <v>26</v>
      </c>
      <c r="B2090" t="s">
        <v>599</v>
      </c>
      <c r="C2090" s="9" t="s">
        <v>963</v>
      </c>
      <c r="D2090" s="9">
        <v>60</v>
      </c>
      <c r="E2090" s="9" t="s">
        <v>1804</v>
      </c>
      <c r="F2090" t="s">
        <v>128</v>
      </c>
      <c r="G2090" t="s">
        <v>129</v>
      </c>
      <c r="H2090" t="s">
        <v>1582</v>
      </c>
    </row>
    <row r="2091" spans="1:8" outlineLevel="2" x14ac:dyDescent="0.3">
      <c r="A2091" s="6">
        <v>26</v>
      </c>
      <c r="B2091" t="s">
        <v>599</v>
      </c>
      <c r="C2091" s="9" t="s">
        <v>963</v>
      </c>
      <c r="D2091" s="9">
        <v>60</v>
      </c>
      <c r="E2091" s="9" t="s">
        <v>1804</v>
      </c>
      <c r="F2091" t="s">
        <v>375</v>
      </c>
      <c r="G2091" t="s">
        <v>376</v>
      </c>
      <c r="H2091" t="s">
        <v>1586</v>
      </c>
    </row>
    <row r="2092" spans="1:8" outlineLevel="1" x14ac:dyDescent="0.3">
      <c r="A2092" s="16" t="s">
        <v>2212</v>
      </c>
      <c r="H2092">
        <f>SUBTOTAL(3,H2041:H2091)</f>
        <v>51</v>
      </c>
    </row>
    <row r="2093" spans="1:8" outlineLevel="2" x14ac:dyDescent="0.3">
      <c r="A2093" s="6">
        <v>27</v>
      </c>
      <c r="B2093" t="s">
        <v>587</v>
      </c>
      <c r="C2093" s="9" t="s">
        <v>1266</v>
      </c>
      <c r="D2093" s="9">
        <v>50</v>
      </c>
      <c r="E2093" s="9" t="s">
        <v>1804</v>
      </c>
      <c r="F2093" t="s">
        <v>8</v>
      </c>
      <c r="G2093" t="s">
        <v>526</v>
      </c>
      <c r="H2093" t="s">
        <v>1805</v>
      </c>
    </row>
    <row r="2094" spans="1:8" outlineLevel="2" x14ac:dyDescent="0.3">
      <c r="A2094" s="6">
        <v>27</v>
      </c>
      <c r="B2094" t="s">
        <v>587</v>
      </c>
      <c r="C2094" s="9" t="s">
        <v>932</v>
      </c>
      <c r="D2094" s="9">
        <v>24</v>
      </c>
      <c r="E2094" s="9" t="s">
        <v>1804</v>
      </c>
      <c r="F2094" t="s">
        <v>195</v>
      </c>
      <c r="G2094" t="s">
        <v>196</v>
      </c>
      <c r="H2094" t="s">
        <v>1263</v>
      </c>
    </row>
    <row r="2095" spans="1:8" outlineLevel="2" x14ac:dyDescent="0.3">
      <c r="A2095" s="6">
        <v>27</v>
      </c>
      <c r="B2095" t="s">
        <v>587</v>
      </c>
      <c r="C2095" s="9" t="s">
        <v>1266</v>
      </c>
      <c r="D2095" s="9">
        <v>40</v>
      </c>
      <c r="E2095" s="9" t="s">
        <v>1804</v>
      </c>
      <c r="F2095" t="s">
        <v>11</v>
      </c>
      <c r="G2095" t="s">
        <v>12</v>
      </c>
      <c r="H2095" t="s">
        <v>1277</v>
      </c>
    </row>
    <row r="2096" spans="1:8" outlineLevel="2" x14ac:dyDescent="0.3">
      <c r="A2096" s="6">
        <v>27</v>
      </c>
      <c r="B2096" t="s">
        <v>587</v>
      </c>
      <c r="C2096" s="9" t="s">
        <v>1807</v>
      </c>
      <c r="D2096" s="9">
        <v>1050</v>
      </c>
      <c r="E2096" s="9" t="s">
        <v>1808</v>
      </c>
      <c r="F2096" t="s">
        <v>203</v>
      </c>
      <c r="G2096" t="s">
        <v>12</v>
      </c>
      <c r="H2096" t="s">
        <v>1821</v>
      </c>
    </row>
    <row r="2097" spans="1:8" outlineLevel="2" x14ac:dyDescent="0.3">
      <c r="A2097" s="6">
        <v>27</v>
      </c>
      <c r="B2097" t="s">
        <v>587</v>
      </c>
      <c r="C2097" s="9" t="s">
        <v>932</v>
      </c>
      <c r="D2097" s="9">
        <v>42</v>
      </c>
      <c r="E2097" s="9" t="s">
        <v>1804</v>
      </c>
      <c r="F2097" t="s">
        <v>14</v>
      </c>
      <c r="G2097" t="s">
        <v>15</v>
      </c>
      <c r="H2097" t="s">
        <v>1290</v>
      </c>
    </row>
    <row r="2098" spans="1:8" outlineLevel="2" x14ac:dyDescent="0.3">
      <c r="A2098" s="6">
        <v>27</v>
      </c>
      <c r="B2098" t="s">
        <v>587</v>
      </c>
      <c r="C2098" s="9" t="s">
        <v>1266</v>
      </c>
      <c r="D2098" s="9">
        <v>12</v>
      </c>
      <c r="E2098" s="9" t="s">
        <v>1804</v>
      </c>
      <c r="F2098" t="s">
        <v>17</v>
      </c>
      <c r="G2098" t="s">
        <v>15</v>
      </c>
      <c r="H2098" t="s">
        <v>1291</v>
      </c>
    </row>
    <row r="2099" spans="1:8" outlineLevel="2" x14ac:dyDescent="0.3">
      <c r="A2099" s="6">
        <v>27</v>
      </c>
      <c r="B2099" t="s">
        <v>587</v>
      </c>
      <c r="C2099" s="9" t="s">
        <v>932</v>
      </c>
      <c r="D2099" s="9">
        <v>49</v>
      </c>
      <c r="E2099" s="9" t="s">
        <v>1804</v>
      </c>
      <c r="F2099" t="s">
        <v>18</v>
      </c>
      <c r="G2099" t="s">
        <v>19</v>
      </c>
      <c r="H2099" t="s">
        <v>1300</v>
      </c>
    </row>
    <row r="2100" spans="1:8" outlineLevel="2" x14ac:dyDescent="0.3">
      <c r="A2100" s="6">
        <v>27</v>
      </c>
      <c r="B2100" t="s">
        <v>587</v>
      </c>
      <c r="C2100" s="9" t="s">
        <v>1807</v>
      </c>
      <c r="D2100" s="9">
        <v>120</v>
      </c>
      <c r="E2100" s="9" t="s">
        <v>1808</v>
      </c>
      <c r="F2100" t="s">
        <v>25</v>
      </c>
      <c r="G2100" t="s">
        <v>26</v>
      </c>
      <c r="H2100" t="s">
        <v>1333</v>
      </c>
    </row>
    <row r="2101" spans="1:8" outlineLevel="2" x14ac:dyDescent="0.3">
      <c r="A2101" s="6">
        <v>27</v>
      </c>
      <c r="B2101" t="s">
        <v>587</v>
      </c>
      <c r="C2101" s="9" t="s">
        <v>932</v>
      </c>
      <c r="D2101" s="9">
        <v>36</v>
      </c>
      <c r="E2101" s="9" t="s">
        <v>1804</v>
      </c>
      <c r="F2101" t="s">
        <v>28</v>
      </c>
      <c r="G2101" t="s">
        <v>29</v>
      </c>
      <c r="H2101" t="s">
        <v>1180</v>
      </c>
    </row>
    <row r="2102" spans="1:8" outlineLevel="2" x14ac:dyDescent="0.3">
      <c r="A2102" s="6">
        <v>27</v>
      </c>
      <c r="B2102" t="s">
        <v>587</v>
      </c>
      <c r="C2102" s="9" t="s">
        <v>932</v>
      </c>
      <c r="D2102" s="9">
        <v>12</v>
      </c>
      <c r="E2102" s="9" t="s">
        <v>1804</v>
      </c>
      <c r="F2102" t="s">
        <v>588</v>
      </c>
      <c r="G2102" t="s">
        <v>29</v>
      </c>
      <c r="H2102" t="s">
        <v>1183</v>
      </c>
    </row>
    <row r="2103" spans="1:8" outlineLevel="2" x14ac:dyDescent="0.3">
      <c r="A2103" s="6">
        <v>27</v>
      </c>
      <c r="B2103" t="s">
        <v>587</v>
      </c>
      <c r="C2103" s="9" t="s">
        <v>932</v>
      </c>
      <c r="D2103" s="9">
        <v>12</v>
      </c>
      <c r="E2103" s="9" t="s">
        <v>1804</v>
      </c>
      <c r="F2103" t="s">
        <v>589</v>
      </c>
      <c r="G2103" t="s">
        <v>29</v>
      </c>
      <c r="H2103" t="s">
        <v>1184</v>
      </c>
    </row>
    <row r="2104" spans="1:8" outlineLevel="2" x14ac:dyDescent="0.3">
      <c r="A2104" s="6">
        <v>27</v>
      </c>
      <c r="B2104" t="s">
        <v>587</v>
      </c>
      <c r="C2104" s="9" t="s">
        <v>932</v>
      </c>
      <c r="D2104" s="9">
        <v>18</v>
      </c>
      <c r="E2104" s="9" t="s">
        <v>1804</v>
      </c>
      <c r="F2104" t="s">
        <v>389</v>
      </c>
      <c r="G2104" t="s">
        <v>171</v>
      </c>
      <c r="H2104" t="s">
        <v>1447</v>
      </c>
    </row>
    <row r="2105" spans="1:8" outlineLevel="2" x14ac:dyDescent="0.3">
      <c r="A2105" s="6">
        <v>27</v>
      </c>
      <c r="B2105" t="s">
        <v>587</v>
      </c>
      <c r="C2105" s="9" t="s">
        <v>932</v>
      </c>
      <c r="D2105" s="9">
        <v>33</v>
      </c>
      <c r="E2105" s="9" t="s">
        <v>1804</v>
      </c>
      <c r="F2105" t="s">
        <v>390</v>
      </c>
      <c r="G2105" t="s">
        <v>391</v>
      </c>
      <c r="H2105" t="s">
        <v>1449</v>
      </c>
    </row>
    <row r="2106" spans="1:8" outlineLevel="2" x14ac:dyDescent="0.3">
      <c r="A2106" s="6">
        <v>27</v>
      </c>
      <c r="B2106" t="s">
        <v>587</v>
      </c>
      <c r="C2106" s="9" t="s">
        <v>932</v>
      </c>
      <c r="D2106" s="9">
        <v>35</v>
      </c>
      <c r="E2106" s="9" t="s">
        <v>1804</v>
      </c>
      <c r="F2106" t="s">
        <v>421</v>
      </c>
      <c r="G2106" t="s">
        <v>115</v>
      </c>
      <c r="H2106" t="s">
        <v>1464</v>
      </c>
    </row>
    <row r="2107" spans="1:8" outlineLevel="2" x14ac:dyDescent="0.3">
      <c r="A2107" s="6">
        <v>27</v>
      </c>
      <c r="B2107" t="s">
        <v>587</v>
      </c>
      <c r="C2107" s="9" t="s">
        <v>932</v>
      </c>
      <c r="D2107" s="9">
        <v>32</v>
      </c>
      <c r="E2107" s="9" t="s">
        <v>1804</v>
      </c>
      <c r="F2107" t="s">
        <v>219</v>
      </c>
      <c r="G2107" t="s">
        <v>32</v>
      </c>
      <c r="H2107" t="s">
        <v>1484</v>
      </c>
    </row>
    <row r="2108" spans="1:8" outlineLevel="2" x14ac:dyDescent="0.3">
      <c r="A2108" s="6">
        <v>27</v>
      </c>
      <c r="B2108" t="s">
        <v>587</v>
      </c>
      <c r="C2108" s="9" t="s">
        <v>932</v>
      </c>
      <c r="D2108" s="9">
        <v>21</v>
      </c>
      <c r="E2108" s="9" t="s">
        <v>1804</v>
      </c>
      <c r="F2108" t="s">
        <v>34</v>
      </c>
      <c r="G2108" t="s">
        <v>32</v>
      </c>
      <c r="H2108" t="s">
        <v>1485</v>
      </c>
    </row>
    <row r="2109" spans="1:8" outlineLevel="2" x14ac:dyDescent="0.3">
      <c r="A2109" s="6">
        <v>27</v>
      </c>
      <c r="B2109" t="s">
        <v>587</v>
      </c>
      <c r="C2109" s="9" t="s">
        <v>932</v>
      </c>
      <c r="D2109" s="9">
        <v>24</v>
      </c>
      <c r="E2109" s="9" t="s">
        <v>1804</v>
      </c>
      <c r="F2109" t="s">
        <v>542</v>
      </c>
      <c r="G2109" t="s">
        <v>32</v>
      </c>
      <c r="H2109" t="s">
        <v>1487</v>
      </c>
    </row>
    <row r="2110" spans="1:8" outlineLevel="2" x14ac:dyDescent="0.3">
      <c r="A2110" s="6">
        <v>27</v>
      </c>
      <c r="B2110" t="s">
        <v>587</v>
      </c>
      <c r="C2110" s="9" t="s">
        <v>932</v>
      </c>
      <c r="D2110" s="9">
        <v>30</v>
      </c>
      <c r="E2110" s="9" t="s">
        <v>1804</v>
      </c>
      <c r="F2110" t="s">
        <v>35</v>
      </c>
      <c r="G2110" t="s">
        <v>32</v>
      </c>
      <c r="H2110" t="s">
        <v>1489</v>
      </c>
    </row>
    <row r="2111" spans="1:8" outlineLevel="2" x14ac:dyDescent="0.3">
      <c r="A2111" s="6">
        <v>27</v>
      </c>
      <c r="B2111" t="s">
        <v>587</v>
      </c>
      <c r="C2111" s="9" t="s">
        <v>932</v>
      </c>
      <c r="D2111" s="9">
        <v>21</v>
      </c>
      <c r="E2111" s="9" t="s">
        <v>1804</v>
      </c>
      <c r="F2111" t="s">
        <v>36</v>
      </c>
      <c r="G2111" t="s">
        <v>32</v>
      </c>
      <c r="H2111" t="s">
        <v>1492</v>
      </c>
    </row>
    <row r="2112" spans="1:8" outlineLevel="2" x14ac:dyDescent="0.3">
      <c r="A2112" s="6">
        <v>27</v>
      </c>
      <c r="B2112" t="s">
        <v>587</v>
      </c>
      <c r="C2112" s="9" t="s">
        <v>1807</v>
      </c>
      <c r="D2112" s="9">
        <v>750</v>
      </c>
      <c r="E2112" s="9" t="s">
        <v>1808</v>
      </c>
      <c r="F2112" t="s">
        <v>590</v>
      </c>
      <c r="G2112" t="s">
        <v>504</v>
      </c>
      <c r="H2112" t="s">
        <v>1498</v>
      </c>
    </row>
    <row r="2113" spans="1:8" outlineLevel="2" x14ac:dyDescent="0.3">
      <c r="A2113" s="6">
        <v>27</v>
      </c>
      <c r="B2113" t="s">
        <v>587</v>
      </c>
      <c r="C2113" s="9" t="s">
        <v>932</v>
      </c>
      <c r="D2113" s="9">
        <v>12</v>
      </c>
      <c r="E2113" s="9" t="s">
        <v>1804</v>
      </c>
      <c r="F2113" t="s">
        <v>153</v>
      </c>
      <c r="G2113" t="s">
        <v>108</v>
      </c>
      <c r="H2113" t="s">
        <v>1150</v>
      </c>
    </row>
    <row r="2114" spans="1:8" outlineLevel="2" x14ac:dyDescent="0.3">
      <c r="A2114" s="6">
        <v>27</v>
      </c>
      <c r="B2114" t="s">
        <v>587</v>
      </c>
      <c r="C2114" s="9" t="s">
        <v>932</v>
      </c>
      <c r="D2114" s="9">
        <v>27</v>
      </c>
      <c r="E2114" s="9" t="s">
        <v>1804</v>
      </c>
      <c r="F2114" t="s">
        <v>37</v>
      </c>
      <c r="G2114" t="s">
        <v>38</v>
      </c>
      <c r="H2114" t="s">
        <v>1164</v>
      </c>
    </row>
    <row r="2115" spans="1:8" outlineLevel="2" x14ac:dyDescent="0.3">
      <c r="A2115" s="6">
        <v>27</v>
      </c>
      <c r="B2115" t="s">
        <v>587</v>
      </c>
      <c r="C2115" s="9" t="s">
        <v>932</v>
      </c>
      <c r="D2115" s="9">
        <v>12</v>
      </c>
      <c r="E2115" s="9" t="s">
        <v>1804</v>
      </c>
      <c r="F2115" t="s">
        <v>226</v>
      </c>
      <c r="G2115" t="s">
        <v>38</v>
      </c>
      <c r="H2115" t="s">
        <v>1165</v>
      </c>
    </row>
    <row r="2116" spans="1:8" outlineLevel="2" x14ac:dyDescent="0.3">
      <c r="A2116" s="6">
        <v>27</v>
      </c>
      <c r="B2116" t="s">
        <v>587</v>
      </c>
      <c r="C2116" s="9" t="s">
        <v>932</v>
      </c>
      <c r="D2116" s="9">
        <v>18</v>
      </c>
      <c r="E2116" s="9" t="s">
        <v>1804</v>
      </c>
      <c r="F2116" t="s">
        <v>227</v>
      </c>
      <c r="G2116" t="s">
        <v>41</v>
      </c>
      <c r="H2116" t="s">
        <v>1167</v>
      </c>
    </row>
    <row r="2117" spans="1:8" outlineLevel="2" x14ac:dyDescent="0.3">
      <c r="A2117" s="6">
        <v>27</v>
      </c>
      <c r="B2117" t="s">
        <v>587</v>
      </c>
      <c r="C2117" s="9" t="s">
        <v>932</v>
      </c>
      <c r="D2117" s="9">
        <v>12</v>
      </c>
      <c r="E2117" s="9" t="s">
        <v>1804</v>
      </c>
      <c r="F2117" t="s">
        <v>228</v>
      </c>
      <c r="G2117" t="s">
        <v>41</v>
      </c>
      <c r="H2117" t="s">
        <v>1168</v>
      </c>
    </row>
    <row r="2118" spans="1:8" outlineLevel="2" x14ac:dyDescent="0.3">
      <c r="A2118" s="6">
        <v>27</v>
      </c>
      <c r="B2118" t="s">
        <v>587</v>
      </c>
      <c r="C2118" s="9" t="s">
        <v>932</v>
      </c>
      <c r="D2118" s="9">
        <v>27</v>
      </c>
      <c r="E2118" s="9" t="s">
        <v>1804</v>
      </c>
      <c r="F2118" t="s">
        <v>40</v>
      </c>
      <c r="G2118" t="s">
        <v>41</v>
      </c>
      <c r="H2118" t="s">
        <v>1169</v>
      </c>
    </row>
    <row r="2119" spans="1:8" outlineLevel="2" x14ac:dyDescent="0.3">
      <c r="A2119" s="6">
        <v>27</v>
      </c>
      <c r="B2119" t="s">
        <v>587</v>
      </c>
      <c r="C2119" s="9" t="s">
        <v>932</v>
      </c>
      <c r="D2119" s="9">
        <v>18</v>
      </c>
      <c r="E2119" s="9" t="s">
        <v>1804</v>
      </c>
      <c r="F2119" t="s">
        <v>229</v>
      </c>
      <c r="G2119" t="s">
        <v>230</v>
      </c>
      <c r="H2119" t="s">
        <v>1170</v>
      </c>
    </row>
    <row r="2120" spans="1:8" outlineLevel="2" x14ac:dyDescent="0.3">
      <c r="A2120" s="6">
        <v>27</v>
      </c>
      <c r="B2120" t="s">
        <v>587</v>
      </c>
      <c r="C2120" s="9" t="s">
        <v>932</v>
      </c>
      <c r="D2120" s="9">
        <v>24</v>
      </c>
      <c r="E2120" s="9" t="s">
        <v>1804</v>
      </c>
      <c r="F2120" t="s">
        <v>232</v>
      </c>
      <c r="G2120" t="s">
        <v>144</v>
      </c>
      <c r="H2120" t="s">
        <v>1171</v>
      </c>
    </row>
    <row r="2121" spans="1:8" outlineLevel="2" x14ac:dyDescent="0.3">
      <c r="A2121" s="6">
        <v>27</v>
      </c>
      <c r="B2121" t="s">
        <v>587</v>
      </c>
      <c r="C2121" s="9" t="s">
        <v>932</v>
      </c>
      <c r="D2121" s="9">
        <v>12</v>
      </c>
      <c r="E2121" s="9" t="s">
        <v>1804</v>
      </c>
      <c r="F2121" t="s">
        <v>233</v>
      </c>
      <c r="G2121" t="s">
        <v>112</v>
      </c>
      <c r="H2121" t="s">
        <v>1146</v>
      </c>
    </row>
    <row r="2122" spans="1:8" outlineLevel="2" x14ac:dyDescent="0.3">
      <c r="A2122" s="6">
        <v>27</v>
      </c>
      <c r="B2122" t="s">
        <v>587</v>
      </c>
      <c r="C2122" s="9" t="s">
        <v>932</v>
      </c>
      <c r="D2122" s="9">
        <v>17</v>
      </c>
      <c r="E2122" s="9" t="s">
        <v>1804</v>
      </c>
      <c r="F2122" t="s">
        <v>591</v>
      </c>
      <c r="G2122" t="s">
        <v>235</v>
      </c>
      <c r="H2122" t="s">
        <v>1049</v>
      </c>
    </row>
    <row r="2123" spans="1:8" outlineLevel="2" x14ac:dyDescent="0.3">
      <c r="A2123" s="6">
        <v>27</v>
      </c>
      <c r="B2123" t="s">
        <v>587</v>
      </c>
      <c r="C2123" s="9" t="s">
        <v>932</v>
      </c>
      <c r="D2123" s="9">
        <v>15</v>
      </c>
      <c r="E2123" s="9" t="s">
        <v>1804</v>
      </c>
      <c r="F2123" t="s">
        <v>515</v>
      </c>
      <c r="G2123" t="s">
        <v>238</v>
      </c>
      <c r="H2123" t="s">
        <v>1064</v>
      </c>
    </row>
    <row r="2124" spans="1:8" outlineLevel="2" x14ac:dyDescent="0.3">
      <c r="A2124" s="6">
        <v>27</v>
      </c>
      <c r="B2124" t="s">
        <v>587</v>
      </c>
      <c r="C2124" s="9" t="s">
        <v>932</v>
      </c>
      <c r="D2124" s="9">
        <v>24</v>
      </c>
      <c r="E2124" s="9" t="s">
        <v>1804</v>
      </c>
      <c r="F2124" t="s">
        <v>237</v>
      </c>
      <c r="G2124" t="s">
        <v>238</v>
      </c>
      <c r="H2124" t="s">
        <v>1065</v>
      </c>
    </row>
    <row r="2125" spans="1:8" outlineLevel="2" x14ac:dyDescent="0.3">
      <c r="A2125" s="6">
        <v>27</v>
      </c>
      <c r="B2125" t="s">
        <v>587</v>
      </c>
      <c r="C2125" s="9" t="s">
        <v>932</v>
      </c>
      <c r="D2125" s="9">
        <v>18</v>
      </c>
      <c r="E2125" s="9" t="s">
        <v>1804</v>
      </c>
      <c r="F2125" t="s">
        <v>246</v>
      </c>
      <c r="G2125" t="s">
        <v>51</v>
      </c>
      <c r="H2125" t="s">
        <v>1596</v>
      </c>
    </row>
    <row r="2126" spans="1:8" outlineLevel="2" x14ac:dyDescent="0.3">
      <c r="A2126" s="6">
        <v>27</v>
      </c>
      <c r="B2126" t="s">
        <v>587</v>
      </c>
      <c r="C2126" s="9" t="s">
        <v>932</v>
      </c>
      <c r="D2126" s="9">
        <v>12</v>
      </c>
      <c r="E2126" s="9" t="s">
        <v>1804</v>
      </c>
      <c r="F2126" t="s">
        <v>252</v>
      </c>
      <c r="G2126" t="s">
        <v>253</v>
      </c>
      <c r="H2126" t="s">
        <v>1635</v>
      </c>
    </row>
    <row r="2127" spans="1:8" outlineLevel="2" x14ac:dyDescent="0.3">
      <c r="A2127" s="6">
        <v>27</v>
      </c>
      <c r="B2127" t="s">
        <v>587</v>
      </c>
      <c r="C2127" s="9" t="s">
        <v>932</v>
      </c>
      <c r="D2127" s="9">
        <v>18</v>
      </c>
      <c r="E2127" s="9" t="s">
        <v>1804</v>
      </c>
      <c r="F2127" t="s">
        <v>564</v>
      </c>
      <c r="G2127" t="s">
        <v>359</v>
      </c>
      <c r="H2127" t="s">
        <v>983</v>
      </c>
    </row>
    <row r="2128" spans="1:8" outlineLevel="2" x14ac:dyDescent="0.3">
      <c r="A2128" s="6">
        <v>27</v>
      </c>
      <c r="B2128" t="s">
        <v>587</v>
      </c>
      <c r="C2128" s="9" t="s">
        <v>932</v>
      </c>
      <c r="D2128" s="9">
        <v>14</v>
      </c>
      <c r="E2128" s="9" t="s">
        <v>1804</v>
      </c>
      <c r="F2128" t="s">
        <v>262</v>
      </c>
      <c r="G2128" t="s">
        <v>263</v>
      </c>
      <c r="H2128" t="s">
        <v>989</v>
      </c>
    </row>
    <row r="2129" spans="1:8" outlineLevel="2" x14ac:dyDescent="0.3">
      <c r="A2129" s="6">
        <v>27</v>
      </c>
      <c r="B2129" t="s">
        <v>587</v>
      </c>
      <c r="C2129" s="9" t="s">
        <v>1807</v>
      </c>
      <c r="D2129" s="9">
        <v>1350</v>
      </c>
      <c r="E2129" s="9" t="s">
        <v>1808</v>
      </c>
      <c r="F2129" t="s">
        <v>275</v>
      </c>
      <c r="G2129" t="s">
        <v>276</v>
      </c>
      <c r="H2129" t="s">
        <v>1012</v>
      </c>
    </row>
    <row r="2130" spans="1:8" outlineLevel="2" x14ac:dyDescent="0.3">
      <c r="A2130" s="6">
        <v>27</v>
      </c>
      <c r="B2130" t="s">
        <v>587</v>
      </c>
      <c r="C2130" s="9" t="s">
        <v>1807</v>
      </c>
      <c r="D2130" s="9">
        <v>750</v>
      </c>
      <c r="E2130" s="9" t="s">
        <v>1808</v>
      </c>
      <c r="F2130" t="s">
        <v>592</v>
      </c>
      <c r="G2130" t="s">
        <v>593</v>
      </c>
      <c r="H2130" t="s">
        <v>1658</v>
      </c>
    </row>
    <row r="2131" spans="1:8" outlineLevel="2" x14ac:dyDescent="0.3">
      <c r="A2131" s="6">
        <v>27</v>
      </c>
      <c r="B2131" t="s">
        <v>587</v>
      </c>
      <c r="C2131" s="9" t="s">
        <v>1807</v>
      </c>
      <c r="D2131" s="9">
        <v>1500</v>
      </c>
      <c r="E2131" s="9" t="s">
        <v>1808</v>
      </c>
      <c r="F2131" t="s">
        <v>452</v>
      </c>
      <c r="G2131" t="s">
        <v>454</v>
      </c>
      <c r="H2131" t="s">
        <v>1813</v>
      </c>
    </row>
    <row r="2132" spans="1:8" outlineLevel="2" x14ac:dyDescent="0.3">
      <c r="A2132" s="6">
        <v>27</v>
      </c>
      <c r="B2132" t="s">
        <v>587</v>
      </c>
      <c r="C2132" s="9" t="s">
        <v>1807</v>
      </c>
      <c r="D2132" s="9">
        <v>1050</v>
      </c>
      <c r="E2132" s="9" t="s">
        <v>1808</v>
      </c>
      <c r="F2132" t="s">
        <v>291</v>
      </c>
      <c r="G2132" t="s">
        <v>292</v>
      </c>
      <c r="H2132" t="s">
        <v>1678</v>
      </c>
    </row>
    <row r="2133" spans="1:8" outlineLevel="2" x14ac:dyDescent="0.3">
      <c r="A2133" s="6">
        <v>27</v>
      </c>
      <c r="B2133" t="s">
        <v>587</v>
      </c>
      <c r="C2133" s="9" t="s">
        <v>1807</v>
      </c>
      <c r="D2133" s="9">
        <v>320</v>
      </c>
      <c r="E2133" s="9" t="s">
        <v>1808</v>
      </c>
      <c r="F2133" t="s">
        <v>304</v>
      </c>
      <c r="G2133" t="s">
        <v>305</v>
      </c>
      <c r="H2133" t="s">
        <v>1785</v>
      </c>
    </row>
    <row r="2134" spans="1:8" outlineLevel="2" x14ac:dyDescent="0.3">
      <c r="A2134" s="6">
        <v>27</v>
      </c>
      <c r="B2134" t="s">
        <v>587</v>
      </c>
      <c r="C2134" s="9" t="s">
        <v>1807</v>
      </c>
      <c r="D2134" s="9">
        <v>420</v>
      </c>
      <c r="E2134" s="9" t="s">
        <v>1808</v>
      </c>
      <c r="F2134" t="s">
        <v>68</v>
      </c>
      <c r="G2134" t="s">
        <v>69</v>
      </c>
      <c r="H2134" t="s">
        <v>1551</v>
      </c>
    </row>
    <row r="2135" spans="1:8" outlineLevel="2" x14ac:dyDescent="0.3">
      <c r="A2135" s="6">
        <v>27</v>
      </c>
      <c r="B2135" t="s">
        <v>587</v>
      </c>
      <c r="C2135" s="9" t="s">
        <v>1807</v>
      </c>
      <c r="D2135" s="9">
        <v>420</v>
      </c>
      <c r="E2135" s="9" t="s">
        <v>1808</v>
      </c>
      <c r="F2135" t="s">
        <v>595</v>
      </c>
      <c r="G2135" t="s">
        <v>69</v>
      </c>
      <c r="H2135" t="s">
        <v>1557</v>
      </c>
    </row>
    <row r="2136" spans="1:8" outlineLevel="2" x14ac:dyDescent="0.3">
      <c r="A2136" s="6">
        <v>27</v>
      </c>
      <c r="B2136" t="s">
        <v>587</v>
      </c>
      <c r="C2136" s="9" t="s">
        <v>1807</v>
      </c>
      <c r="D2136" s="9">
        <v>770</v>
      </c>
      <c r="E2136" s="9" t="s">
        <v>1808</v>
      </c>
      <c r="F2136" t="s">
        <v>71</v>
      </c>
      <c r="G2136" t="s">
        <v>72</v>
      </c>
      <c r="H2136" t="s">
        <v>1565</v>
      </c>
    </row>
    <row r="2137" spans="1:8" outlineLevel="2" x14ac:dyDescent="0.3">
      <c r="A2137" s="6">
        <v>27</v>
      </c>
      <c r="B2137" t="s">
        <v>587</v>
      </c>
      <c r="C2137" s="9" t="s">
        <v>1807</v>
      </c>
      <c r="D2137" s="9">
        <v>518</v>
      </c>
      <c r="E2137" s="9" t="s">
        <v>1808</v>
      </c>
      <c r="F2137" t="s">
        <v>74</v>
      </c>
      <c r="G2137" t="s">
        <v>72</v>
      </c>
      <c r="H2137" t="s">
        <v>1566</v>
      </c>
    </row>
    <row r="2138" spans="1:8" outlineLevel="2" x14ac:dyDescent="0.3">
      <c r="A2138" s="6">
        <v>27</v>
      </c>
      <c r="B2138" t="s">
        <v>587</v>
      </c>
      <c r="C2138" s="9" t="s">
        <v>1807</v>
      </c>
      <c r="D2138" s="9">
        <v>532</v>
      </c>
      <c r="E2138" s="9" t="s">
        <v>1808</v>
      </c>
      <c r="F2138" t="s">
        <v>596</v>
      </c>
      <c r="G2138" t="s">
        <v>72</v>
      </c>
      <c r="H2138" t="s">
        <v>1567</v>
      </c>
    </row>
    <row r="2139" spans="1:8" outlineLevel="2" x14ac:dyDescent="0.3">
      <c r="A2139" s="6">
        <v>27</v>
      </c>
      <c r="B2139" t="s">
        <v>587</v>
      </c>
      <c r="C2139" s="9" t="s">
        <v>1807</v>
      </c>
      <c r="D2139" s="9">
        <v>398</v>
      </c>
      <c r="E2139" s="9" t="s">
        <v>1808</v>
      </c>
      <c r="F2139" t="s">
        <v>318</v>
      </c>
      <c r="G2139" t="s">
        <v>76</v>
      </c>
      <c r="H2139" t="s">
        <v>1578</v>
      </c>
    </row>
    <row r="2140" spans="1:8" outlineLevel="2" x14ac:dyDescent="0.3">
      <c r="A2140" s="6">
        <v>27</v>
      </c>
      <c r="B2140" t="s">
        <v>587</v>
      </c>
      <c r="C2140" s="9" t="s">
        <v>963</v>
      </c>
      <c r="D2140" s="9">
        <v>64</v>
      </c>
      <c r="E2140" s="9" t="s">
        <v>1804</v>
      </c>
      <c r="F2140" t="s">
        <v>82</v>
      </c>
      <c r="G2140" t="s">
        <v>83</v>
      </c>
      <c r="H2140" t="s">
        <v>1340</v>
      </c>
    </row>
    <row r="2141" spans="1:8" outlineLevel="2" x14ac:dyDescent="0.3">
      <c r="A2141" s="6">
        <v>27</v>
      </c>
      <c r="B2141" t="s">
        <v>587</v>
      </c>
      <c r="C2141" s="9" t="s">
        <v>963</v>
      </c>
      <c r="D2141" s="9">
        <v>88</v>
      </c>
      <c r="E2141" s="9" t="s">
        <v>1804</v>
      </c>
      <c r="F2141" t="s">
        <v>84</v>
      </c>
      <c r="G2141" t="s">
        <v>85</v>
      </c>
      <c r="H2141" t="s">
        <v>1342</v>
      </c>
    </row>
    <row r="2142" spans="1:8" outlineLevel="2" x14ac:dyDescent="0.3">
      <c r="A2142" s="6">
        <v>27</v>
      </c>
      <c r="B2142" t="s">
        <v>587</v>
      </c>
      <c r="C2142" s="9" t="s">
        <v>963</v>
      </c>
      <c r="D2142" s="9">
        <v>70</v>
      </c>
      <c r="E2142" s="9" t="s">
        <v>1804</v>
      </c>
      <c r="F2142" t="s">
        <v>325</v>
      </c>
      <c r="G2142" t="s">
        <v>196</v>
      </c>
      <c r="H2142" t="s">
        <v>1344</v>
      </c>
    </row>
    <row r="2143" spans="1:8" outlineLevel="2" x14ac:dyDescent="0.3">
      <c r="A2143" s="6">
        <v>27</v>
      </c>
      <c r="B2143" t="s">
        <v>587</v>
      </c>
      <c r="C2143" s="9" t="s">
        <v>963</v>
      </c>
      <c r="D2143" s="9">
        <v>70</v>
      </c>
      <c r="E2143" s="9" t="s">
        <v>1804</v>
      </c>
      <c r="F2143" t="s">
        <v>597</v>
      </c>
      <c r="G2143" t="s">
        <v>12</v>
      </c>
      <c r="H2143" t="s">
        <v>1348</v>
      </c>
    </row>
    <row r="2144" spans="1:8" outlineLevel="2" x14ac:dyDescent="0.3">
      <c r="A2144" s="6">
        <v>27</v>
      </c>
      <c r="B2144" t="s">
        <v>587</v>
      </c>
      <c r="C2144" s="9" t="s">
        <v>963</v>
      </c>
      <c r="D2144" s="9">
        <v>73</v>
      </c>
      <c r="E2144" s="9" t="s">
        <v>1804</v>
      </c>
      <c r="F2144" t="s">
        <v>90</v>
      </c>
      <c r="G2144" t="s">
        <v>15</v>
      </c>
      <c r="H2144" t="s">
        <v>1351</v>
      </c>
    </row>
    <row r="2145" spans="1:8" outlineLevel="2" x14ac:dyDescent="0.3">
      <c r="A2145" s="6">
        <v>27</v>
      </c>
      <c r="B2145" t="s">
        <v>587</v>
      </c>
      <c r="C2145" s="9" t="s">
        <v>963</v>
      </c>
      <c r="D2145" s="9">
        <v>77</v>
      </c>
      <c r="E2145" s="9" t="s">
        <v>1804</v>
      </c>
      <c r="F2145" t="s">
        <v>91</v>
      </c>
      <c r="G2145" t="s">
        <v>92</v>
      </c>
      <c r="H2145" t="s">
        <v>1353</v>
      </c>
    </row>
    <row r="2146" spans="1:8" outlineLevel="2" x14ac:dyDescent="0.3">
      <c r="A2146" s="6">
        <v>27</v>
      </c>
      <c r="B2146" t="s">
        <v>587</v>
      </c>
      <c r="C2146" s="9" t="s">
        <v>963</v>
      </c>
      <c r="D2146" s="9">
        <v>76</v>
      </c>
      <c r="E2146" s="9" t="s">
        <v>1804</v>
      </c>
      <c r="F2146" t="s">
        <v>94</v>
      </c>
      <c r="G2146" t="s">
        <v>95</v>
      </c>
      <c r="H2146" t="s">
        <v>1355</v>
      </c>
    </row>
    <row r="2147" spans="1:8" outlineLevel="2" x14ac:dyDescent="0.3">
      <c r="A2147" s="6">
        <v>27</v>
      </c>
      <c r="B2147" t="s">
        <v>587</v>
      </c>
      <c r="C2147" s="9" t="s">
        <v>963</v>
      </c>
      <c r="D2147" s="9">
        <v>72</v>
      </c>
      <c r="E2147" s="9" t="s">
        <v>1804</v>
      </c>
      <c r="F2147" t="s">
        <v>101</v>
      </c>
      <c r="G2147" t="s">
        <v>102</v>
      </c>
      <c r="H2147" t="s">
        <v>1365</v>
      </c>
    </row>
    <row r="2148" spans="1:8" outlineLevel="2" x14ac:dyDescent="0.3">
      <c r="A2148" s="6">
        <v>27</v>
      </c>
      <c r="B2148" t="s">
        <v>587</v>
      </c>
      <c r="C2148" s="9" t="s">
        <v>963</v>
      </c>
      <c r="D2148" s="9">
        <v>60</v>
      </c>
      <c r="E2148" s="9" t="s">
        <v>1804</v>
      </c>
      <c r="F2148" t="s">
        <v>400</v>
      </c>
      <c r="G2148" t="s">
        <v>401</v>
      </c>
      <c r="H2148" t="s">
        <v>1185</v>
      </c>
    </row>
    <row r="2149" spans="1:8" outlineLevel="2" x14ac:dyDescent="0.3">
      <c r="A2149" s="6">
        <v>27</v>
      </c>
      <c r="B2149" t="s">
        <v>587</v>
      </c>
      <c r="C2149" s="9" t="s">
        <v>963</v>
      </c>
      <c r="D2149" s="9">
        <v>63</v>
      </c>
      <c r="E2149" s="9" t="s">
        <v>1804</v>
      </c>
      <c r="F2149" t="s">
        <v>348</v>
      </c>
      <c r="G2149" t="s">
        <v>168</v>
      </c>
      <c r="H2149" t="s">
        <v>1533</v>
      </c>
    </row>
    <row r="2150" spans="1:8" outlineLevel="2" x14ac:dyDescent="0.3">
      <c r="A2150" s="6">
        <v>27</v>
      </c>
      <c r="B2150" t="s">
        <v>587</v>
      </c>
      <c r="C2150" s="9" t="s">
        <v>963</v>
      </c>
      <c r="D2150" s="9">
        <v>60</v>
      </c>
      <c r="E2150" s="9" t="s">
        <v>1804</v>
      </c>
      <c r="F2150" t="s">
        <v>170</v>
      </c>
      <c r="G2150" t="s">
        <v>171</v>
      </c>
      <c r="H2150" t="s">
        <v>1535</v>
      </c>
    </row>
    <row r="2151" spans="1:8" outlineLevel="2" x14ac:dyDescent="0.3">
      <c r="A2151" s="6">
        <v>27</v>
      </c>
      <c r="B2151" t="s">
        <v>587</v>
      </c>
      <c r="C2151" s="9" t="s">
        <v>963</v>
      </c>
      <c r="D2151" s="9">
        <v>63</v>
      </c>
      <c r="E2151" s="9" t="s">
        <v>1804</v>
      </c>
      <c r="F2151" t="s">
        <v>404</v>
      </c>
      <c r="G2151" t="s">
        <v>115</v>
      </c>
      <c r="H2151" t="s">
        <v>1536</v>
      </c>
    </row>
    <row r="2152" spans="1:8" outlineLevel="2" x14ac:dyDescent="0.3">
      <c r="A2152" s="6">
        <v>27</v>
      </c>
      <c r="B2152" t="s">
        <v>587</v>
      </c>
      <c r="C2152" s="9" t="s">
        <v>963</v>
      </c>
      <c r="D2152" s="9">
        <v>60</v>
      </c>
      <c r="E2152" s="9" t="s">
        <v>1804</v>
      </c>
      <c r="F2152" t="s">
        <v>106</v>
      </c>
      <c r="G2152" t="s">
        <v>32</v>
      </c>
      <c r="H2152" t="s">
        <v>1537</v>
      </c>
    </row>
    <row r="2153" spans="1:8" outlineLevel="2" x14ac:dyDescent="0.3">
      <c r="A2153" s="6">
        <v>27</v>
      </c>
      <c r="B2153" t="s">
        <v>587</v>
      </c>
      <c r="C2153" s="9" t="s">
        <v>963</v>
      </c>
      <c r="D2153" s="9">
        <v>60</v>
      </c>
      <c r="E2153" s="9" t="s">
        <v>1804</v>
      </c>
      <c r="F2153" t="s">
        <v>107</v>
      </c>
      <c r="G2153" t="s">
        <v>108</v>
      </c>
      <c r="H2153" t="s">
        <v>1140</v>
      </c>
    </row>
    <row r="2154" spans="1:8" outlineLevel="2" x14ac:dyDescent="0.3">
      <c r="A2154" s="6">
        <v>27</v>
      </c>
      <c r="B2154" t="s">
        <v>587</v>
      </c>
      <c r="C2154" s="9" t="s">
        <v>963</v>
      </c>
      <c r="D2154" s="9">
        <v>63</v>
      </c>
      <c r="E2154" s="9" t="s">
        <v>1804</v>
      </c>
      <c r="F2154" t="s">
        <v>598</v>
      </c>
      <c r="G2154" t="s">
        <v>38</v>
      </c>
      <c r="H2154" t="s">
        <v>1142</v>
      </c>
    </row>
    <row r="2155" spans="1:8" outlineLevel="2" x14ac:dyDescent="0.3">
      <c r="A2155" s="6">
        <v>27</v>
      </c>
      <c r="B2155" t="s">
        <v>587</v>
      </c>
      <c r="C2155" s="9" t="s">
        <v>963</v>
      </c>
      <c r="D2155" s="9">
        <v>60</v>
      </c>
      <c r="E2155" s="9" t="s">
        <v>1804</v>
      </c>
      <c r="F2155" t="s">
        <v>114</v>
      </c>
      <c r="G2155" t="s">
        <v>115</v>
      </c>
      <c r="H2155" t="s">
        <v>1121</v>
      </c>
    </row>
    <row r="2156" spans="1:8" outlineLevel="2" x14ac:dyDescent="0.3">
      <c r="A2156" s="6">
        <v>27</v>
      </c>
      <c r="B2156" t="s">
        <v>587</v>
      </c>
      <c r="C2156" s="9" t="s">
        <v>963</v>
      </c>
      <c r="D2156" s="9">
        <v>64</v>
      </c>
      <c r="E2156" s="9" t="s">
        <v>1804</v>
      </c>
      <c r="F2156" t="s">
        <v>583</v>
      </c>
      <c r="G2156" t="s">
        <v>238</v>
      </c>
      <c r="H2156" t="s">
        <v>1122</v>
      </c>
    </row>
    <row r="2157" spans="1:8" outlineLevel="2" x14ac:dyDescent="0.3">
      <c r="A2157" s="6">
        <v>27</v>
      </c>
      <c r="B2157" t="s">
        <v>587</v>
      </c>
      <c r="C2157" s="9" t="s">
        <v>963</v>
      </c>
      <c r="D2157" s="9">
        <v>60</v>
      </c>
      <c r="E2157" s="9" t="s">
        <v>1804</v>
      </c>
      <c r="F2157" t="s">
        <v>120</v>
      </c>
      <c r="G2157" t="s">
        <v>51</v>
      </c>
      <c r="H2157" t="s">
        <v>1590</v>
      </c>
    </row>
    <row r="2158" spans="1:8" outlineLevel="2" x14ac:dyDescent="0.3">
      <c r="A2158" s="6">
        <v>27</v>
      </c>
      <c r="B2158" t="s">
        <v>587</v>
      </c>
      <c r="C2158" s="9" t="s">
        <v>963</v>
      </c>
      <c r="D2158" s="9">
        <v>60</v>
      </c>
      <c r="E2158" s="9" t="s">
        <v>1804</v>
      </c>
      <c r="F2158" t="s">
        <v>358</v>
      </c>
      <c r="G2158" t="s">
        <v>359</v>
      </c>
      <c r="H2158" t="s">
        <v>1021</v>
      </c>
    </row>
    <row r="2159" spans="1:8" outlineLevel="2" x14ac:dyDescent="0.3">
      <c r="A2159" s="6">
        <v>27</v>
      </c>
      <c r="B2159" t="s">
        <v>587</v>
      </c>
      <c r="C2159" s="9" t="s">
        <v>963</v>
      </c>
      <c r="D2159" s="9">
        <v>62</v>
      </c>
      <c r="E2159" s="9" t="s">
        <v>1804</v>
      </c>
      <c r="F2159" t="s">
        <v>405</v>
      </c>
      <c r="G2159" t="s">
        <v>260</v>
      </c>
      <c r="H2159" t="s">
        <v>1022</v>
      </c>
    </row>
    <row r="2160" spans="1:8" outlineLevel="2" x14ac:dyDescent="0.3">
      <c r="A2160" s="6">
        <v>27</v>
      </c>
      <c r="B2160" t="s">
        <v>587</v>
      </c>
      <c r="C2160" s="9" t="s">
        <v>963</v>
      </c>
      <c r="D2160" s="9">
        <v>64</v>
      </c>
      <c r="E2160" s="9" t="s">
        <v>1804</v>
      </c>
      <c r="F2160" t="s">
        <v>372</v>
      </c>
      <c r="G2160" t="s">
        <v>312</v>
      </c>
      <c r="H2160" t="s">
        <v>973</v>
      </c>
    </row>
    <row r="2161" spans="1:8" outlineLevel="2" x14ac:dyDescent="0.3">
      <c r="A2161" s="6">
        <v>27</v>
      </c>
      <c r="B2161" t="s">
        <v>587</v>
      </c>
      <c r="C2161" s="9" t="s">
        <v>963</v>
      </c>
      <c r="D2161" s="9">
        <v>64</v>
      </c>
      <c r="E2161" s="9" t="s">
        <v>1804</v>
      </c>
      <c r="F2161" t="s">
        <v>125</v>
      </c>
      <c r="G2161" t="s">
        <v>126</v>
      </c>
      <c r="H2161" t="s">
        <v>1581</v>
      </c>
    </row>
    <row r="2162" spans="1:8" outlineLevel="2" x14ac:dyDescent="0.3">
      <c r="A2162" s="6">
        <v>27</v>
      </c>
      <c r="B2162" t="s">
        <v>587</v>
      </c>
      <c r="C2162" s="9" t="s">
        <v>963</v>
      </c>
      <c r="D2162" s="9">
        <v>60</v>
      </c>
      <c r="E2162" s="9" t="s">
        <v>1804</v>
      </c>
      <c r="F2162" t="s">
        <v>486</v>
      </c>
      <c r="G2162" t="s">
        <v>487</v>
      </c>
      <c r="H2162" t="s">
        <v>1196</v>
      </c>
    </row>
    <row r="2163" spans="1:8" outlineLevel="2" x14ac:dyDescent="0.3">
      <c r="A2163" s="6">
        <v>27</v>
      </c>
      <c r="B2163" t="s">
        <v>587</v>
      </c>
      <c r="C2163" s="9" t="s">
        <v>963</v>
      </c>
      <c r="D2163" s="9">
        <v>64</v>
      </c>
      <c r="E2163" s="9" t="s">
        <v>1804</v>
      </c>
      <c r="F2163" t="s">
        <v>374</v>
      </c>
      <c r="G2163" t="s">
        <v>129</v>
      </c>
      <c r="H2163" t="s">
        <v>1582</v>
      </c>
    </row>
    <row r="2164" spans="1:8" outlineLevel="2" x14ac:dyDescent="0.3">
      <c r="A2164" s="6">
        <v>27</v>
      </c>
      <c r="B2164" t="s">
        <v>587</v>
      </c>
      <c r="C2164" s="9" t="s">
        <v>963</v>
      </c>
      <c r="D2164" s="9">
        <v>60</v>
      </c>
      <c r="E2164" s="9" t="s">
        <v>1804</v>
      </c>
      <c r="F2164" t="s">
        <v>128</v>
      </c>
      <c r="G2164" t="s">
        <v>129</v>
      </c>
      <c r="H2164" t="s">
        <v>1582</v>
      </c>
    </row>
    <row r="2165" spans="1:8" outlineLevel="1" x14ac:dyDescent="0.3">
      <c r="A2165" s="16" t="s">
        <v>2213</v>
      </c>
      <c r="H2165">
        <f>SUBTOTAL(3,H2093:H2164)</f>
        <v>72</v>
      </c>
    </row>
    <row r="2166" spans="1:8" outlineLevel="2" x14ac:dyDescent="0.3">
      <c r="A2166" s="6">
        <v>28</v>
      </c>
      <c r="B2166" t="s">
        <v>529</v>
      </c>
      <c r="C2166" s="9" t="s">
        <v>932</v>
      </c>
      <c r="D2166" s="9">
        <v>12</v>
      </c>
      <c r="E2166" s="9" t="s">
        <v>1804</v>
      </c>
      <c r="F2166" t="s">
        <v>530</v>
      </c>
      <c r="G2166" t="s">
        <v>531</v>
      </c>
      <c r="H2166" t="s">
        <v>938</v>
      </c>
    </row>
    <row r="2167" spans="1:8" outlineLevel="2" x14ac:dyDescent="0.3">
      <c r="A2167" s="6">
        <v>28</v>
      </c>
      <c r="B2167" t="s">
        <v>529</v>
      </c>
      <c r="C2167" s="9" t="s">
        <v>932</v>
      </c>
      <c r="D2167" s="9">
        <v>18</v>
      </c>
      <c r="E2167" s="9" t="s">
        <v>1804</v>
      </c>
      <c r="F2167" t="s">
        <v>533</v>
      </c>
      <c r="G2167" t="s">
        <v>531</v>
      </c>
      <c r="H2167" t="s">
        <v>939</v>
      </c>
    </row>
    <row r="2168" spans="1:8" outlineLevel="2" x14ac:dyDescent="0.3">
      <c r="A2168" s="6">
        <v>28</v>
      </c>
      <c r="B2168" t="s">
        <v>529</v>
      </c>
      <c r="C2168" s="9" t="s">
        <v>932</v>
      </c>
      <c r="D2168" s="9">
        <v>30</v>
      </c>
      <c r="E2168" s="9" t="s">
        <v>1804</v>
      </c>
      <c r="F2168" t="s">
        <v>534</v>
      </c>
      <c r="G2168" t="s">
        <v>531</v>
      </c>
      <c r="H2168" t="s">
        <v>940</v>
      </c>
    </row>
    <row r="2169" spans="1:8" outlineLevel="2" x14ac:dyDescent="0.3">
      <c r="A2169" s="6">
        <v>28</v>
      </c>
      <c r="B2169" t="s">
        <v>529</v>
      </c>
      <c r="C2169" s="9" t="s">
        <v>932</v>
      </c>
      <c r="D2169" s="9">
        <v>30</v>
      </c>
      <c r="E2169" s="9" t="s">
        <v>1804</v>
      </c>
      <c r="F2169" t="s">
        <v>146</v>
      </c>
      <c r="G2169" t="s">
        <v>147</v>
      </c>
      <c r="H2169" t="s">
        <v>1377</v>
      </c>
    </row>
    <row r="2170" spans="1:8" outlineLevel="2" x14ac:dyDescent="0.3">
      <c r="A2170" s="6">
        <v>28</v>
      </c>
      <c r="B2170" t="s">
        <v>529</v>
      </c>
      <c r="C2170" s="9" t="s">
        <v>932</v>
      </c>
      <c r="D2170" s="9">
        <v>15</v>
      </c>
      <c r="E2170" s="9" t="s">
        <v>1804</v>
      </c>
      <c r="F2170" t="s">
        <v>149</v>
      </c>
      <c r="G2170" t="s">
        <v>147</v>
      </c>
      <c r="H2170" t="s">
        <v>1378</v>
      </c>
    </row>
    <row r="2171" spans="1:8" outlineLevel="2" x14ac:dyDescent="0.3">
      <c r="A2171" s="6">
        <v>28</v>
      </c>
      <c r="B2171" t="s">
        <v>529</v>
      </c>
      <c r="C2171" s="9" t="s">
        <v>932</v>
      </c>
      <c r="D2171" s="9">
        <v>30</v>
      </c>
      <c r="E2171" s="9" t="s">
        <v>1804</v>
      </c>
      <c r="F2171" t="s">
        <v>176</v>
      </c>
      <c r="G2171" t="s">
        <v>177</v>
      </c>
      <c r="H2171" t="s">
        <v>1381</v>
      </c>
    </row>
    <row r="2172" spans="1:8" outlineLevel="2" x14ac:dyDescent="0.3">
      <c r="A2172" s="6">
        <v>28</v>
      </c>
      <c r="B2172" t="s">
        <v>529</v>
      </c>
      <c r="C2172" s="9" t="s">
        <v>932</v>
      </c>
      <c r="D2172" s="9">
        <v>18</v>
      </c>
      <c r="E2172" s="9" t="s">
        <v>1804</v>
      </c>
      <c r="F2172" t="s">
        <v>535</v>
      </c>
      <c r="G2172" t="s">
        <v>177</v>
      </c>
      <c r="H2172" t="s">
        <v>1383</v>
      </c>
    </row>
    <row r="2173" spans="1:8" outlineLevel="2" x14ac:dyDescent="0.3">
      <c r="A2173" s="6">
        <v>28</v>
      </c>
      <c r="B2173" t="s">
        <v>529</v>
      </c>
      <c r="C2173" s="9" t="s">
        <v>932</v>
      </c>
      <c r="D2173" s="9">
        <v>24</v>
      </c>
      <c r="E2173" s="9" t="s">
        <v>1804</v>
      </c>
      <c r="F2173" t="s">
        <v>536</v>
      </c>
      <c r="G2173" t="s">
        <v>537</v>
      </c>
      <c r="H2173" t="s">
        <v>1384</v>
      </c>
    </row>
    <row r="2174" spans="1:8" outlineLevel="2" x14ac:dyDescent="0.3">
      <c r="A2174" s="6">
        <v>28</v>
      </c>
      <c r="B2174" t="s">
        <v>529</v>
      </c>
      <c r="C2174" s="9" t="s">
        <v>932</v>
      </c>
      <c r="D2174" s="9">
        <v>30</v>
      </c>
      <c r="E2174" s="9" t="s">
        <v>1804</v>
      </c>
      <c r="F2174" t="s">
        <v>192</v>
      </c>
      <c r="G2174" t="s">
        <v>193</v>
      </c>
      <c r="H2174" t="s">
        <v>1252</v>
      </c>
    </row>
    <row r="2175" spans="1:8" outlineLevel="2" x14ac:dyDescent="0.3">
      <c r="A2175" s="6">
        <v>28</v>
      </c>
      <c r="B2175" t="s">
        <v>529</v>
      </c>
      <c r="C2175" s="9" t="s">
        <v>932</v>
      </c>
      <c r="D2175" s="9">
        <v>37</v>
      </c>
      <c r="E2175" s="9" t="s">
        <v>1804</v>
      </c>
      <c r="F2175" t="s">
        <v>198</v>
      </c>
      <c r="G2175" t="s">
        <v>196</v>
      </c>
      <c r="H2175" t="s">
        <v>1267</v>
      </c>
    </row>
    <row r="2176" spans="1:8" outlineLevel="2" x14ac:dyDescent="0.3">
      <c r="A2176" s="6">
        <v>28</v>
      </c>
      <c r="B2176" t="s">
        <v>529</v>
      </c>
      <c r="C2176" s="9" t="s">
        <v>932</v>
      </c>
      <c r="D2176" s="9">
        <v>42</v>
      </c>
      <c r="E2176" s="9" t="s">
        <v>1804</v>
      </c>
      <c r="F2176" t="s">
        <v>14</v>
      </c>
      <c r="G2176" t="s">
        <v>15</v>
      </c>
      <c r="H2176" t="s">
        <v>1290</v>
      </c>
    </row>
    <row r="2177" spans="1:8" outlineLevel="2" x14ac:dyDescent="0.3">
      <c r="A2177" s="6">
        <v>28</v>
      </c>
      <c r="B2177" t="s">
        <v>529</v>
      </c>
      <c r="C2177" s="9" t="s">
        <v>932</v>
      </c>
      <c r="D2177" s="9">
        <v>12</v>
      </c>
      <c r="E2177" s="9" t="s">
        <v>1804</v>
      </c>
      <c r="F2177" t="s">
        <v>204</v>
      </c>
      <c r="G2177" t="s">
        <v>15</v>
      </c>
      <c r="H2177" t="s">
        <v>1292</v>
      </c>
    </row>
    <row r="2178" spans="1:8" outlineLevel="2" x14ac:dyDescent="0.3">
      <c r="A2178" s="6">
        <v>28</v>
      </c>
      <c r="B2178" t="s">
        <v>529</v>
      </c>
      <c r="C2178" s="9" t="s">
        <v>932</v>
      </c>
      <c r="D2178" s="9">
        <v>18</v>
      </c>
      <c r="E2178" s="9" t="s">
        <v>1804</v>
      </c>
      <c r="F2178" t="s">
        <v>217</v>
      </c>
      <c r="G2178" t="s">
        <v>168</v>
      </c>
      <c r="H2178" t="s">
        <v>1442</v>
      </c>
    </row>
    <row r="2179" spans="1:8" outlineLevel="2" x14ac:dyDescent="0.3">
      <c r="A2179" s="6">
        <v>28</v>
      </c>
      <c r="B2179" t="s">
        <v>529</v>
      </c>
      <c r="C2179" s="9" t="s">
        <v>932</v>
      </c>
      <c r="D2179" s="9">
        <v>27</v>
      </c>
      <c r="E2179" s="9" t="s">
        <v>1804</v>
      </c>
      <c r="F2179" t="s">
        <v>218</v>
      </c>
      <c r="G2179" t="s">
        <v>168</v>
      </c>
      <c r="H2179" t="s">
        <v>1443</v>
      </c>
    </row>
    <row r="2180" spans="1:8" outlineLevel="2" x14ac:dyDescent="0.3">
      <c r="A2180" s="6">
        <v>28</v>
      </c>
      <c r="B2180" t="s">
        <v>529</v>
      </c>
      <c r="C2180" s="9" t="s">
        <v>932</v>
      </c>
      <c r="D2180" s="9">
        <v>18</v>
      </c>
      <c r="E2180" s="9" t="s">
        <v>1804</v>
      </c>
      <c r="F2180" t="s">
        <v>389</v>
      </c>
      <c r="G2180" t="s">
        <v>171</v>
      </c>
      <c r="H2180" t="s">
        <v>1447</v>
      </c>
    </row>
    <row r="2181" spans="1:8" outlineLevel="2" x14ac:dyDescent="0.3">
      <c r="A2181" s="6">
        <v>28</v>
      </c>
      <c r="B2181" t="s">
        <v>529</v>
      </c>
      <c r="C2181" s="9" t="s">
        <v>932</v>
      </c>
      <c r="D2181" s="9">
        <v>33</v>
      </c>
      <c r="E2181" s="9" t="s">
        <v>1804</v>
      </c>
      <c r="F2181" t="s">
        <v>390</v>
      </c>
      <c r="G2181" t="s">
        <v>391</v>
      </c>
      <c r="H2181" t="s">
        <v>1449</v>
      </c>
    </row>
    <row r="2182" spans="1:8" outlineLevel="2" x14ac:dyDescent="0.3">
      <c r="A2182" s="6">
        <v>28</v>
      </c>
      <c r="B2182" t="s">
        <v>529</v>
      </c>
      <c r="C2182" s="9" t="s">
        <v>932</v>
      </c>
      <c r="D2182" s="9">
        <v>24</v>
      </c>
      <c r="E2182" s="9" t="s">
        <v>1804</v>
      </c>
      <c r="F2182" t="s">
        <v>31</v>
      </c>
      <c r="G2182" t="s">
        <v>32</v>
      </c>
      <c r="H2182" t="s">
        <v>1483</v>
      </c>
    </row>
    <row r="2183" spans="1:8" outlineLevel="2" x14ac:dyDescent="0.3">
      <c r="A2183" s="6">
        <v>28</v>
      </c>
      <c r="B2183" t="s">
        <v>529</v>
      </c>
      <c r="C2183" s="9" t="s">
        <v>932</v>
      </c>
      <c r="D2183" s="9">
        <v>32</v>
      </c>
      <c r="E2183" s="9" t="s">
        <v>1804</v>
      </c>
      <c r="F2183" t="s">
        <v>219</v>
      </c>
      <c r="G2183" t="s">
        <v>32</v>
      </c>
      <c r="H2183" t="s">
        <v>1484</v>
      </c>
    </row>
    <row r="2184" spans="1:8" outlineLevel="2" x14ac:dyDescent="0.3">
      <c r="A2184" s="6">
        <v>28</v>
      </c>
      <c r="B2184" t="s">
        <v>529</v>
      </c>
      <c r="C2184" s="9" t="s">
        <v>932</v>
      </c>
      <c r="D2184" s="9">
        <v>21</v>
      </c>
      <c r="E2184" s="9" t="s">
        <v>1804</v>
      </c>
      <c r="F2184" t="s">
        <v>34</v>
      </c>
      <c r="G2184" t="s">
        <v>32</v>
      </c>
      <c r="H2184" t="s">
        <v>1485</v>
      </c>
    </row>
    <row r="2185" spans="1:8" outlineLevel="2" x14ac:dyDescent="0.3">
      <c r="A2185" s="6">
        <v>28</v>
      </c>
      <c r="B2185" t="s">
        <v>529</v>
      </c>
      <c r="C2185" s="9" t="s">
        <v>932</v>
      </c>
      <c r="D2185" s="9">
        <v>36</v>
      </c>
      <c r="E2185" s="9" t="s">
        <v>1804</v>
      </c>
      <c r="F2185" t="s">
        <v>541</v>
      </c>
      <c r="G2185" t="s">
        <v>32</v>
      </c>
      <c r="H2185" t="s">
        <v>1486</v>
      </c>
    </row>
    <row r="2186" spans="1:8" outlineLevel="2" x14ac:dyDescent="0.3">
      <c r="A2186" s="6">
        <v>28</v>
      </c>
      <c r="B2186" t="s">
        <v>529</v>
      </c>
      <c r="C2186" s="9" t="s">
        <v>932</v>
      </c>
      <c r="D2186" s="9">
        <v>24</v>
      </c>
      <c r="E2186" s="9" t="s">
        <v>1804</v>
      </c>
      <c r="F2186" t="s">
        <v>542</v>
      </c>
      <c r="G2186" t="s">
        <v>32</v>
      </c>
      <c r="H2186" t="s">
        <v>1487</v>
      </c>
    </row>
    <row r="2187" spans="1:8" outlineLevel="2" x14ac:dyDescent="0.3">
      <c r="A2187" s="6">
        <v>28</v>
      </c>
      <c r="B2187" t="s">
        <v>529</v>
      </c>
      <c r="C2187" s="9" t="s">
        <v>932</v>
      </c>
      <c r="D2187" s="9">
        <v>30</v>
      </c>
      <c r="E2187" s="9" t="s">
        <v>1804</v>
      </c>
      <c r="F2187" t="s">
        <v>35</v>
      </c>
      <c r="G2187" t="s">
        <v>32</v>
      </c>
      <c r="H2187" t="s">
        <v>1489</v>
      </c>
    </row>
    <row r="2188" spans="1:8" outlineLevel="2" x14ac:dyDescent="0.3">
      <c r="A2188" s="6">
        <v>28</v>
      </c>
      <c r="B2188" t="s">
        <v>529</v>
      </c>
      <c r="C2188" s="9" t="s">
        <v>932</v>
      </c>
      <c r="D2188" s="9">
        <v>32</v>
      </c>
      <c r="E2188" s="9" t="s">
        <v>1804</v>
      </c>
      <c r="F2188" t="s">
        <v>221</v>
      </c>
      <c r="G2188" t="s">
        <v>32</v>
      </c>
      <c r="H2188" t="s">
        <v>1490</v>
      </c>
    </row>
    <row r="2189" spans="1:8" outlineLevel="2" x14ac:dyDescent="0.3">
      <c r="A2189" s="6">
        <v>28</v>
      </c>
      <c r="B2189" t="s">
        <v>529</v>
      </c>
      <c r="C2189" s="9" t="s">
        <v>932</v>
      </c>
      <c r="D2189" s="9">
        <v>21</v>
      </c>
      <c r="E2189" s="9" t="s">
        <v>1804</v>
      </c>
      <c r="F2189" t="s">
        <v>36</v>
      </c>
      <c r="G2189" t="s">
        <v>32</v>
      </c>
      <c r="H2189" t="s">
        <v>1492</v>
      </c>
    </row>
    <row r="2190" spans="1:8" outlineLevel="2" x14ac:dyDescent="0.3">
      <c r="A2190" s="6">
        <v>28</v>
      </c>
      <c r="B2190" t="s">
        <v>529</v>
      </c>
      <c r="C2190" s="9" t="s">
        <v>932</v>
      </c>
      <c r="D2190" s="9">
        <v>24</v>
      </c>
      <c r="E2190" s="9" t="s">
        <v>1804</v>
      </c>
      <c r="F2190" t="s">
        <v>543</v>
      </c>
      <c r="G2190" t="s">
        <v>32</v>
      </c>
      <c r="H2190" t="s">
        <v>1493</v>
      </c>
    </row>
    <row r="2191" spans="1:8" outlineLevel="2" x14ac:dyDescent="0.3">
      <c r="A2191" s="6">
        <v>28</v>
      </c>
      <c r="B2191" t="s">
        <v>529</v>
      </c>
      <c r="C2191" s="9" t="s">
        <v>932</v>
      </c>
      <c r="D2191" s="9">
        <v>34</v>
      </c>
      <c r="E2191" s="9" t="s">
        <v>1804</v>
      </c>
      <c r="F2191" t="s">
        <v>422</v>
      </c>
      <c r="G2191" t="s">
        <v>423</v>
      </c>
      <c r="H2191" t="s">
        <v>1149</v>
      </c>
    </row>
    <row r="2192" spans="1:8" outlineLevel="2" x14ac:dyDescent="0.3">
      <c r="A2192" s="6">
        <v>28</v>
      </c>
      <c r="B2192" t="s">
        <v>529</v>
      </c>
      <c r="C2192" s="9" t="s">
        <v>932</v>
      </c>
      <c r="D2192" s="9">
        <v>12</v>
      </c>
      <c r="E2192" s="9" t="s">
        <v>1804</v>
      </c>
      <c r="F2192" t="s">
        <v>153</v>
      </c>
      <c r="G2192" t="s">
        <v>108</v>
      </c>
      <c r="H2192" t="s">
        <v>1150</v>
      </c>
    </row>
    <row r="2193" spans="1:8" outlineLevel="2" x14ac:dyDescent="0.3">
      <c r="A2193" s="6">
        <v>28</v>
      </c>
      <c r="B2193" t="s">
        <v>529</v>
      </c>
      <c r="C2193" s="9" t="s">
        <v>932</v>
      </c>
      <c r="D2193" s="9">
        <v>18</v>
      </c>
      <c r="E2193" s="9" t="s">
        <v>1804</v>
      </c>
      <c r="F2193" t="s">
        <v>154</v>
      </c>
      <c r="G2193" t="s">
        <v>108</v>
      </c>
      <c r="H2193" t="s">
        <v>1151</v>
      </c>
    </row>
    <row r="2194" spans="1:8" outlineLevel="2" x14ac:dyDescent="0.3">
      <c r="A2194" s="6">
        <v>28</v>
      </c>
      <c r="B2194" t="s">
        <v>529</v>
      </c>
      <c r="C2194" s="9" t="s">
        <v>932</v>
      </c>
      <c r="D2194" s="9">
        <v>27</v>
      </c>
      <c r="E2194" s="9" t="s">
        <v>1804</v>
      </c>
      <c r="F2194" t="s">
        <v>37</v>
      </c>
      <c r="G2194" t="s">
        <v>38</v>
      </c>
      <c r="H2194" t="s">
        <v>1164</v>
      </c>
    </row>
    <row r="2195" spans="1:8" outlineLevel="2" x14ac:dyDescent="0.3">
      <c r="A2195" s="6">
        <v>28</v>
      </c>
      <c r="B2195" t="s">
        <v>529</v>
      </c>
      <c r="C2195" s="9" t="s">
        <v>932</v>
      </c>
      <c r="D2195" s="9">
        <v>12</v>
      </c>
      <c r="E2195" s="9" t="s">
        <v>1804</v>
      </c>
      <c r="F2195" t="s">
        <v>226</v>
      </c>
      <c r="G2195" t="s">
        <v>38</v>
      </c>
      <c r="H2195" t="s">
        <v>1165</v>
      </c>
    </row>
    <row r="2196" spans="1:8" outlineLevel="2" x14ac:dyDescent="0.3">
      <c r="A2196" s="6">
        <v>28</v>
      </c>
      <c r="B2196" t="s">
        <v>529</v>
      </c>
      <c r="C2196" s="9" t="s">
        <v>932</v>
      </c>
      <c r="D2196" s="9">
        <v>18</v>
      </c>
      <c r="E2196" s="9" t="s">
        <v>1804</v>
      </c>
      <c r="F2196" t="s">
        <v>227</v>
      </c>
      <c r="G2196" t="s">
        <v>41</v>
      </c>
      <c r="H2196" t="s">
        <v>1167</v>
      </c>
    </row>
    <row r="2197" spans="1:8" outlineLevel="2" x14ac:dyDescent="0.3">
      <c r="A2197" s="6">
        <v>28</v>
      </c>
      <c r="B2197" t="s">
        <v>529</v>
      </c>
      <c r="C2197" s="9" t="s">
        <v>932</v>
      </c>
      <c r="D2197" s="9">
        <v>12</v>
      </c>
      <c r="E2197" s="9" t="s">
        <v>1804</v>
      </c>
      <c r="F2197" t="s">
        <v>228</v>
      </c>
      <c r="G2197" t="s">
        <v>41</v>
      </c>
      <c r="H2197" t="s">
        <v>1168</v>
      </c>
    </row>
    <row r="2198" spans="1:8" outlineLevel="2" x14ac:dyDescent="0.3">
      <c r="A2198" s="6">
        <v>28</v>
      </c>
      <c r="B2198" t="s">
        <v>529</v>
      </c>
      <c r="C2198" s="9" t="s">
        <v>932</v>
      </c>
      <c r="D2198" s="9">
        <v>27</v>
      </c>
      <c r="E2198" s="9" t="s">
        <v>1804</v>
      </c>
      <c r="F2198" t="s">
        <v>40</v>
      </c>
      <c r="G2198" t="s">
        <v>41</v>
      </c>
      <c r="H2198" t="s">
        <v>1169</v>
      </c>
    </row>
    <row r="2199" spans="1:8" outlineLevel="2" x14ac:dyDescent="0.3">
      <c r="A2199" s="6">
        <v>28</v>
      </c>
      <c r="B2199" t="s">
        <v>529</v>
      </c>
      <c r="C2199" s="9" t="s">
        <v>932</v>
      </c>
      <c r="D2199" s="9">
        <v>18</v>
      </c>
      <c r="E2199" s="9" t="s">
        <v>1804</v>
      </c>
      <c r="F2199" t="s">
        <v>229</v>
      </c>
      <c r="G2199" t="s">
        <v>230</v>
      </c>
      <c r="H2199" t="s">
        <v>1170</v>
      </c>
    </row>
    <row r="2200" spans="1:8" outlineLevel="2" x14ac:dyDescent="0.3">
      <c r="A2200" s="6">
        <v>28</v>
      </c>
      <c r="B2200" t="s">
        <v>529</v>
      </c>
      <c r="C2200" s="9" t="s">
        <v>932</v>
      </c>
      <c r="D2200" s="9">
        <v>24</v>
      </c>
      <c r="E2200" s="9" t="s">
        <v>1804</v>
      </c>
      <c r="F2200" t="s">
        <v>232</v>
      </c>
      <c r="G2200" t="s">
        <v>144</v>
      </c>
      <c r="H2200" t="s">
        <v>1171</v>
      </c>
    </row>
    <row r="2201" spans="1:8" outlineLevel="2" x14ac:dyDescent="0.3">
      <c r="A2201" s="6">
        <v>28</v>
      </c>
      <c r="B2201" t="s">
        <v>529</v>
      </c>
      <c r="C2201" s="9" t="s">
        <v>932</v>
      </c>
      <c r="D2201" s="9">
        <v>12</v>
      </c>
      <c r="E2201" s="9" t="s">
        <v>1804</v>
      </c>
      <c r="F2201" t="s">
        <v>233</v>
      </c>
      <c r="G2201" t="s">
        <v>112</v>
      </c>
      <c r="H2201" t="s">
        <v>1146</v>
      </c>
    </row>
    <row r="2202" spans="1:8" outlineLevel="2" x14ac:dyDescent="0.3">
      <c r="A2202" s="6">
        <v>28</v>
      </c>
      <c r="B2202" t="s">
        <v>529</v>
      </c>
      <c r="C2202" s="9" t="s">
        <v>932</v>
      </c>
      <c r="D2202" s="9">
        <v>24</v>
      </c>
      <c r="E2202" s="9" t="s">
        <v>1804</v>
      </c>
      <c r="F2202" t="s">
        <v>544</v>
      </c>
      <c r="G2202" t="s">
        <v>545</v>
      </c>
      <c r="H2202" t="s">
        <v>1042</v>
      </c>
    </row>
    <row r="2203" spans="1:8" outlineLevel="2" x14ac:dyDescent="0.3">
      <c r="A2203" s="6">
        <v>28</v>
      </c>
      <c r="B2203" t="s">
        <v>529</v>
      </c>
      <c r="C2203" s="9" t="s">
        <v>932</v>
      </c>
      <c r="D2203" s="9">
        <v>18</v>
      </c>
      <c r="E2203" s="9" t="s">
        <v>1804</v>
      </c>
      <c r="F2203" t="s">
        <v>547</v>
      </c>
      <c r="G2203" t="s">
        <v>548</v>
      </c>
      <c r="H2203" t="s">
        <v>1043</v>
      </c>
    </row>
    <row r="2204" spans="1:8" outlineLevel="2" x14ac:dyDescent="0.3">
      <c r="A2204" s="6">
        <v>28</v>
      </c>
      <c r="B2204" t="s">
        <v>529</v>
      </c>
      <c r="C2204" s="9" t="s">
        <v>932</v>
      </c>
      <c r="D2204" s="9">
        <v>12</v>
      </c>
      <c r="E2204" s="9" t="s">
        <v>1804</v>
      </c>
      <c r="F2204" t="s">
        <v>511</v>
      </c>
      <c r="G2204" t="s">
        <v>235</v>
      </c>
      <c r="H2204" t="s">
        <v>1046</v>
      </c>
    </row>
    <row r="2205" spans="1:8" outlineLevel="2" x14ac:dyDescent="0.3">
      <c r="A2205" s="6">
        <v>28</v>
      </c>
      <c r="B2205" t="s">
        <v>529</v>
      </c>
      <c r="C2205" s="9" t="s">
        <v>932</v>
      </c>
      <c r="D2205" s="9">
        <v>12</v>
      </c>
      <c r="E2205" s="9" t="s">
        <v>1804</v>
      </c>
      <c r="F2205" t="s">
        <v>234</v>
      </c>
      <c r="G2205" t="s">
        <v>235</v>
      </c>
      <c r="H2205" t="s">
        <v>1047</v>
      </c>
    </row>
    <row r="2206" spans="1:8" outlineLevel="2" x14ac:dyDescent="0.3">
      <c r="A2206" s="6">
        <v>28</v>
      </c>
      <c r="B2206" t="s">
        <v>529</v>
      </c>
      <c r="C2206" s="9" t="s">
        <v>932</v>
      </c>
      <c r="D2206" s="9">
        <v>15</v>
      </c>
      <c r="E2206" s="9" t="s">
        <v>1804</v>
      </c>
      <c r="F2206" t="s">
        <v>43</v>
      </c>
      <c r="G2206" t="s">
        <v>44</v>
      </c>
      <c r="H2206" t="s">
        <v>1050</v>
      </c>
    </row>
    <row r="2207" spans="1:8" outlineLevel="2" x14ac:dyDescent="0.3">
      <c r="A2207" s="6">
        <v>28</v>
      </c>
      <c r="B2207" t="s">
        <v>529</v>
      </c>
      <c r="C2207" s="9" t="s">
        <v>932</v>
      </c>
      <c r="D2207" s="9">
        <v>24</v>
      </c>
      <c r="E2207" s="9" t="s">
        <v>1804</v>
      </c>
      <c r="F2207" t="s">
        <v>427</v>
      </c>
      <c r="G2207" t="s">
        <v>428</v>
      </c>
      <c r="H2207" t="s">
        <v>1054</v>
      </c>
    </row>
    <row r="2208" spans="1:8" outlineLevel="2" x14ac:dyDescent="0.3">
      <c r="A2208" s="6">
        <v>28</v>
      </c>
      <c r="B2208" t="s">
        <v>529</v>
      </c>
      <c r="C2208" s="9" t="s">
        <v>932</v>
      </c>
      <c r="D2208" s="9">
        <v>12</v>
      </c>
      <c r="E2208" s="9" t="s">
        <v>1804</v>
      </c>
      <c r="F2208" t="s">
        <v>550</v>
      </c>
      <c r="G2208" t="s">
        <v>551</v>
      </c>
      <c r="H2208" t="s">
        <v>1059</v>
      </c>
    </row>
    <row r="2209" spans="1:8" outlineLevel="2" x14ac:dyDescent="0.3">
      <c r="A2209" s="6">
        <v>28</v>
      </c>
      <c r="B2209" t="s">
        <v>529</v>
      </c>
      <c r="C2209" s="9" t="s">
        <v>932</v>
      </c>
      <c r="D2209" s="9">
        <v>9</v>
      </c>
      <c r="E2209" s="9" t="s">
        <v>1804</v>
      </c>
      <c r="F2209" t="s">
        <v>512</v>
      </c>
      <c r="G2209" t="s">
        <v>513</v>
      </c>
      <c r="H2209" t="s">
        <v>1531</v>
      </c>
    </row>
    <row r="2210" spans="1:8" outlineLevel="2" x14ac:dyDescent="0.3">
      <c r="A2210" s="6">
        <v>28</v>
      </c>
      <c r="B2210" t="s">
        <v>529</v>
      </c>
      <c r="C2210" s="9" t="s">
        <v>932</v>
      </c>
      <c r="D2210" s="9">
        <v>15</v>
      </c>
      <c r="E2210" s="9" t="s">
        <v>1804</v>
      </c>
      <c r="F2210" t="s">
        <v>515</v>
      </c>
      <c r="G2210" t="s">
        <v>238</v>
      </c>
      <c r="H2210" t="s">
        <v>1064</v>
      </c>
    </row>
    <row r="2211" spans="1:8" outlineLevel="2" x14ac:dyDescent="0.3">
      <c r="A2211" s="6">
        <v>28</v>
      </c>
      <c r="B2211" t="s">
        <v>529</v>
      </c>
      <c r="C2211" s="9" t="s">
        <v>932</v>
      </c>
      <c r="D2211" s="9">
        <v>24</v>
      </c>
      <c r="E2211" s="9" t="s">
        <v>1804</v>
      </c>
      <c r="F2211" t="s">
        <v>237</v>
      </c>
      <c r="G2211" t="s">
        <v>238</v>
      </c>
      <c r="H2211" t="s">
        <v>1065</v>
      </c>
    </row>
    <row r="2212" spans="1:8" outlineLevel="2" x14ac:dyDescent="0.3">
      <c r="A2212" s="6">
        <v>28</v>
      </c>
      <c r="B2212" t="s">
        <v>529</v>
      </c>
      <c r="C2212" s="9" t="s">
        <v>932</v>
      </c>
      <c r="D2212" s="9">
        <v>24</v>
      </c>
      <c r="E2212" s="9" t="s">
        <v>1804</v>
      </c>
      <c r="F2212" t="s">
        <v>553</v>
      </c>
      <c r="G2212" t="s">
        <v>238</v>
      </c>
      <c r="H2212" t="s">
        <v>1066</v>
      </c>
    </row>
    <row r="2213" spans="1:8" outlineLevel="2" x14ac:dyDescent="0.3">
      <c r="A2213" s="6">
        <v>28</v>
      </c>
      <c r="B2213" t="s">
        <v>529</v>
      </c>
      <c r="C2213" s="9" t="s">
        <v>932</v>
      </c>
      <c r="D2213" s="9">
        <v>35</v>
      </c>
      <c r="E2213" s="9" t="s">
        <v>1804</v>
      </c>
      <c r="F2213" t="s">
        <v>433</v>
      </c>
      <c r="G2213" t="s">
        <v>434</v>
      </c>
      <c r="H2213" t="s">
        <v>1404</v>
      </c>
    </row>
    <row r="2214" spans="1:8" outlineLevel="2" x14ac:dyDescent="0.3">
      <c r="A2214" s="6">
        <v>28</v>
      </c>
      <c r="B2214" t="s">
        <v>529</v>
      </c>
      <c r="C2214" s="9" t="s">
        <v>932</v>
      </c>
      <c r="D2214" s="9">
        <v>12</v>
      </c>
      <c r="E2214" s="9" t="s">
        <v>1804</v>
      </c>
      <c r="F2214" t="s">
        <v>554</v>
      </c>
      <c r="G2214" t="s">
        <v>434</v>
      </c>
      <c r="H2214" t="s">
        <v>1407</v>
      </c>
    </row>
    <row r="2215" spans="1:8" outlineLevel="2" x14ac:dyDescent="0.3">
      <c r="A2215" s="6">
        <v>28</v>
      </c>
      <c r="B2215" t="s">
        <v>529</v>
      </c>
      <c r="C2215" s="9" t="s">
        <v>932</v>
      </c>
      <c r="D2215" s="9">
        <v>18</v>
      </c>
      <c r="E2215" s="9" t="s">
        <v>1804</v>
      </c>
      <c r="F2215" t="s">
        <v>555</v>
      </c>
      <c r="G2215" t="s">
        <v>434</v>
      </c>
      <c r="H2215" t="s">
        <v>1408</v>
      </c>
    </row>
    <row r="2216" spans="1:8" outlineLevel="2" x14ac:dyDescent="0.3">
      <c r="A2216" s="6">
        <v>28</v>
      </c>
      <c r="B2216" t="s">
        <v>529</v>
      </c>
      <c r="C2216" s="9" t="s">
        <v>932</v>
      </c>
      <c r="D2216" s="9">
        <v>35</v>
      </c>
      <c r="E2216" s="9" t="s">
        <v>1804</v>
      </c>
      <c r="F2216" t="s">
        <v>46</v>
      </c>
      <c r="G2216" t="s">
        <v>47</v>
      </c>
      <c r="H2216" t="s">
        <v>1409</v>
      </c>
    </row>
    <row r="2217" spans="1:8" outlineLevel="2" x14ac:dyDescent="0.3">
      <c r="A2217" s="6">
        <v>28</v>
      </c>
      <c r="B2217" t="s">
        <v>529</v>
      </c>
      <c r="C2217" s="9" t="s">
        <v>932</v>
      </c>
      <c r="D2217" s="9">
        <v>12</v>
      </c>
      <c r="E2217" s="9" t="s">
        <v>1804</v>
      </c>
      <c r="F2217" t="s">
        <v>49</v>
      </c>
      <c r="G2217" t="s">
        <v>47</v>
      </c>
      <c r="H2217" t="s">
        <v>1410</v>
      </c>
    </row>
    <row r="2218" spans="1:8" outlineLevel="2" x14ac:dyDescent="0.3">
      <c r="A2218" s="6">
        <v>28</v>
      </c>
      <c r="B2218" t="s">
        <v>529</v>
      </c>
      <c r="C2218" s="9" t="s">
        <v>932</v>
      </c>
      <c r="D2218" s="9">
        <v>18</v>
      </c>
      <c r="E2218" s="9" t="s">
        <v>1804</v>
      </c>
      <c r="F2218" t="s">
        <v>155</v>
      </c>
      <c r="G2218" t="s">
        <v>118</v>
      </c>
      <c r="H2218" t="s">
        <v>1415</v>
      </c>
    </row>
    <row r="2219" spans="1:8" outlineLevel="2" x14ac:dyDescent="0.3">
      <c r="A2219" s="6">
        <v>28</v>
      </c>
      <c r="B2219" t="s">
        <v>529</v>
      </c>
      <c r="C2219" s="9" t="s">
        <v>932</v>
      </c>
      <c r="D2219" s="9">
        <v>12</v>
      </c>
      <c r="E2219" s="9" t="s">
        <v>1804</v>
      </c>
      <c r="F2219" t="s">
        <v>50</v>
      </c>
      <c r="G2219" t="s">
        <v>51</v>
      </c>
      <c r="H2219" t="s">
        <v>1598</v>
      </c>
    </row>
    <row r="2220" spans="1:8" outlineLevel="2" x14ac:dyDescent="0.3">
      <c r="A2220" s="6">
        <v>28</v>
      </c>
      <c r="B2220" t="s">
        <v>529</v>
      </c>
      <c r="C2220" s="9" t="s">
        <v>932</v>
      </c>
      <c r="D2220" s="9">
        <v>31</v>
      </c>
      <c r="E2220" s="9" t="s">
        <v>1804</v>
      </c>
      <c r="F2220" t="s">
        <v>556</v>
      </c>
      <c r="G2220" t="s">
        <v>54</v>
      </c>
      <c r="H2220" t="s">
        <v>1601</v>
      </c>
    </row>
    <row r="2221" spans="1:8" outlineLevel="2" x14ac:dyDescent="0.3">
      <c r="A2221" s="6">
        <v>28</v>
      </c>
      <c r="B2221" t="s">
        <v>529</v>
      </c>
      <c r="C2221" s="9" t="s">
        <v>932</v>
      </c>
      <c r="D2221" s="9">
        <v>14</v>
      </c>
      <c r="E2221" s="9" t="s">
        <v>1804</v>
      </c>
      <c r="F2221" t="s">
        <v>557</v>
      </c>
      <c r="G2221" t="s">
        <v>54</v>
      </c>
      <c r="H2221" t="s">
        <v>1602</v>
      </c>
    </row>
    <row r="2222" spans="1:8" outlineLevel="2" x14ac:dyDescent="0.3">
      <c r="A2222" s="6">
        <v>28</v>
      </c>
      <c r="B2222" t="s">
        <v>529</v>
      </c>
      <c r="C2222" s="9" t="s">
        <v>932</v>
      </c>
      <c r="D2222" s="9">
        <v>12</v>
      </c>
      <c r="E2222" s="9" t="s">
        <v>1804</v>
      </c>
      <c r="F2222" t="s">
        <v>558</v>
      </c>
      <c r="G2222" t="s">
        <v>559</v>
      </c>
      <c r="H2222" t="s">
        <v>1610</v>
      </c>
    </row>
    <row r="2223" spans="1:8" outlineLevel="2" x14ac:dyDescent="0.3">
      <c r="A2223" s="6">
        <v>28</v>
      </c>
      <c r="B2223" t="s">
        <v>529</v>
      </c>
      <c r="C2223" s="9" t="s">
        <v>932</v>
      </c>
      <c r="D2223" s="9">
        <v>12</v>
      </c>
      <c r="E2223" s="9" t="s">
        <v>1804</v>
      </c>
      <c r="F2223" t="s">
        <v>561</v>
      </c>
      <c r="G2223" t="s">
        <v>562</v>
      </c>
      <c r="H2223" t="s">
        <v>1622</v>
      </c>
    </row>
    <row r="2224" spans="1:8" outlineLevel="2" x14ac:dyDescent="0.3">
      <c r="A2224" s="6">
        <v>28</v>
      </c>
      <c r="B2224" t="s">
        <v>529</v>
      </c>
      <c r="C2224" s="9" t="s">
        <v>932</v>
      </c>
      <c r="D2224" s="9">
        <v>18</v>
      </c>
      <c r="E2224" s="9" t="s">
        <v>1804</v>
      </c>
      <c r="F2224" t="s">
        <v>564</v>
      </c>
      <c r="G2224" t="s">
        <v>359</v>
      </c>
      <c r="H2224" t="s">
        <v>983</v>
      </c>
    </row>
    <row r="2225" spans="1:8" outlineLevel="2" x14ac:dyDescent="0.3">
      <c r="A2225" s="6">
        <v>28</v>
      </c>
      <c r="B2225" t="s">
        <v>529</v>
      </c>
      <c r="C2225" s="9" t="s">
        <v>932</v>
      </c>
      <c r="D2225" s="9">
        <v>22</v>
      </c>
      <c r="E2225" s="9" t="s">
        <v>1804</v>
      </c>
      <c r="F2225" t="s">
        <v>259</v>
      </c>
      <c r="G2225" t="s">
        <v>260</v>
      </c>
      <c r="H2225" t="s">
        <v>986</v>
      </c>
    </row>
    <row r="2226" spans="1:8" outlineLevel="2" x14ac:dyDescent="0.3">
      <c r="A2226" s="6">
        <v>28</v>
      </c>
      <c r="B2226" t="s">
        <v>529</v>
      </c>
      <c r="C2226" s="9" t="s">
        <v>932</v>
      </c>
      <c r="D2226" s="9">
        <v>14</v>
      </c>
      <c r="E2226" s="9" t="s">
        <v>1804</v>
      </c>
      <c r="F2226" t="s">
        <v>262</v>
      </c>
      <c r="G2226" t="s">
        <v>263</v>
      </c>
      <c r="H2226" t="s">
        <v>989</v>
      </c>
    </row>
    <row r="2227" spans="1:8" outlineLevel="2" x14ac:dyDescent="0.3">
      <c r="A2227" s="6">
        <v>28</v>
      </c>
      <c r="B2227" t="s">
        <v>529</v>
      </c>
      <c r="C2227" s="9" t="s">
        <v>932</v>
      </c>
      <c r="D2227" s="9">
        <v>19</v>
      </c>
      <c r="E2227" s="9" t="s">
        <v>1804</v>
      </c>
      <c r="F2227" t="s">
        <v>265</v>
      </c>
      <c r="G2227" t="s">
        <v>266</v>
      </c>
      <c r="H2227" t="s">
        <v>1337</v>
      </c>
    </row>
    <row r="2228" spans="1:8" outlineLevel="2" x14ac:dyDescent="0.3">
      <c r="A2228" s="6">
        <v>28</v>
      </c>
      <c r="B2228" t="s">
        <v>529</v>
      </c>
      <c r="C2228" s="9" t="s">
        <v>932</v>
      </c>
      <c r="D2228" s="9">
        <v>15</v>
      </c>
      <c r="E2228" s="9" t="s">
        <v>1804</v>
      </c>
      <c r="F2228" t="s">
        <v>565</v>
      </c>
      <c r="G2228" t="s">
        <v>60</v>
      </c>
      <c r="H2228" t="s">
        <v>1077</v>
      </c>
    </row>
    <row r="2229" spans="1:8" outlineLevel="2" x14ac:dyDescent="0.3">
      <c r="A2229" s="6">
        <v>28</v>
      </c>
      <c r="B2229" t="s">
        <v>529</v>
      </c>
      <c r="C2229" s="9" t="s">
        <v>932</v>
      </c>
      <c r="D2229" s="9">
        <v>15</v>
      </c>
      <c r="E2229" s="9" t="s">
        <v>1804</v>
      </c>
      <c r="F2229" t="s">
        <v>59</v>
      </c>
      <c r="G2229" t="s">
        <v>60</v>
      </c>
      <c r="H2229" t="s">
        <v>1078</v>
      </c>
    </row>
    <row r="2230" spans="1:8" outlineLevel="2" x14ac:dyDescent="0.3">
      <c r="A2230" s="6">
        <v>28</v>
      </c>
      <c r="B2230" t="s">
        <v>529</v>
      </c>
      <c r="C2230" s="9" t="s">
        <v>932</v>
      </c>
      <c r="D2230" s="9">
        <v>24</v>
      </c>
      <c r="E2230" s="9" t="s">
        <v>1804</v>
      </c>
      <c r="F2230" t="s">
        <v>566</v>
      </c>
      <c r="G2230" t="s">
        <v>60</v>
      </c>
      <c r="H2230" t="s">
        <v>1081</v>
      </c>
    </row>
    <row r="2231" spans="1:8" outlineLevel="2" x14ac:dyDescent="0.3">
      <c r="A2231" s="6">
        <v>28</v>
      </c>
      <c r="B2231" t="s">
        <v>529</v>
      </c>
      <c r="C2231" s="9" t="s">
        <v>932</v>
      </c>
      <c r="D2231" s="9">
        <v>17</v>
      </c>
      <c r="E2231" s="9" t="s">
        <v>1804</v>
      </c>
      <c r="F2231" t="s">
        <v>307</v>
      </c>
      <c r="G2231" t="s">
        <v>122</v>
      </c>
      <c r="H2231" t="s">
        <v>1098</v>
      </c>
    </row>
    <row r="2232" spans="1:8" outlineLevel="2" x14ac:dyDescent="0.3">
      <c r="A2232" s="6">
        <v>28</v>
      </c>
      <c r="B2232" t="s">
        <v>529</v>
      </c>
      <c r="C2232" s="9" t="s">
        <v>932</v>
      </c>
      <c r="D2232" s="9">
        <v>24</v>
      </c>
      <c r="E2232" s="9" t="s">
        <v>1804</v>
      </c>
      <c r="F2232" t="s">
        <v>567</v>
      </c>
      <c r="G2232" t="s">
        <v>63</v>
      </c>
      <c r="H2232" t="s">
        <v>1099</v>
      </c>
    </row>
    <row r="2233" spans="1:8" outlineLevel="2" x14ac:dyDescent="0.3">
      <c r="A2233" s="6">
        <v>28</v>
      </c>
      <c r="B2233" t="s">
        <v>529</v>
      </c>
      <c r="C2233" s="9" t="s">
        <v>932</v>
      </c>
      <c r="D2233" s="9">
        <v>15</v>
      </c>
      <c r="E2233" s="9" t="s">
        <v>1804</v>
      </c>
      <c r="F2233" t="s">
        <v>62</v>
      </c>
      <c r="G2233" t="s">
        <v>63</v>
      </c>
      <c r="H2233" t="s">
        <v>1103</v>
      </c>
    </row>
    <row r="2234" spans="1:8" outlineLevel="2" x14ac:dyDescent="0.3">
      <c r="A2234" s="6">
        <v>28</v>
      </c>
      <c r="B2234" t="s">
        <v>529</v>
      </c>
      <c r="C2234" s="9" t="s">
        <v>932</v>
      </c>
      <c r="D2234" s="9">
        <v>24</v>
      </c>
      <c r="E2234" s="9" t="s">
        <v>1804</v>
      </c>
      <c r="F2234" t="s">
        <v>568</v>
      </c>
      <c r="G2234" t="s">
        <v>479</v>
      </c>
      <c r="H2234" t="s">
        <v>1111</v>
      </c>
    </row>
    <row r="2235" spans="1:8" outlineLevel="2" x14ac:dyDescent="0.3">
      <c r="A2235" s="6">
        <v>28</v>
      </c>
      <c r="B2235" t="s">
        <v>529</v>
      </c>
      <c r="C2235" s="9" t="s">
        <v>932</v>
      </c>
      <c r="D2235" s="9">
        <v>12</v>
      </c>
      <c r="E2235" s="9" t="s">
        <v>1804</v>
      </c>
      <c r="F2235" t="s">
        <v>569</v>
      </c>
      <c r="G2235" t="s">
        <v>479</v>
      </c>
      <c r="H2235" t="s">
        <v>1112</v>
      </c>
    </row>
    <row r="2236" spans="1:8" outlineLevel="2" x14ac:dyDescent="0.3">
      <c r="A2236" s="6">
        <v>28</v>
      </c>
      <c r="B2236" t="s">
        <v>529</v>
      </c>
      <c r="C2236" s="9" t="s">
        <v>932</v>
      </c>
      <c r="D2236" s="9">
        <v>9</v>
      </c>
      <c r="E2236" s="9" t="s">
        <v>1804</v>
      </c>
      <c r="F2236" t="s">
        <v>570</v>
      </c>
      <c r="G2236" t="s">
        <v>368</v>
      </c>
      <c r="H2236" t="s">
        <v>1681</v>
      </c>
    </row>
    <row r="2237" spans="1:8" outlineLevel="2" x14ac:dyDescent="0.3">
      <c r="A2237" s="6">
        <v>28</v>
      </c>
      <c r="B2237" t="s">
        <v>529</v>
      </c>
      <c r="C2237" s="9" t="s">
        <v>932</v>
      </c>
      <c r="D2237" s="9">
        <v>18</v>
      </c>
      <c r="E2237" s="9" t="s">
        <v>1804</v>
      </c>
      <c r="F2237" t="s">
        <v>571</v>
      </c>
      <c r="G2237" t="s">
        <v>572</v>
      </c>
      <c r="H2237" t="s">
        <v>1019</v>
      </c>
    </row>
    <row r="2238" spans="1:8" outlineLevel="2" x14ac:dyDescent="0.3">
      <c r="A2238" s="6">
        <v>28</v>
      </c>
      <c r="B2238" t="s">
        <v>529</v>
      </c>
      <c r="C2238" s="9" t="s">
        <v>1807</v>
      </c>
      <c r="D2238" s="9">
        <v>420</v>
      </c>
      <c r="E2238" s="9" t="s">
        <v>1808</v>
      </c>
      <c r="F2238" t="s">
        <v>68</v>
      </c>
      <c r="G2238" t="s">
        <v>69</v>
      </c>
      <c r="H2238" t="s">
        <v>1551</v>
      </c>
    </row>
    <row r="2239" spans="1:8" outlineLevel="2" x14ac:dyDescent="0.3">
      <c r="A2239" s="6">
        <v>28</v>
      </c>
      <c r="B2239" t="s">
        <v>529</v>
      </c>
      <c r="C2239" s="9" t="s">
        <v>932</v>
      </c>
      <c r="D2239" s="9">
        <v>24</v>
      </c>
      <c r="E2239" s="9" t="s">
        <v>1804</v>
      </c>
      <c r="F2239" t="s">
        <v>316</v>
      </c>
      <c r="G2239" t="s">
        <v>129</v>
      </c>
      <c r="H2239" t="s">
        <v>1562</v>
      </c>
    </row>
    <row r="2240" spans="1:8" outlineLevel="2" x14ac:dyDescent="0.3">
      <c r="A2240" s="6">
        <v>28</v>
      </c>
      <c r="B2240" t="s">
        <v>529</v>
      </c>
      <c r="C2240" s="9" t="s">
        <v>932</v>
      </c>
      <c r="D2240" s="9">
        <v>9</v>
      </c>
      <c r="E2240" s="9" t="s">
        <v>1804</v>
      </c>
      <c r="F2240" t="s">
        <v>574</v>
      </c>
      <c r="G2240" t="s">
        <v>129</v>
      </c>
      <c r="H2240" t="s">
        <v>1563</v>
      </c>
    </row>
    <row r="2241" spans="1:8" outlineLevel="2" x14ac:dyDescent="0.3">
      <c r="A2241" s="6">
        <v>28</v>
      </c>
      <c r="B2241" t="s">
        <v>529</v>
      </c>
      <c r="C2241" s="9" t="s">
        <v>1807</v>
      </c>
      <c r="D2241" s="9">
        <v>770</v>
      </c>
      <c r="E2241" s="9" t="s">
        <v>1808</v>
      </c>
      <c r="F2241" t="s">
        <v>71</v>
      </c>
      <c r="G2241" t="s">
        <v>72</v>
      </c>
      <c r="H2241" t="s">
        <v>1565</v>
      </c>
    </row>
    <row r="2242" spans="1:8" outlineLevel="2" x14ac:dyDescent="0.3">
      <c r="A2242" s="6">
        <v>28</v>
      </c>
      <c r="B2242" t="s">
        <v>529</v>
      </c>
      <c r="C2242" s="9" t="s">
        <v>1807</v>
      </c>
      <c r="D2242" s="9">
        <v>518</v>
      </c>
      <c r="E2242" s="9" t="s">
        <v>1808</v>
      </c>
      <c r="F2242" t="s">
        <v>74</v>
      </c>
      <c r="G2242" t="s">
        <v>72</v>
      </c>
      <c r="H2242" t="s">
        <v>1566</v>
      </c>
    </row>
    <row r="2243" spans="1:8" outlineLevel="2" x14ac:dyDescent="0.3">
      <c r="A2243" s="6">
        <v>28</v>
      </c>
      <c r="B2243" t="s">
        <v>529</v>
      </c>
      <c r="C2243" s="9" t="s">
        <v>932</v>
      </c>
      <c r="D2243" s="9">
        <v>15</v>
      </c>
      <c r="E2243" s="9" t="s">
        <v>1804</v>
      </c>
      <c r="F2243" t="s">
        <v>575</v>
      </c>
      <c r="G2243" t="s">
        <v>576</v>
      </c>
      <c r="H2243" t="s">
        <v>1574</v>
      </c>
    </row>
    <row r="2244" spans="1:8" outlineLevel="2" x14ac:dyDescent="0.3">
      <c r="A2244" s="6">
        <v>28</v>
      </c>
      <c r="B2244" t="s">
        <v>529</v>
      </c>
      <c r="C2244" s="9" t="s">
        <v>932</v>
      </c>
      <c r="D2244" s="9">
        <v>12</v>
      </c>
      <c r="E2244" s="9" t="s">
        <v>1804</v>
      </c>
      <c r="F2244" t="s">
        <v>578</v>
      </c>
      <c r="G2244" t="s">
        <v>376</v>
      </c>
      <c r="H2244" t="s">
        <v>1577</v>
      </c>
    </row>
    <row r="2245" spans="1:8" outlineLevel="2" x14ac:dyDescent="0.3">
      <c r="A2245" s="6">
        <v>28</v>
      </c>
      <c r="B2245" t="s">
        <v>529</v>
      </c>
      <c r="C2245" s="9" t="s">
        <v>1807</v>
      </c>
      <c r="D2245" s="9">
        <v>398</v>
      </c>
      <c r="E2245" s="9" t="s">
        <v>1808</v>
      </c>
      <c r="F2245" t="s">
        <v>318</v>
      </c>
      <c r="G2245" t="s">
        <v>76</v>
      </c>
      <c r="H2245" t="s">
        <v>1578</v>
      </c>
    </row>
    <row r="2246" spans="1:8" outlineLevel="2" x14ac:dyDescent="0.3">
      <c r="A2246" s="6">
        <v>28</v>
      </c>
      <c r="B2246" t="s">
        <v>529</v>
      </c>
      <c r="C2246" s="9" t="s">
        <v>1807</v>
      </c>
      <c r="D2246" s="9">
        <v>698</v>
      </c>
      <c r="E2246" s="9" t="s">
        <v>1808</v>
      </c>
      <c r="F2246" t="s">
        <v>485</v>
      </c>
      <c r="G2246" t="s">
        <v>76</v>
      </c>
      <c r="H2246" t="s">
        <v>1579</v>
      </c>
    </row>
    <row r="2247" spans="1:8" outlineLevel="2" x14ac:dyDescent="0.3">
      <c r="A2247" s="6">
        <v>28</v>
      </c>
      <c r="B2247" t="s">
        <v>529</v>
      </c>
      <c r="C2247" s="9" t="s">
        <v>963</v>
      </c>
      <c r="D2247" s="9">
        <v>60</v>
      </c>
      <c r="E2247" s="9" t="s">
        <v>1804</v>
      </c>
      <c r="F2247" t="s">
        <v>579</v>
      </c>
      <c r="G2247" t="s">
        <v>531</v>
      </c>
      <c r="H2247" t="s">
        <v>967</v>
      </c>
    </row>
    <row r="2248" spans="1:8" outlineLevel="2" x14ac:dyDescent="0.3">
      <c r="A2248" s="6">
        <v>28</v>
      </c>
      <c r="B2248" t="s">
        <v>529</v>
      </c>
      <c r="C2248" s="9" t="s">
        <v>963</v>
      </c>
      <c r="D2248" s="9">
        <v>64</v>
      </c>
      <c r="E2248" s="9" t="s">
        <v>1804</v>
      </c>
      <c r="F2248" t="s">
        <v>166</v>
      </c>
      <c r="G2248" t="s">
        <v>80</v>
      </c>
      <c r="H2248" t="s">
        <v>1416</v>
      </c>
    </row>
    <row r="2249" spans="1:8" outlineLevel="2" x14ac:dyDescent="0.3">
      <c r="A2249" s="6">
        <v>28</v>
      </c>
      <c r="B2249" t="s">
        <v>529</v>
      </c>
      <c r="C2249" s="9" t="s">
        <v>963</v>
      </c>
      <c r="D2249" s="9">
        <v>60</v>
      </c>
      <c r="E2249" s="9" t="s">
        <v>1804</v>
      </c>
      <c r="F2249" t="s">
        <v>79</v>
      </c>
      <c r="G2249" t="s">
        <v>80</v>
      </c>
      <c r="H2249" t="s">
        <v>1416</v>
      </c>
    </row>
    <row r="2250" spans="1:8" outlineLevel="2" x14ac:dyDescent="0.3">
      <c r="A2250" s="6">
        <v>28</v>
      </c>
      <c r="B2250" t="s">
        <v>529</v>
      </c>
      <c r="C2250" s="9" t="s">
        <v>963</v>
      </c>
      <c r="D2250" s="9">
        <v>64</v>
      </c>
      <c r="E2250" s="9" t="s">
        <v>1804</v>
      </c>
      <c r="F2250" t="s">
        <v>580</v>
      </c>
      <c r="G2250" t="s">
        <v>177</v>
      </c>
      <c r="H2250" t="s">
        <v>1385</v>
      </c>
    </row>
    <row r="2251" spans="1:8" outlineLevel="2" x14ac:dyDescent="0.3">
      <c r="A2251" s="6">
        <v>28</v>
      </c>
      <c r="B2251" t="s">
        <v>529</v>
      </c>
      <c r="C2251" s="9" t="s">
        <v>963</v>
      </c>
      <c r="D2251" s="9">
        <v>61</v>
      </c>
      <c r="E2251" s="9" t="s">
        <v>1804</v>
      </c>
      <c r="F2251" t="s">
        <v>324</v>
      </c>
      <c r="G2251" t="s">
        <v>193</v>
      </c>
      <c r="H2251" t="s">
        <v>1339</v>
      </c>
    </row>
    <row r="2252" spans="1:8" outlineLevel="2" x14ac:dyDescent="0.3">
      <c r="A2252" s="6">
        <v>28</v>
      </c>
      <c r="B2252" t="s">
        <v>529</v>
      </c>
      <c r="C2252" s="9" t="s">
        <v>963</v>
      </c>
      <c r="D2252" s="9">
        <v>88</v>
      </c>
      <c r="E2252" s="9" t="s">
        <v>1804</v>
      </c>
      <c r="F2252" t="s">
        <v>84</v>
      </c>
      <c r="G2252" t="s">
        <v>85</v>
      </c>
      <c r="H2252" t="s">
        <v>1342</v>
      </c>
    </row>
    <row r="2253" spans="1:8" outlineLevel="2" x14ac:dyDescent="0.3">
      <c r="A2253" s="6">
        <v>28</v>
      </c>
      <c r="B2253" t="s">
        <v>529</v>
      </c>
      <c r="C2253" s="9" t="s">
        <v>963</v>
      </c>
      <c r="D2253" s="9">
        <v>70</v>
      </c>
      <c r="E2253" s="9" t="s">
        <v>1804</v>
      </c>
      <c r="F2253" t="s">
        <v>325</v>
      </c>
      <c r="G2253" t="s">
        <v>196</v>
      </c>
      <c r="H2253" t="s">
        <v>1344</v>
      </c>
    </row>
    <row r="2254" spans="1:8" outlineLevel="2" x14ac:dyDescent="0.3">
      <c r="A2254" s="6">
        <v>28</v>
      </c>
      <c r="B2254" t="s">
        <v>529</v>
      </c>
      <c r="C2254" s="9" t="s">
        <v>963</v>
      </c>
      <c r="D2254" s="9">
        <v>77</v>
      </c>
      <c r="E2254" s="9" t="s">
        <v>1804</v>
      </c>
      <c r="F2254" t="s">
        <v>328</v>
      </c>
      <c r="G2254" t="s">
        <v>329</v>
      </c>
      <c r="H2254" t="s">
        <v>1350</v>
      </c>
    </row>
    <row r="2255" spans="1:8" outlineLevel="2" x14ac:dyDescent="0.3">
      <c r="A2255" s="6">
        <v>28</v>
      </c>
      <c r="B2255" t="s">
        <v>529</v>
      </c>
      <c r="C2255" s="9" t="s">
        <v>963</v>
      </c>
      <c r="D2255" s="9">
        <v>73</v>
      </c>
      <c r="E2255" s="9" t="s">
        <v>1804</v>
      </c>
      <c r="F2255" t="s">
        <v>90</v>
      </c>
      <c r="G2255" t="s">
        <v>15</v>
      </c>
      <c r="H2255" t="s">
        <v>1351</v>
      </c>
    </row>
    <row r="2256" spans="1:8" outlineLevel="2" x14ac:dyDescent="0.3">
      <c r="A2256" s="6">
        <v>28</v>
      </c>
      <c r="B2256" t="s">
        <v>529</v>
      </c>
      <c r="C2256" s="9" t="s">
        <v>963</v>
      </c>
      <c r="D2256" s="9">
        <v>77</v>
      </c>
      <c r="E2256" s="9" t="s">
        <v>1804</v>
      </c>
      <c r="F2256" t="s">
        <v>91</v>
      </c>
      <c r="G2256" t="s">
        <v>92</v>
      </c>
      <c r="H2256" t="s">
        <v>1353</v>
      </c>
    </row>
    <row r="2257" spans="1:8" outlineLevel="2" x14ac:dyDescent="0.3">
      <c r="A2257" s="6">
        <v>28</v>
      </c>
      <c r="B2257" t="s">
        <v>529</v>
      </c>
      <c r="C2257" s="9" t="s">
        <v>963</v>
      </c>
      <c r="D2257" s="9">
        <v>76</v>
      </c>
      <c r="E2257" s="9" t="s">
        <v>1804</v>
      </c>
      <c r="F2257" t="s">
        <v>94</v>
      </c>
      <c r="G2257" t="s">
        <v>95</v>
      </c>
      <c r="H2257" t="s">
        <v>1355</v>
      </c>
    </row>
    <row r="2258" spans="1:8" outlineLevel="2" x14ac:dyDescent="0.3">
      <c r="A2258" s="6">
        <v>28</v>
      </c>
      <c r="B2258" t="s">
        <v>529</v>
      </c>
      <c r="C2258" s="9" t="s">
        <v>963</v>
      </c>
      <c r="D2258" s="9">
        <v>77</v>
      </c>
      <c r="E2258" s="9" t="s">
        <v>1804</v>
      </c>
      <c r="F2258" t="s">
        <v>98</v>
      </c>
      <c r="G2258" t="s">
        <v>99</v>
      </c>
      <c r="H2258" t="s">
        <v>1357</v>
      </c>
    </row>
    <row r="2259" spans="1:8" outlineLevel="2" x14ac:dyDescent="0.3">
      <c r="A2259" s="6">
        <v>28</v>
      </c>
      <c r="B2259" t="s">
        <v>529</v>
      </c>
      <c r="C2259" s="9" t="s">
        <v>963</v>
      </c>
      <c r="D2259" s="9">
        <v>72</v>
      </c>
      <c r="E2259" s="9" t="s">
        <v>1804</v>
      </c>
      <c r="F2259" t="s">
        <v>101</v>
      </c>
      <c r="G2259" t="s">
        <v>102</v>
      </c>
      <c r="H2259" t="s">
        <v>1365</v>
      </c>
    </row>
    <row r="2260" spans="1:8" outlineLevel="2" x14ac:dyDescent="0.3">
      <c r="A2260" s="6">
        <v>28</v>
      </c>
      <c r="B2260" t="s">
        <v>529</v>
      </c>
      <c r="C2260" s="9" t="s">
        <v>963</v>
      </c>
      <c r="D2260" s="9">
        <v>60</v>
      </c>
      <c r="E2260" s="9" t="s">
        <v>1804</v>
      </c>
      <c r="F2260" t="s">
        <v>167</v>
      </c>
      <c r="G2260" t="s">
        <v>168</v>
      </c>
      <c r="H2260" t="s">
        <v>1533</v>
      </c>
    </row>
    <row r="2261" spans="1:8" outlineLevel="2" x14ac:dyDescent="0.3">
      <c r="A2261" s="6">
        <v>28</v>
      </c>
      <c r="B2261" t="s">
        <v>529</v>
      </c>
      <c r="C2261" s="9" t="s">
        <v>963</v>
      </c>
      <c r="D2261" s="9">
        <v>60</v>
      </c>
      <c r="E2261" s="9" t="s">
        <v>1804</v>
      </c>
      <c r="F2261" t="s">
        <v>170</v>
      </c>
      <c r="G2261" t="s">
        <v>171</v>
      </c>
      <c r="H2261" t="s">
        <v>1535</v>
      </c>
    </row>
    <row r="2262" spans="1:8" outlineLevel="2" x14ac:dyDescent="0.3">
      <c r="A2262" s="6">
        <v>28</v>
      </c>
      <c r="B2262" t="s">
        <v>529</v>
      </c>
      <c r="C2262" s="9" t="s">
        <v>963</v>
      </c>
      <c r="D2262" s="9">
        <v>60</v>
      </c>
      <c r="E2262" s="9" t="s">
        <v>1804</v>
      </c>
      <c r="F2262" t="s">
        <v>106</v>
      </c>
      <c r="G2262" t="s">
        <v>32</v>
      </c>
      <c r="H2262" t="s">
        <v>1537</v>
      </c>
    </row>
    <row r="2263" spans="1:8" outlineLevel="2" x14ac:dyDescent="0.3">
      <c r="A2263" s="6">
        <v>28</v>
      </c>
      <c r="B2263" t="s">
        <v>529</v>
      </c>
      <c r="C2263" s="9" t="s">
        <v>963</v>
      </c>
      <c r="D2263" s="9">
        <v>60</v>
      </c>
      <c r="E2263" s="9" t="s">
        <v>1804</v>
      </c>
      <c r="F2263" t="s">
        <v>107</v>
      </c>
      <c r="G2263" t="s">
        <v>108</v>
      </c>
      <c r="H2263" t="s">
        <v>1140</v>
      </c>
    </row>
    <row r="2264" spans="1:8" outlineLevel="2" x14ac:dyDescent="0.3">
      <c r="A2264" s="6">
        <v>28</v>
      </c>
      <c r="B2264" t="s">
        <v>529</v>
      </c>
      <c r="C2264" s="9" t="s">
        <v>963</v>
      </c>
      <c r="D2264" s="9">
        <v>60</v>
      </c>
      <c r="E2264" s="9" t="s">
        <v>1804</v>
      </c>
      <c r="F2264" t="s">
        <v>351</v>
      </c>
      <c r="G2264" t="s">
        <v>38</v>
      </c>
      <c r="H2264" t="s">
        <v>1142</v>
      </c>
    </row>
    <row r="2265" spans="1:8" outlineLevel="2" x14ac:dyDescent="0.3">
      <c r="A2265" s="6">
        <v>28</v>
      </c>
      <c r="B2265" t="s">
        <v>529</v>
      </c>
      <c r="C2265" s="9" t="s">
        <v>963</v>
      </c>
      <c r="D2265" s="9">
        <v>60</v>
      </c>
      <c r="E2265" s="9" t="s">
        <v>1804</v>
      </c>
      <c r="F2265" t="s">
        <v>528</v>
      </c>
      <c r="G2265" t="s">
        <v>38</v>
      </c>
      <c r="H2265" t="s">
        <v>1143</v>
      </c>
    </row>
    <row r="2266" spans="1:8" outlineLevel="2" x14ac:dyDescent="0.3">
      <c r="A2266" s="6">
        <v>28</v>
      </c>
      <c r="B2266" t="s">
        <v>529</v>
      </c>
      <c r="C2266" s="9" t="s">
        <v>963</v>
      </c>
      <c r="D2266" s="9">
        <v>60</v>
      </c>
      <c r="E2266" s="9" t="s">
        <v>1804</v>
      </c>
      <c r="F2266" t="s">
        <v>110</v>
      </c>
      <c r="G2266" t="s">
        <v>41</v>
      </c>
      <c r="H2266" t="s">
        <v>1144</v>
      </c>
    </row>
    <row r="2267" spans="1:8" outlineLevel="2" x14ac:dyDescent="0.3">
      <c r="A2267" s="6">
        <v>28</v>
      </c>
      <c r="B2267" t="s">
        <v>529</v>
      </c>
      <c r="C2267" s="9" t="s">
        <v>963</v>
      </c>
      <c r="D2267" s="9">
        <v>60</v>
      </c>
      <c r="E2267" s="9" t="s">
        <v>1804</v>
      </c>
      <c r="F2267" t="s">
        <v>581</v>
      </c>
      <c r="G2267" t="s">
        <v>180</v>
      </c>
      <c r="H2267" t="s">
        <v>1148</v>
      </c>
    </row>
    <row r="2268" spans="1:8" outlineLevel="2" x14ac:dyDescent="0.3">
      <c r="A2268" s="6">
        <v>28</v>
      </c>
      <c r="B2268" t="s">
        <v>529</v>
      </c>
      <c r="C2268" s="9" t="s">
        <v>963</v>
      </c>
      <c r="D2268" s="9">
        <v>60</v>
      </c>
      <c r="E2268" s="9" t="s">
        <v>1804</v>
      </c>
      <c r="F2268" t="s">
        <v>582</v>
      </c>
      <c r="G2268" t="s">
        <v>548</v>
      </c>
      <c r="H2268" t="s">
        <v>1116</v>
      </c>
    </row>
    <row r="2269" spans="1:8" outlineLevel="2" x14ac:dyDescent="0.3">
      <c r="A2269" s="6">
        <v>28</v>
      </c>
      <c r="B2269" t="s">
        <v>529</v>
      </c>
      <c r="C2269" s="9" t="s">
        <v>963</v>
      </c>
      <c r="D2269" s="9">
        <v>64</v>
      </c>
      <c r="E2269" s="9" t="s">
        <v>1804</v>
      </c>
      <c r="F2269" t="s">
        <v>356</v>
      </c>
      <c r="G2269" t="s">
        <v>115</v>
      </c>
      <c r="H2269" t="s">
        <v>1121</v>
      </c>
    </row>
    <row r="2270" spans="1:8" outlineLevel="2" x14ac:dyDescent="0.3">
      <c r="A2270" s="6">
        <v>28</v>
      </c>
      <c r="B2270" t="s">
        <v>529</v>
      </c>
      <c r="C2270" s="9" t="s">
        <v>963</v>
      </c>
      <c r="D2270" s="9">
        <v>60</v>
      </c>
      <c r="E2270" s="9" t="s">
        <v>1804</v>
      </c>
      <c r="F2270" t="s">
        <v>114</v>
      </c>
      <c r="G2270" t="s">
        <v>115</v>
      </c>
      <c r="H2270" t="s">
        <v>1121</v>
      </c>
    </row>
    <row r="2271" spans="1:8" outlineLevel="2" x14ac:dyDescent="0.3">
      <c r="A2271" s="6">
        <v>28</v>
      </c>
      <c r="B2271" t="s">
        <v>529</v>
      </c>
      <c r="C2271" s="9" t="s">
        <v>963</v>
      </c>
      <c r="D2271" s="9">
        <v>64</v>
      </c>
      <c r="E2271" s="9" t="s">
        <v>1804</v>
      </c>
      <c r="F2271" t="s">
        <v>583</v>
      </c>
      <c r="G2271" t="s">
        <v>238</v>
      </c>
      <c r="H2271" t="s">
        <v>1122</v>
      </c>
    </row>
    <row r="2272" spans="1:8" outlineLevel="2" x14ac:dyDescent="0.3">
      <c r="A2272" s="6">
        <v>28</v>
      </c>
      <c r="B2272" t="s">
        <v>529</v>
      </c>
      <c r="C2272" s="9" t="s">
        <v>963</v>
      </c>
      <c r="D2272" s="9">
        <v>60</v>
      </c>
      <c r="E2272" s="9" t="s">
        <v>1804</v>
      </c>
      <c r="F2272" t="s">
        <v>584</v>
      </c>
      <c r="G2272" t="s">
        <v>434</v>
      </c>
      <c r="H2272" t="s">
        <v>1418</v>
      </c>
    </row>
    <row r="2273" spans="1:8" outlineLevel="2" x14ac:dyDescent="0.3">
      <c r="A2273" s="6">
        <v>28</v>
      </c>
      <c r="B2273" t="s">
        <v>529</v>
      </c>
      <c r="C2273" s="9" t="s">
        <v>963</v>
      </c>
      <c r="D2273" s="9">
        <v>64</v>
      </c>
      <c r="E2273" s="9" t="s">
        <v>1804</v>
      </c>
      <c r="F2273" t="s">
        <v>173</v>
      </c>
      <c r="G2273" t="s">
        <v>118</v>
      </c>
      <c r="H2273" t="s">
        <v>1419</v>
      </c>
    </row>
    <row r="2274" spans="1:8" outlineLevel="2" x14ac:dyDescent="0.3">
      <c r="A2274" s="6">
        <v>28</v>
      </c>
      <c r="B2274" t="s">
        <v>529</v>
      </c>
      <c r="C2274" s="9" t="s">
        <v>963</v>
      </c>
      <c r="D2274" s="9">
        <v>60</v>
      </c>
      <c r="E2274" s="9" t="s">
        <v>1804</v>
      </c>
      <c r="F2274" t="s">
        <v>117</v>
      </c>
      <c r="G2274" t="s">
        <v>118</v>
      </c>
      <c r="H2274" t="s">
        <v>1419</v>
      </c>
    </row>
    <row r="2275" spans="1:8" outlineLevel="2" x14ac:dyDescent="0.3">
      <c r="A2275" s="6">
        <v>28</v>
      </c>
      <c r="B2275" t="s">
        <v>529</v>
      </c>
      <c r="C2275" s="9" t="s">
        <v>963</v>
      </c>
      <c r="D2275" s="9">
        <v>68</v>
      </c>
      <c r="E2275" s="9" t="s">
        <v>1804</v>
      </c>
      <c r="F2275" t="s">
        <v>468</v>
      </c>
      <c r="G2275" t="s">
        <v>54</v>
      </c>
      <c r="H2275" t="s">
        <v>1682</v>
      </c>
    </row>
    <row r="2276" spans="1:8" outlineLevel="2" x14ac:dyDescent="0.3">
      <c r="A2276" s="6">
        <v>28</v>
      </c>
      <c r="B2276" t="s">
        <v>529</v>
      </c>
      <c r="C2276" s="9" t="s">
        <v>963</v>
      </c>
      <c r="D2276" s="9">
        <v>60</v>
      </c>
      <c r="E2276" s="9" t="s">
        <v>1804</v>
      </c>
      <c r="F2276" t="s">
        <v>585</v>
      </c>
      <c r="G2276" t="s">
        <v>54</v>
      </c>
      <c r="H2276" t="s">
        <v>1217</v>
      </c>
    </row>
    <row r="2277" spans="1:8" outlineLevel="2" x14ac:dyDescent="0.3">
      <c r="A2277" s="6">
        <v>28</v>
      </c>
      <c r="B2277" t="s">
        <v>529</v>
      </c>
      <c r="C2277" s="9" t="s">
        <v>963</v>
      </c>
      <c r="D2277" s="9">
        <v>60</v>
      </c>
      <c r="E2277" s="9" t="s">
        <v>1804</v>
      </c>
      <c r="F2277" t="s">
        <v>358</v>
      </c>
      <c r="G2277" t="s">
        <v>359</v>
      </c>
      <c r="H2277" t="s">
        <v>1021</v>
      </c>
    </row>
    <row r="2278" spans="1:8" outlineLevel="2" x14ac:dyDescent="0.3">
      <c r="A2278" s="6">
        <v>28</v>
      </c>
      <c r="B2278" t="s">
        <v>529</v>
      </c>
      <c r="C2278" s="9" t="s">
        <v>963</v>
      </c>
      <c r="D2278" s="9">
        <v>62</v>
      </c>
      <c r="E2278" s="9" t="s">
        <v>1804</v>
      </c>
      <c r="F2278" t="s">
        <v>405</v>
      </c>
      <c r="G2278" t="s">
        <v>260</v>
      </c>
      <c r="H2278" t="s">
        <v>1022</v>
      </c>
    </row>
    <row r="2279" spans="1:8" outlineLevel="2" x14ac:dyDescent="0.3">
      <c r="A2279" s="6">
        <v>28</v>
      </c>
      <c r="B2279" t="s">
        <v>529</v>
      </c>
      <c r="C2279" s="9" t="s">
        <v>963</v>
      </c>
      <c r="D2279" s="9">
        <v>64</v>
      </c>
      <c r="E2279" s="9" t="s">
        <v>1804</v>
      </c>
      <c r="F2279" t="s">
        <v>121</v>
      </c>
      <c r="G2279" t="s">
        <v>122</v>
      </c>
      <c r="H2279" t="s">
        <v>1125</v>
      </c>
    </row>
    <row r="2280" spans="1:8" outlineLevel="2" x14ac:dyDescent="0.3">
      <c r="A2280" s="6">
        <v>28</v>
      </c>
      <c r="B2280" t="s">
        <v>529</v>
      </c>
      <c r="C2280" s="9" t="s">
        <v>963</v>
      </c>
      <c r="D2280" s="9">
        <v>64</v>
      </c>
      <c r="E2280" s="9" t="s">
        <v>1804</v>
      </c>
      <c r="F2280" t="s">
        <v>586</v>
      </c>
      <c r="G2280" t="s">
        <v>63</v>
      </c>
      <c r="H2280" t="s">
        <v>1126</v>
      </c>
    </row>
    <row r="2281" spans="1:8" outlineLevel="2" x14ac:dyDescent="0.3">
      <c r="A2281" s="6">
        <v>28</v>
      </c>
      <c r="B2281" t="s">
        <v>529</v>
      </c>
      <c r="C2281" s="9" t="s">
        <v>963</v>
      </c>
      <c r="D2281" s="9">
        <v>64</v>
      </c>
      <c r="E2281" s="9" t="s">
        <v>1804</v>
      </c>
      <c r="F2281" t="s">
        <v>478</v>
      </c>
      <c r="G2281" t="s">
        <v>479</v>
      </c>
      <c r="H2281" t="s">
        <v>1128</v>
      </c>
    </row>
    <row r="2282" spans="1:8" outlineLevel="2" x14ac:dyDescent="0.3">
      <c r="A2282" s="6">
        <v>28</v>
      </c>
      <c r="B2282" t="s">
        <v>529</v>
      </c>
      <c r="C2282" s="9" t="s">
        <v>963</v>
      </c>
      <c r="D2282" s="9">
        <v>60</v>
      </c>
      <c r="E2282" s="9" t="s">
        <v>1804</v>
      </c>
      <c r="F2282" t="s">
        <v>367</v>
      </c>
      <c r="G2282" t="s">
        <v>368</v>
      </c>
      <c r="H2282" t="s">
        <v>1688</v>
      </c>
    </row>
    <row r="2283" spans="1:8" outlineLevel="2" x14ac:dyDescent="0.3">
      <c r="A2283" s="6">
        <v>28</v>
      </c>
      <c r="B2283" t="s">
        <v>529</v>
      </c>
      <c r="C2283" s="9" t="s">
        <v>963</v>
      </c>
      <c r="D2283" s="9">
        <v>63</v>
      </c>
      <c r="E2283" s="9" t="s">
        <v>1804</v>
      </c>
      <c r="F2283" t="s">
        <v>124</v>
      </c>
      <c r="G2283" t="s">
        <v>572</v>
      </c>
      <c r="H2283" t="s">
        <v>1024</v>
      </c>
    </row>
    <row r="2284" spans="1:8" outlineLevel="2" x14ac:dyDescent="0.3">
      <c r="A2284" s="6">
        <v>28</v>
      </c>
      <c r="B2284" t="s">
        <v>529</v>
      </c>
      <c r="C2284" s="9" t="s">
        <v>963</v>
      </c>
      <c r="D2284" s="9">
        <v>64</v>
      </c>
      <c r="E2284" s="9" t="s">
        <v>1804</v>
      </c>
      <c r="F2284" t="s">
        <v>125</v>
      </c>
      <c r="G2284" t="s">
        <v>126</v>
      </c>
      <c r="H2284" t="s">
        <v>1581</v>
      </c>
    </row>
    <row r="2285" spans="1:8" outlineLevel="2" x14ac:dyDescent="0.3">
      <c r="A2285" s="6">
        <v>28</v>
      </c>
      <c r="B2285" t="s">
        <v>529</v>
      </c>
      <c r="C2285" s="9" t="s">
        <v>963</v>
      </c>
      <c r="D2285" s="9">
        <v>60</v>
      </c>
      <c r="E2285" s="9" t="s">
        <v>1804</v>
      </c>
      <c r="F2285" t="s">
        <v>128</v>
      </c>
      <c r="G2285" t="s">
        <v>129</v>
      </c>
      <c r="H2285" t="s">
        <v>1582</v>
      </c>
    </row>
    <row r="2286" spans="1:8" outlineLevel="2" x14ac:dyDescent="0.3">
      <c r="A2286" s="6">
        <v>28</v>
      </c>
      <c r="B2286" t="s">
        <v>529</v>
      </c>
      <c r="C2286" s="9" t="s">
        <v>963</v>
      </c>
      <c r="D2286" s="9">
        <v>60</v>
      </c>
      <c r="E2286" s="9" t="s">
        <v>1804</v>
      </c>
      <c r="F2286" t="s">
        <v>375</v>
      </c>
      <c r="G2286" t="s">
        <v>376</v>
      </c>
      <c r="H2286" t="s">
        <v>1586</v>
      </c>
    </row>
    <row r="2287" spans="1:8" outlineLevel="1" x14ac:dyDescent="0.3">
      <c r="A2287" s="16" t="s">
        <v>2214</v>
      </c>
      <c r="H2287">
        <f>SUBTOTAL(3,H2166:H2286)</f>
        <v>121</v>
      </c>
    </row>
    <row r="2288" spans="1:8" x14ac:dyDescent="0.3">
      <c r="A2288" s="16" t="s">
        <v>2215</v>
      </c>
      <c r="H2288">
        <f>SUBTOTAL(3,H2:H2286)</f>
        <v>2258</v>
      </c>
    </row>
  </sheetData>
  <autoFilter ref="A1:H228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4"/>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73.2"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15</v>
      </c>
      <c r="B3" s="33" t="s">
        <v>2160</v>
      </c>
      <c r="C3" s="34" t="s">
        <v>807</v>
      </c>
      <c r="D3" s="51" t="s">
        <v>530</v>
      </c>
      <c r="E3" s="61" t="str">
        <f>IFERROR(VLOOKUP(D3,'Master List'!D:H,2,FALSE),"NA")</f>
        <v>010605</v>
      </c>
      <c r="F3" s="62" t="str">
        <f>IFERROR(VLOOKUP(D3,'Master List'!D:H,3,FALSE),"NA")</f>
        <v>010605</v>
      </c>
      <c r="G3" s="58" t="str">
        <f>IFERROR(VLOOKUP(D3,'Master List'!D:H,4,FALSE),"NA")</f>
        <v>010605</v>
      </c>
      <c r="H3" s="39" t="str">
        <f>IFERROR(VLOOKUP(D3,'Master List'!D:H,5,FALSE),"NA")</f>
        <v>Landscaping and Groundskeeping.</v>
      </c>
      <c r="I3" s="19"/>
      <c r="J3" s="20"/>
      <c r="K3" s="20"/>
      <c r="L3" s="21"/>
    </row>
    <row r="4" spans="1:12" x14ac:dyDescent="0.3">
      <c r="A4" s="33">
        <v>15</v>
      </c>
      <c r="B4" s="33" t="s">
        <v>2160</v>
      </c>
      <c r="C4" s="34" t="s">
        <v>807</v>
      </c>
      <c r="D4" s="51" t="s">
        <v>533</v>
      </c>
      <c r="E4" s="61" t="str">
        <f>IFERROR(VLOOKUP(D4,'Master List'!D:H,2,FALSE),"NA")</f>
        <v>010605</v>
      </c>
      <c r="F4" s="62" t="str">
        <f>IFERROR(VLOOKUP(D4,'Master List'!D:H,3,FALSE),"NA")</f>
        <v>010605</v>
      </c>
      <c r="G4" s="58" t="str">
        <f>IFERROR(VLOOKUP(D4,'Master List'!D:H,4,FALSE),"NA")</f>
        <v>010605</v>
      </c>
      <c r="H4" s="39" t="str">
        <f>IFERROR(VLOOKUP(D4,'Master List'!D:H,5,FALSE),"NA")</f>
        <v>Landscaping and Groundskeeping.</v>
      </c>
      <c r="I4" s="19"/>
      <c r="J4" s="20"/>
      <c r="K4" s="20"/>
      <c r="L4" s="21"/>
    </row>
    <row r="5" spans="1:12" x14ac:dyDescent="0.3">
      <c r="A5" s="33">
        <v>15</v>
      </c>
      <c r="B5" s="33" t="s">
        <v>2160</v>
      </c>
      <c r="C5" s="34" t="s">
        <v>807</v>
      </c>
      <c r="D5" s="51" t="s">
        <v>143</v>
      </c>
      <c r="E5" s="61" t="str">
        <f>IFERROR(VLOOKUP(D5,'Master List'!D:H,2,FALSE),"NA")</f>
        <v>520701</v>
      </c>
      <c r="F5" s="62" t="str">
        <f>IFERROR(VLOOKUP(D5,'Master List'!D:H,3,FALSE),"NA")</f>
        <v>520701</v>
      </c>
      <c r="G5" s="58" t="str">
        <f>IFERROR(VLOOKUP(D5,'Master List'!D:H,4,FALSE),"NA")</f>
        <v>520701</v>
      </c>
      <c r="H5" s="39" t="str">
        <f>IFERROR(VLOOKUP(D5,'Master List'!D:H,5,FALSE),"NA")</f>
        <v>Entrepreneurship/Entrepreneurial Studies.</v>
      </c>
      <c r="I5" s="19"/>
      <c r="J5" s="20"/>
      <c r="K5" s="20"/>
      <c r="L5" s="21"/>
    </row>
    <row r="6" spans="1:12" x14ac:dyDescent="0.3">
      <c r="A6" s="33">
        <v>15</v>
      </c>
      <c r="B6" s="33" t="s">
        <v>2160</v>
      </c>
      <c r="C6" s="34" t="s">
        <v>807</v>
      </c>
      <c r="D6" s="51" t="s">
        <v>757</v>
      </c>
      <c r="E6" s="61" t="str">
        <f>IFERROR(VLOOKUP(D6,'Master List'!D:H,2,FALSE),"NA")</f>
        <v>520801</v>
      </c>
      <c r="F6" s="62" t="str">
        <f>IFERROR(VLOOKUP(D6,'Master List'!D:H,3,FALSE),"NA")</f>
        <v>520801</v>
      </c>
      <c r="G6" s="58" t="str">
        <f>IFERROR(VLOOKUP(D6,'Master List'!D:H,4,FALSE),"NA")</f>
        <v>520801</v>
      </c>
      <c r="H6" s="39" t="str">
        <f>IFERROR(VLOOKUP(D6,'Master List'!D:H,5,FALSE),"NA")</f>
        <v>Finance, General.</v>
      </c>
      <c r="I6" s="19"/>
      <c r="J6" s="20"/>
      <c r="K6" s="20"/>
      <c r="L6" s="21"/>
    </row>
    <row r="7" spans="1:12" x14ac:dyDescent="0.3">
      <c r="A7" s="33">
        <v>15</v>
      </c>
      <c r="B7" s="33" t="s">
        <v>2160</v>
      </c>
      <c r="C7" s="34" t="s">
        <v>807</v>
      </c>
      <c r="D7" s="51" t="s">
        <v>381</v>
      </c>
      <c r="E7" s="61" t="str">
        <f>IFERROR(VLOOKUP(D7,'Master List'!D:H,2,FALSE),"NA")</f>
        <v>520803</v>
      </c>
      <c r="F7" s="62" t="str">
        <f>IFERROR(VLOOKUP(D7,'Master List'!D:H,3,FALSE),"NA")</f>
        <v>520803</v>
      </c>
      <c r="G7" s="58" t="str">
        <f>IFERROR(VLOOKUP(D7,'Master List'!D:H,4,FALSE),"NA")</f>
        <v>520803</v>
      </c>
      <c r="H7" s="39" t="str">
        <f>IFERROR(VLOOKUP(D7,'Master List'!D:H,5,FALSE),"NA")</f>
        <v>Banking and Financial Support Services.</v>
      </c>
      <c r="I7" s="19"/>
      <c r="J7" s="20"/>
      <c r="K7" s="20"/>
      <c r="L7" s="21"/>
    </row>
    <row r="8" spans="1:12" x14ac:dyDescent="0.3">
      <c r="A8" s="33">
        <v>15</v>
      </c>
      <c r="B8" s="33" t="s">
        <v>2160</v>
      </c>
      <c r="C8" s="34" t="s">
        <v>807</v>
      </c>
      <c r="D8" s="51" t="s">
        <v>808</v>
      </c>
      <c r="E8" s="61" t="str">
        <f>IFERROR(VLOOKUP(D8,'Master List'!D:H,2,FALSE),"NA")</f>
        <v>520803</v>
      </c>
      <c r="F8" s="62" t="str">
        <f>IFERROR(VLOOKUP(D8,'Master List'!D:H,3,FALSE),"NA")</f>
        <v>520803</v>
      </c>
      <c r="G8" s="58" t="str">
        <f>IFERROR(VLOOKUP(D8,'Master List'!D:H,4,FALSE),"NA")</f>
        <v>520803</v>
      </c>
      <c r="H8" s="39" t="str">
        <f>IFERROR(VLOOKUP(D8,'Master List'!D:H,5,FALSE),"NA")</f>
        <v>Banking and Financial Support Services.</v>
      </c>
      <c r="I8" s="19"/>
      <c r="J8" s="20"/>
      <c r="K8" s="20"/>
      <c r="L8" s="21"/>
    </row>
    <row r="9" spans="1:12" x14ac:dyDescent="0.3">
      <c r="A9" s="33">
        <v>15</v>
      </c>
      <c r="B9" s="33" t="s">
        <v>2160</v>
      </c>
      <c r="C9" s="34" t="s">
        <v>807</v>
      </c>
      <c r="D9" s="51" t="s">
        <v>771</v>
      </c>
      <c r="E9" s="61" t="str">
        <f>IFERROR(VLOOKUP(D9,'Master List'!D:H,2,FALSE),"NA")</f>
        <v>520803</v>
      </c>
      <c r="F9" s="62" t="str">
        <f>IFERROR(VLOOKUP(D9,'Master List'!D:H,3,FALSE),"NA")</f>
        <v>520803</v>
      </c>
      <c r="G9" s="58" t="str">
        <f>IFERROR(VLOOKUP(D9,'Master List'!D:H,4,FALSE),"NA")</f>
        <v>520803</v>
      </c>
      <c r="H9" s="39" t="str">
        <f>IFERROR(VLOOKUP(D9,'Master List'!D:H,5,FALSE),"NA")</f>
        <v>Banking and Financial Support Services.</v>
      </c>
      <c r="I9" s="19"/>
      <c r="J9" s="20"/>
      <c r="K9" s="20"/>
      <c r="L9" s="21"/>
    </row>
    <row r="10" spans="1:12" x14ac:dyDescent="0.3">
      <c r="A10" s="33">
        <v>15</v>
      </c>
      <c r="B10" s="33" t="s">
        <v>2160</v>
      </c>
      <c r="C10" s="34" t="s">
        <v>807</v>
      </c>
      <c r="D10" s="51" t="s">
        <v>150</v>
      </c>
      <c r="E10" s="61" t="str">
        <f>IFERROR(VLOOKUP(D10,'Master List'!D:H,2,FALSE),"NA")</f>
        <v>520904</v>
      </c>
      <c r="F10" s="62" t="str">
        <f>IFERROR(VLOOKUP(D10,'Master List'!D:H,3,FALSE),"NA")</f>
        <v>520904</v>
      </c>
      <c r="G10" s="58" t="str">
        <f>IFERROR(VLOOKUP(D10,'Master List'!D:H,4,FALSE),"NA")</f>
        <v>520904</v>
      </c>
      <c r="H10" s="39" t="str">
        <f>IFERROR(VLOOKUP(D10,'Master List'!D:H,5,FALSE),"NA")</f>
        <v>Hotel/Motel Administration/Management.</v>
      </c>
      <c r="I10" s="19"/>
      <c r="J10" s="20"/>
      <c r="K10" s="20"/>
      <c r="L10" s="21"/>
    </row>
    <row r="11" spans="1:12" x14ac:dyDescent="0.3">
      <c r="A11" s="33">
        <v>15</v>
      </c>
      <c r="B11" s="33" t="s">
        <v>2160</v>
      </c>
      <c r="C11" s="34" t="s">
        <v>807</v>
      </c>
      <c r="D11" s="51" t="s">
        <v>151</v>
      </c>
      <c r="E11" s="61" t="str">
        <f>IFERROR(VLOOKUP(D11,'Master List'!D:H,2,FALSE),"NA")</f>
        <v>520904</v>
      </c>
      <c r="F11" s="62" t="str">
        <f>IFERROR(VLOOKUP(D11,'Master List'!D:H,3,FALSE),"NA")</f>
        <v>520904</v>
      </c>
      <c r="G11" s="58" t="str">
        <f>IFERROR(VLOOKUP(D11,'Master List'!D:H,4,FALSE),"NA")</f>
        <v>520904</v>
      </c>
      <c r="H11" s="39" t="str">
        <f>IFERROR(VLOOKUP(D11,'Master List'!D:H,5,FALSE),"NA")</f>
        <v>Hotel/Motel Administration/Management.</v>
      </c>
      <c r="I11" s="19"/>
      <c r="J11" s="20"/>
      <c r="K11" s="20"/>
      <c r="L11" s="21"/>
    </row>
    <row r="12" spans="1:12" x14ac:dyDescent="0.3">
      <c r="A12" s="33">
        <v>15</v>
      </c>
      <c r="B12" s="33" t="s">
        <v>2160</v>
      </c>
      <c r="C12" s="34" t="s">
        <v>807</v>
      </c>
      <c r="D12" s="51" t="s">
        <v>176</v>
      </c>
      <c r="E12" s="61" t="str">
        <f>IFERROR(VLOOKUP(D12,'Master List'!D:H,2,FALSE),"NA")</f>
        <v>520905</v>
      </c>
      <c r="F12" s="62" t="str">
        <f>IFERROR(VLOOKUP(D12,'Master List'!D:H,3,FALSE),"NA")</f>
        <v>520905</v>
      </c>
      <c r="G12" s="58" t="str">
        <f>IFERROR(VLOOKUP(D12,'Master List'!D:H,4,FALSE),"NA")</f>
        <v>520905</v>
      </c>
      <c r="H12" s="39" t="str">
        <f>IFERROR(VLOOKUP(D12,'Master List'!D:H,5,FALSE),"NA")</f>
        <v>Restaurant/Food Services Management.</v>
      </c>
      <c r="I12" s="19"/>
      <c r="J12" s="20"/>
      <c r="K12" s="20"/>
      <c r="L12" s="21"/>
    </row>
    <row r="13" spans="1:12" x14ac:dyDescent="0.3">
      <c r="A13" s="33">
        <v>15</v>
      </c>
      <c r="B13" s="33" t="s">
        <v>2160</v>
      </c>
      <c r="C13" s="34" t="s">
        <v>807</v>
      </c>
      <c r="D13" s="51" t="s">
        <v>663</v>
      </c>
      <c r="E13" s="61" t="str">
        <f>IFERROR(VLOOKUP(D13,'Master List'!D:H,2,FALSE),"NA")</f>
        <v>520905</v>
      </c>
      <c r="F13" s="62" t="str">
        <f>IFERROR(VLOOKUP(D13,'Master List'!D:H,3,FALSE),"NA")</f>
        <v>520905</v>
      </c>
      <c r="G13" s="58" t="str">
        <f>IFERROR(VLOOKUP(D13,'Master List'!D:H,4,FALSE),"NA")</f>
        <v>520905</v>
      </c>
      <c r="H13" s="39" t="str">
        <f>IFERROR(VLOOKUP(D13,'Master List'!D:H,5,FALSE),"NA")</f>
        <v>Restaurant/Food Services Management.</v>
      </c>
      <c r="I13" s="19"/>
      <c r="J13" s="20"/>
      <c r="K13" s="20"/>
      <c r="L13" s="21"/>
    </row>
    <row r="14" spans="1:12" x14ac:dyDescent="0.3">
      <c r="A14" s="33">
        <v>15</v>
      </c>
      <c r="B14" s="33" t="s">
        <v>2160</v>
      </c>
      <c r="C14" s="34" t="s">
        <v>807</v>
      </c>
      <c r="D14" s="51" t="s">
        <v>535</v>
      </c>
      <c r="E14" s="61" t="str">
        <f>IFERROR(VLOOKUP(D14,'Master List'!D:H,2,FALSE),"NA")</f>
        <v>520905</v>
      </c>
      <c r="F14" s="62" t="str">
        <f>IFERROR(VLOOKUP(D14,'Master List'!D:H,3,FALSE),"NA")</f>
        <v>520905</v>
      </c>
      <c r="G14" s="58" t="str">
        <f>IFERROR(VLOOKUP(D14,'Master List'!D:H,4,FALSE),"NA")</f>
        <v>520905</v>
      </c>
      <c r="H14" s="39" t="str">
        <f>IFERROR(VLOOKUP(D14,'Master List'!D:H,5,FALSE),"NA")</f>
        <v>Restaurant/Food Services Management.</v>
      </c>
      <c r="I14" s="19"/>
      <c r="J14" s="20"/>
      <c r="K14" s="20"/>
      <c r="L14" s="21"/>
    </row>
    <row r="15" spans="1:12" x14ac:dyDescent="0.3">
      <c r="A15" s="33">
        <v>15</v>
      </c>
      <c r="B15" s="33" t="s">
        <v>2160</v>
      </c>
      <c r="C15" s="34" t="s">
        <v>807</v>
      </c>
      <c r="D15" s="51" t="s">
        <v>498</v>
      </c>
      <c r="E15" s="61" t="str">
        <f>IFERROR(VLOOKUP(D15,'Master List'!D:H,2,FALSE),"NA")</f>
        <v>521401</v>
      </c>
      <c r="F15" s="62" t="str">
        <f>IFERROR(VLOOKUP(D15,'Master List'!D:H,3,FALSE),"NA")</f>
        <v>521401</v>
      </c>
      <c r="G15" s="58" t="str">
        <f>IFERROR(VLOOKUP(D15,'Master List'!D:H,4,FALSE),"NA")</f>
        <v>521401</v>
      </c>
      <c r="H15" s="39" t="str">
        <f>IFERROR(VLOOKUP(D15,'Master List'!D:H,5,FALSE),"NA")</f>
        <v>Marketing/Marketing Management, General.</v>
      </c>
      <c r="I15" s="19"/>
      <c r="J15" s="20"/>
      <c r="K15" s="20"/>
      <c r="L15" s="21"/>
    </row>
    <row r="16" spans="1:12" x14ac:dyDescent="0.3">
      <c r="A16" s="33">
        <v>15</v>
      </c>
      <c r="B16" s="33" t="s">
        <v>2160</v>
      </c>
      <c r="C16" s="34" t="s">
        <v>807</v>
      </c>
      <c r="D16" s="51" t="s">
        <v>809</v>
      </c>
      <c r="E16" s="61" t="str">
        <f>IFERROR(VLOOKUP(D16,'Master List'!D:H,2,FALSE),"NA")</f>
        <v>521401</v>
      </c>
      <c r="F16" s="62" t="str">
        <f>IFERROR(VLOOKUP(D16,'Master List'!D:H,3,FALSE),"NA")</f>
        <v>521401</v>
      </c>
      <c r="G16" s="58" t="str">
        <f>IFERROR(VLOOKUP(D16,'Master List'!D:H,4,FALSE),"NA")</f>
        <v>521401</v>
      </c>
      <c r="H16" s="39" t="str">
        <f>IFERROR(VLOOKUP(D16,'Master List'!D:H,5,FALSE),"NA")</f>
        <v>Marketing/Marketing Management, General.</v>
      </c>
      <c r="I16" s="19"/>
      <c r="J16" s="20"/>
      <c r="K16" s="20"/>
      <c r="L16" s="21"/>
    </row>
    <row r="17" spans="1:12" x14ac:dyDescent="0.3">
      <c r="A17" s="33">
        <v>15</v>
      </c>
      <c r="B17" s="33" t="s">
        <v>2160</v>
      </c>
      <c r="C17" s="34" t="s">
        <v>807</v>
      </c>
      <c r="D17" s="51" t="s">
        <v>189</v>
      </c>
      <c r="E17" s="61" t="str">
        <f>IFERROR(VLOOKUP(D17,'Master List'!D:H,2,FALSE),"NA")</f>
        <v>120301</v>
      </c>
      <c r="F17" s="62" t="str">
        <f>IFERROR(VLOOKUP(D17,'Master List'!D:H,3,FALSE),"NA")</f>
        <v>120301</v>
      </c>
      <c r="G17" s="58" t="str">
        <f>IFERROR(VLOOKUP(D17,'Master List'!D:H,4,FALSE),"NA")</f>
        <v>120301</v>
      </c>
      <c r="H17" s="39" t="str">
        <f>IFERROR(VLOOKUP(D17,'Master List'!D:H,5,FALSE),"NA")</f>
        <v>Funeral Service and Mortuary Science, General.</v>
      </c>
      <c r="I17" s="19"/>
      <c r="J17" s="20"/>
      <c r="K17" s="20"/>
      <c r="L17" s="21"/>
    </row>
    <row r="18" spans="1:12" x14ac:dyDescent="0.3">
      <c r="A18" s="33">
        <v>15</v>
      </c>
      <c r="B18" s="33" t="s">
        <v>2160</v>
      </c>
      <c r="C18" s="34" t="s">
        <v>807</v>
      </c>
      <c r="D18" s="51" t="s">
        <v>195</v>
      </c>
      <c r="E18" s="61" t="str">
        <f>IFERROR(VLOOKUP(D18,'Master List'!D:H,2,FALSE),"NA")</f>
        <v>510707</v>
      </c>
      <c r="F18" s="62" t="str">
        <f>IFERROR(VLOOKUP(D18,'Master List'!D:H,3,FALSE),"NA")</f>
        <v>510707</v>
      </c>
      <c r="G18" s="58" t="str">
        <f>IFERROR(VLOOKUP(D18,'Master List'!D:H,4,FALSE),"NA")</f>
        <v>510707</v>
      </c>
      <c r="H18" s="39" t="str">
        <f>IFERROR(VLOOKUP(D18,'Master List'!D:H,5,FALSE),"NA")</f>
        <v>Health Information/Medical Records Technology/Technician.</v>
      </c>
      <c r="I18" s="19"/>
      <c r="J18" s="20"/>
      <c r="K18" s="20"/>
      <c r="L18" s="21"/>
    </row>
    <row r="19" spans="1:12" x14ac:dyDescent="0.3">
      <c r="A19" s="33">
        <v>15</v>
      </c>
      <c r="B19" s="33" t="s">
        <v>2160</v>
      </c>
      <c r="C19" s="34" t="s">
        <v>807</v>
      </c>
      <c r="D19" s="51" t="s">
        <v>802</v>
      </c>
      <c r="E19" s="61" t="str">
        <f>IFERROR(VLOOKUP(D19,'Master List'!D:H,2,FALSE),"NA")</f>
        <v>510707</v>
      </c>
      <c r="F19" s="62" t="str">
        <f>IFERROR(VLOOKUP(D19,'Master List'!D:H,3,FALSE),"NA")</f>
        <v>510707</v>
      </c>
      <c r="G19" s="58">
        <f>IFERROR(VLOOKUP(D19,'Master List'!D:H,4,FALSE),"NA")</f>
        <v>510714</v>
      </c>
      <c r="H19" s="39" t="str">
        <f>IFERROR(VLOOKUP(D19,'Master List'!D:H,5,FALSE),"NA")</f>
        <v>Medical Insurance Specialist/Medical Biller</v>
      </c>
      <c r="I19" s="19"/>
      <c r="J19" s="20"/>
      <c r="K19" s="20"/>
      <c r="L19" s="21"/>
    </row>
    <row r="20" spans="1:12" x14ac:dyDescent="0.3">
      <c r="A20" s="33">
        <v>15</v>
      </c>
      <c r="B20" s="33" t="s">
        <v>2160</v>
      </c>
      <c r="C20" s="34" t="s">
        <v>807</v>
      </c>
      <c r="D20" s="51" t="s">
        <v>199</v>
      </c>
      <c r="E20" s="61" t="str">
        <f>IFERROR(VLOOKUP(D20,'Master List'!D:H,2,FALSE),"NA")</f>
        <v>510801</v>
      </c>
      <c r="F20" s="62" t="str">
        <f>IFERROR(VLOOKUP(D20,'Master List'!D:H,3,FALSE),"NA")</f>
        <v>510801</v>
      </c>
      <c r="G20" s="58" t="str">
        <f>IFERROR(VLOOKUP(D20,'Master List'!D:H,4,FALSE),"NA")</f>
        <v>510801</v>
      </c>
      <c r="H20" s="39" t="str">
        <f>IFERROR(VLOOKUP(D20,'Master List'!D:H,5,FALSE),"NA")</f>
        <v>Medical/Clinical Assistant.</v>
      </c>
      <c r="I20" s="19"/>
      <c r="J20" s="20"/>
      <c r="K20" s="20"/>
      <c r="L20" s="21"/>
    </row>
    <row r="21" spans="1:12" x14ac:dyDescent="0.3">
      <c r="A21" s="33">
        <v>15</v>
      </c>
      <c r="B21" s="33" t="s">
        <v>2160</v>
      </c>
      <c r="C21" s="34" t="s">
        <v>807</v>
      </c>
      <c r="D21" s="51" t="s">
        <v>203</v>
      </c>
      <c r="E21" s="61" t="str">
        <f>IFERROR(VLOOKUP(D21,'Master List'!D:H,2,FALSE),"NA")</f>
        <v>510805</v>
      </c>
      <c r="F21" s="62" t="str">
        <f>IFERROR(VLOOKUP(D21,'Master List'!D:H,3,FALSE),"NA")</f>
        <v>510805</v>
      </c>
      <c r="G21" s="58" t="str">
        <f>IFERROR(VLOOKUP(D21,'Master List'!D:H,4,FALSE),"NA")</f>
        <v>510805</v>
      </c>
      <c r="H21" s="39" t="str">
        <f>IFERROR(VLOOKUP(D21,'Master List'!D:H,5,FALSE),"NA")</f>
        <v>Pharmacy Technician/Assistant.</v>
      </c>
      <c r="I21" s="19"/>
      <c r="J21" s="20"/>
      <c r="K21" s="20"/>
      <c r="L21" s="21"/>
    </row>
    <row r="22" spans="1:12" x14ac:dyDescent="0.3">
      <c r="A22" s="33">
        <v>15</v>
      </c>
      <c r="B22" s="33" t="s">
        <v>2160</v>
      </c>
      <c r="C22" s="34" t="s">
        <v>807</v>
      </c>
      <c r="D22" s="51" t="s">
        <v>14</v>
      </c>
      <c r="E22" s="61" t="str">
        <f>IFERROR(VLOOKUP(D22,'Master List'!D:H,2,FALSE),"NA")</f>
        <v>510904</v>
      </c>
      <c r="F22" s="62" t="str">
        <f>IFERROR(VLOOKUP(D22,'Master List'!D:H,3,FALSE),"NA")</f>
        <v>510904</v>
      </c>
      <c r="G22" s="58" t="str">
        <f>IFERROR(VLOOKUP(D22,'Master List'!D:H,4,FALSE),"NA")</f>
        <v>510904</v>
      </c>
      <c r="H22" s="39" t="str">
        <f>IFERROR(VLOOKUP(D22,'Master List'!D:H,5,FALSE),"NA")</f>
        <v>Emergency Medical Technology/Technician (EMT Paramedic).</v>
      </c>
      <c r="I22" s="19"/>
      <c r="J22" s="20"/>
      <c r="K22" s="20"/>
      <c r="L22" s="21"/>
    </row>
    <row r="23" spans="1:12" x14ac:dyDescent="0.3">
      <c r="A23" s="33">
        <v>15</v>
      </c>
      <c r="B23" s="33" t="s">
        <v>2160</v>
      </c>
      <c r="C23" s="34" t="s">
        <v>807</v>
      </c>
      <c r="D23" s="51" t="s">
        <v>204</v>
      </c>
      <c r="E23" s="61" t="str">
        <f>IFERROR(VLOOKUP(D23,'Master List'!D:H,2,FALSE),"NA")</f>
        <v>510904</v>
      </c>
      <c r="F23" s="62" t="str">
        <f>IFERROR(VLOOKUP(D23,'Master List'!D:H,3,FALSE),"NA")</f>
        <v>510904</v>
      </c>
      <c r="G23" s="58" t="str">
        <f>IFERROR(VLOOKUP(D23,'Master List'!D:H,4,FALSE),"NA")</f>
        <v>510904</v>
      </c>
      <c r="H23" s="39" t="str">
        <f>IFERROR(VLOOKUP(D23,'Master List'!D:H,5,FALSE),"NA")</f>
        <v>Emergency Medical Technology/Technician (EMT Paramedic).</v>
      </c>
      <c r="I23" s="19"/>
      <c r="J23" s="20"/>
      <c r="K23" s="20"/>
      <c r="L23" s="21"/>
    </row>
    <row r="24" spans="1:12" x14ac:dyDescent="0.3">
      <c r="A24" s="33">
        <v>15</v>
      </c>
      <c r="B24" s="33" t="s">
        <v>2160</v>
      </c>
      <c r="C24" s="34" t="s">
        <v>807</v>
      </c>
      <c r="D24" s="51" t="s">
        <v>410</v>
      </c>
      <c r="E24" s="61" t="str">
        <f>IFERROR(VLOOKUP(D24,'Master List'!D:H,2,FALSE),"NA")</f>
        <v>511009</v>
      </c>
      <c r="F24" s="62" t="str">
        <f>IFERROR(VLOOKUP(D24,'Master List'!D:H,3,FALSE),"NA")</f>
        <v>511009</v>
      </c>
      <c r="G24" s="58" t="str">
        <f>IFERROR(VLOOKUP(D24,'Master List'!D:H,4,FALSE),"NA")</f>
        <v>511009</v>
      </c>
      <c r="H24" s="39" t="str">
        <f>IFERROR(VLOOKUP(D24,'Master List'!D:H,5,FALSE),"NA")</f>
        <v>Phlebotomy Technician/Phlebotomist.</v>
      </c>
      <c r="I24" s="19"/>
      <c r="J24" s="20"/>
      <c r="K24" s="20"/>
      <c r="L24" s="21"/>
    </row>
    <row r="25" spans="1:12" x14ac:dyDescent="0.3">
      <c r="A25" s="33">
        <v>15</v>
      </c>
      <c r="B25" s="33" t="s">
        <v>2160</v>
      </c>
      <c r="C25" s="34" t="s">
        <v>807</v>
      </c>
      <c r="D25" s="51" t="s">
        <v>210</v>
      </c>
      <c r="E25" s="61" t="str">
        <f>IFERROR(VLOOKUP(D25,'Master List'!D:H,2,FALSE),"NA")</f>
        <v>NA</v>
      </c>
      <c r="F25" s="62" t="str">
        <f>IFERROR(VLOOKUP(D25,'Master List'!D:H,3,FALSE),"NA")</f>
        <v>NA</v>
      </c>
      <c r="G25" s="58" t="str">
        <f>IFERROR(VLOOKUP(D25,'Master List'!D:H,4,FALSE),"NA")</f>
        <v>NA</v>
      </c>
      <c r="H25" s="39" t="str">
        <f>IFERROR(VLOOKUP(D25,'Master List'!D:H,5,FALSE),"NA")</f>
        <v>NA</v>
      </c>
      <c r="I25" s="19"/>
      <c r="J25" s="20"/>
      <c r="K25" s="20"/>
      <c r="L25" s="21"/>
    </row>
    <row r="26" spans="1:12" x14ac:dyDescent="0.3">
      <c r="A26" s="33">
        <v>15</v>
      </c>
      <c r="B26" s="33" t="s">
        <v>2160</v>
      </c>
      <c r="C26" s="34" t="s">
        <v>807</v>
      </c>
      <c r="D26" s="51" t="s">
        <v>622</v>
      </c>
      <c r="E26" s="61" t="str">
        <f>IFERROR(VLOOKUP(D26,'Master List'!D:H,2,FALSE),"NA")</f>
        <v>131210</v>
      </c>
      <c r="F26" s="62" t="str">
        <f>IFERROR(VLOOKUP(D26,'Master List'!D:H,3,FALSE),"NA")</f>
        <v>131210</v>
      </c>
      <c r="G26" s="58" t="str">
        <f>IFERROR(VLOOKUP(D26,'Master List'!D:H,4,FALSE),"NA")</f>
        <v>131210</v>
      </c>
      <c r="H26" s="39" t="str">
        <f>IFERROR(VLOOKUP(D26,'Master List'!D:H,5,FALSE),"NA")</f>
        <v>Early Childhood Education and Teaching.</v>
      </c>
      <c r="I26" s="19"/>
      <c r="J26" s="20"/>
      <c r="K26" s="20"/>
      <c r="L26" s="21"/>
    </row>
    <row r="27" spans="1:12" x14ac:dyDescent="0.3">
      <c r="A27" s="33">
        <v>15</v>
      </c>
      <c r="B27" s="33" t="s">
        <v>2160</v>
      </c>
      <c r="C27" s="34" t="s">
        <v>807</v>
      </c>
      <c r="D27" s="51" t="s">
        <v>28</v>
      </c>
      <c r="E27" s="61" t="str">
        <f>IFERROR(VLOOKUP(D27,'Master List'!D:H,2,FALSE),"NA")</f>
        <v>190709</v>
      </c>
      <c r="F27" s="62" t="str">
        <f>IFERROR(VLOOKUP(D27,'Master List'!D:H,3,FALSE),"NA")</f>
        <v>190709</v>
      </c>
      <c r="G27" s="58" t="str">
        <f>IFERROR(VLOOKUP(D27,'Master List'!D:H,4,FALSE),"NA")</f>
        <v>190709</v>
      </c>
      <c r="H27" s="39" t="str">
        <f>IFERROR(VLOOKUP(D27,'Master List'!D:H,5,FALSE),"NA")</f>
        <v>Child Care Provider/Assistant.</v>
      </c>
      <c r="I27" s="19"/>
      <c r="J27" s="20"/>
      <c r="K27" s="20"/>
      <c r="L27" s="21"/>
    </row>
    <row r="28" spans="1:12" x14ac:dyDescent="0.3">
      <c r="A28" s="33">
        <v>15</v>
      </c>
      <c r="B28" s="33" t="s">
        <v>2160</v>
      </c>
      <c r="C28" s="34" t="s">
        <v>807</v>
      </c>
      <c r="D28" s="51" t="s">
        <v>483</v>
      </c>
      <c r="E28" s="61" t="str">
        <f>IFERROR(VLOOKUP(D28,'Master List'!D:H,2,FALSE),"NA")</f>
        <v>190709</v>
      </c>
      <c r="F28" s="62" t="str">
        <f>IFERROR(VLOOKUP(D28,'Master List'!D:H,3,FALSE),"NA")</f>
        <v>190709</v>
      </c>
      <c r="G28" s="58" t="str">
        <f>IFERROR(VLOOKUP(D28,'Master List'!D:H,4,FALSE),"NA")</f>
        <v>190709</v>
      </c>
      <c r="H28" s="39" t="str">
        <f>IFERROR(VLOOKUP(D28,'Master List'!D:H,5,FALSE),"NA")</f>
        <v>Child Care Provider/Assistant.</v>
      </c>
      <c r="I28" s="19"/>
      <c r="J28" s="20"/>
      <c r="K28" s="20"/>
      <c r="L28" s="21"/>
    </row>
    <row r="29" spans="1:12" x14ac:dyDescent="0.3">
      <c r="A29" s="33">
        <v>15</v>
      </c>
      <c r="B29" s="33" t="s">
        <v>2160</v>
      </c>
      <c r="C29" s="34" t="s">
        <v>807</v>
      </c>
      <c r="D29" s="51" t="s">
        <v>588</v>
      </c>
      <c r="E29" s="61" t="str">
        <f>IFERROR(VLOOKUP(D29,'Master List'!D:H,2,FALSE),"NA")</f>
        <v>190709</v>
      </c>
      <c r="F29" s="62" t="str">
        <f>IFERROR(VLOOKUP(D29,'Master List'!D:H,3,FALSE),"NA")</f>
        <v>190709</v>
      </c>
      <c r="G29" s="58" t="str">
        <f>IFERROR(VLOOKUP(D29,'Master List'!D:H,4,FALSE),"NA")</f>
        <v>190709</v>
      </c>
      <c r="H29" s="39" t="str">
        <f>IFERROR(VLOOKUP(D29,'Master List'!D:H,5,FALSE),"NA")</f>
        <v>Child Care Provider/Assistant.</v>
      </c>
      <c r="I29" s="19"/>
      <c r="J29" s="20"/>
      <c r="K29" s="20"/>
      <c r="L29" s="21"/>
    </row>
    <row r="30" spans="1:12" x14ac:dyDescent="0.3">
      <c r="A30" s="33">
        <v>15</v>
      </c>
      <c r="B30" s="33" t="s">
        <v>2160</v>
      </c>
      <c r="C30" s="34" t="s">
        <v>807</v>
      </c>
      <c r="D30" s="51" t="s">
        <v>589</v>
      </c>
      <c r="E30" s="61" t="str">
        <f>IFERROR(VLOOKUP(D30,'Master List'!D:H,2,FALSE),"NA")</f>
        <v>190709</v>
      </c>
      <c r="F30" s="62" t="str">
        <f>IFERROR(VLOOKUP(D30,'Master List'!D:H,3,FALSE),"NA")</f>
        <v>190709</v>
      </c>
      <c r="G30" s="58" t="str">
        <f>IFERROR(VLOOKUP(D30,'Master List'!D:H,4,FALSE),"NA")</f>
        <v>190709</v>
      </c>
      <c r="H30" s="39" t="str">
        <f>IFERROR(VLOOKUP(D30,'Master List'!D:H,5,FALSE),"NA")</f>
        <v>Child Care Provider/Assistant.</v>
      </c>
      <c r="I30" s="19"/>
      <c r="J30" s="20"/>
      <c r="K30" s="20"/>
      <c r="L30" s="21"/>
    </row>
    <row r="31" spans="1:12" x14ac:dyDescent="0.3">
      <c r="A31" s="33">
        <v>15</v>
      </c>
      <c r="B31" s="33" t="s">
        <v>2160</v>
      </c>
      <c r="C31" s="34" t="s">
        <v>807</v>
      </c>
      <c r="D31" s="51" t="s">
        <v>385</v>
      </c>
      <c r="E31" s="61" t="str">
        <f>IFERROR(VLOOKUP(D31,'Master List'!D:H,2,FALSE),"NA")</f>
        <v>511599</v>
      </c>
      <c r="F31" s="62" t="str">
        <f>IFERROR(VLOOKUP(D31,'Master List'!D:H,3,FALSE),"NA")</f>
        <v>511599</v>
      </c>
      <c r="G31" s="58">
        <f>IFERROR(VLOOKUP(D31,'Master List'!D:H,4,FALSE),"NA")</f>
        <v>511501</v>
      </c>
      <c r="H31" s="39" t="str">
        <f>IFERROR(VLOOKUP(D31,'Master List'!D:H,5,FALSE),"NA")</f>
        <v>Substance Abuse/Addiction Counseling</v>
      </c>
      <c r="I31" s="19"/>
      <c r="J31" s="20"/>
      <c r="K31" s="20"/>
      <c r="L31" s="21"/>
    </row>
    <row r="32" spans="1:12" x14ac:dyDescent="0.3">
      <c r="A32" s="33">
        <v>15</v>
      </c>
      <c r="B32" s="33" t="s">
        <v>2160</v>
      </c>
      <c r="C32" s="34" t="s">
        <v>807</v>
      </c>
      <c r="D32" s="51" t="s">
        <v>217</v>
      </c>
      <c r="E32" s="61" t="str">
        <f>IFERROR(VLOOKUP(D32,'Master List'!D:H,2,FALSE),"NA")</f>
        <v>110103</v>
      </c>
      <c r="F32" s="62" t="str">
        <f>IFERROR(VLOOKUP(D32,'Master List'!D:H,3,FALSE),"NA")</f>
        <v>110103</v>
      </c>
      <c r="G32" s="58" t="str">
        <f>IFERROR(VLOOKUP(D32,'Master List'!D:H,4,FALSE),"NA")</f>
        <v>110103</v>
      </c>
      <c r="H32" s="39" t="str">
        <f>IFERROR(VLOOKUP(D32,'Master List'!D:H,5,FALSE),"NA")</f>
        <v>Information Technology.</v>
      </c>
      <c r="I32" s="19"/>
      <c r="J32" s="20"/>
      <c r="K32" s="20"/>
      <c r="L32" s="21"/>
    </row>
    <row r="33" spans="1:12" x14ac:dyDescent="0.3">
      <c r="A33" s="33">
        <v>15</v>
      </c>
      <c r="B33" s="33" t="s">
        <v>2160</v>
      </c>
      <c r="C33" s="34" t="s">
        <v>807</v>
      </c>
      <c r="D33" s="51" t="s">
        <v>502</v>
      </c>
      <c r="E33" s="61" t="str">
        <f>IFERROR(VLOOKUP(D33,'Master List'!D:H,2,FALSE),"NA")</f>
        <v>110103</v>
      </c>
      <c r="F33" s="62" t="str">
        <f>IFERROR(VLOOKUP(D33,'Master List'!D:H,3,FALSE),"NA")</f>
        <v>110103</v>
      </c>
      <c r="G33" s="58" t="str">
        <f>IFERROR(VLOOKUP(D33,'Master List'!D:H,4,FALSE),"NA")</f>
        <v>110103</v>
      </c>
      <c r="H33" s="39" t="str">
        <f>IFERROR(VLOOKUP(D33,'Master List'!D:H,5,FALSE),"NA")</f>
        <v>Information Technology.</v>
      </c>
      <c r="I33" s="19"/>
      <c r="J33" s="20"/>
      <c r="K33" s="20"/>
      <c r="L33" s="21"/>
    </row>
    <row r="34" spans="1:12" x14ac:dyDescent="0.3">
      <c r="A34" s="33">
        <v>15</v>
      </c>
      <c r="B34" s="33" t="s">
        <v>2160</v>
      </c>
      <c r="C34" s="34" t="s">
        <v>807</v>
      </c>
      <c r="D34" s="51" t="s">
        <v>810</v>
      </c>
      <c r="E34" s="61" t="str">
        <f>IFERROR(VLOOKUP(D34,'Master List'!D:H,2,FALSE),"NA")</f>
        <v>110201</v>
      </c>
      <c r="F34" s="62" t="str">
        <f>IFERROR(VLOOKUP(D34,'Master List'!D:H,3,FALSE),"NA")</f>
        <v>110201</v>
      </c>
      <c r="G34" s="58" t="str">
        <f>IFERROR(VLOOKUP(D34,'Master List'!D:H,4,FALSE),"NA")</f>
        <v>110201</v>
      </c>
      <c r="H34" s="39" t="str">
        <f>IFERROR(VLOOKUP(D34,'Master List'!D:H,5,FALSE),"NA")</f>
        <v>Computer Programming/Programmer, General.</v>
      </c>
      <c r="I34" s="19"/>
      <c r="J34" s="20"/>
      <c r="K34" s="20"/>
      <c r="L34" s="21"/>
    </row>
    <row r="35" spans="1:12" x14ac:dyDescent="0.3">
      <c r="A35" s="33">
        <v>15</v>
      </c>
      <c r="B35" s="33" t="s">
        <v>2160</v>
      </c>
      <c r="C35" s="34" t="s">
        <v>807</v>
      </c>
      <c r="D35" s="51" t="s">
        <v>390</v>
      </c>
      <c r="E35" s="61" t="str">
        <f>IFERROR(VLOOKUP(D35,'Master List'!D:H,2,FALSE),"NA")</f>
        <v>110202</v>
      </c>
      <c r="F35" s="62" t="str">
        <f>IFERROR(VLOOKUP(D35,'Master List'!D:H,3,FALSE),"NA")</f>
        <v>110202</v>
      </c>
      <c r="G35" s="58" t="str">
        <f>IFERROR(VLOOKUP(D35,'Master List'!D:H,4,FALSE),"NA")</f>
        <v>110202</v>
      </c>
      <c r="H35" s="39" t="str">
        <f>IFERROR(VLOOKUP(D35,'Master List'!D:H,5,FALSE),"NA")</f>
        <v>Computer Programming, Specific Applications.</v>
      </c>
      <c r="I35" s="19"/>
      <c r="J35" s="20"/>
      <c r="K35" s="20"/>
      <c r="L35" s="21"/>
    </row>
    <row r="36" spans="1:12" x14ac:dyDescent="0.3">
      <c r="A36" s="33">
        <v>15</v>
      </c>
      <c r="B36" s="33" t="s">
        <v>2160</v>
      </c>
      <c r="C36" s="34" t="s">
        <v>807</v>
      </c>
      <c r="D36" s="51" t="s">
        <v>811</v>
      </c>
      <c r="E36" s="61" t="str">
        <f>IFERROR(VLOOKUP(D36,'Master List'!D:H,2,FALSE),"NA")</f>
        <v>110203</v>
      </c>
      <c r="F36" s="62" t="str">
        <f>IFERROR(VLOOKUP(D36,'Master List'!D:H,3,FALSE),"NA")</f>
        <v>110203</v>
      </c>
      <c r="G36" s="58" t="str">
        <f>IFERROR(VLOOKUP(D36,'Master List'!D:H,4,FALSE),"NA")</f>
        <v>110203</v>
      </c>
      <c r="H36" s="39" t="str">
        <f>IFERROR(VLOOKUP(D36,'Master List'!D:H,5,FALSE),"NA")</f>
        <v>Computer Programming, Vendor/Product Certification.</v>
      </c>
      <c r="I36" s="19"/>
      <c r="J36" s="20"/>
      <c r="K36" s="20"/>
      <c r="L36" s="21"/>
    </row>
    <row r="37" spans="1:12" x14ac:dyDescent="0.3">
      <c r="A37" s="33">
        <v>15</v>
      </c>
      <c r="B37" s="33" t="s">
        <v>2160</v>
      </c>
      <c r="C37" s="34" t="s">
        <v>807</v>
      </c>
      <c r="D37" s="51" t="s">
        <v>814</v>
      </c>
      <c r="E37" s="61" t="str">
        <f>IFERROR(VLOOKUP(D37,'Master List'!D:H,2,FALSE),"NA")</f>
        <v>110203</v>
      </c>
      <c r="F37" s="62" t="str">
        <f>IFERROR(VLOOKUP(D37,'Master List'!D:H,3,FALSE),"NA")</f>
        <v>110203</v>
      </c>
      <c r="G37" s="58" t="str">
        <f>IFERROR(VLOOKUP(D37,'Master List'!D:H,4,FALSE),"NA")</f>
        <v>110203</v>
      </c>
      <c r="H37" s="39" t="str">
        <f>IFERROR(VLOOKUP(D37,'Master List'!D:H,5,FALSE),"NA")</f>
        <v>Computer Programming, Vendor/Product Certification.</v>
      </c>
      <c r="I37" s="19"/>
      <c r="J37" s="20"/>
      <c r="K37" s="20"/>
      <c r="L37" s="21"/>
    </row>
    <row r="38" spans="1:12" x14ac:dyDescent="0.3">
      <c r="A38" s="33">
        <v>15</v>
      </c>
      <c r="B38" s="33" t="s">
        <v>2160</v>
      </c>
      <c r="C38" s="34" t="s">
        <v>807</v>
      </c>
      <c r="D38" s="51" t="s">
        <v>31</v>
      </c>
      <c r="E38" s="61" t="str">
        <f>IFERROR(VLOOKUP(D38,'Master List'!D:H,2,FALSE),"NA")</f>
        <v>111001</v>
      </c>
      <c r="F38" s="62" t="str">
        <f>IFERROR(VLOOKUP(D38,'Master List'!D:H,3,FALSE),"NA")</f>
        <v>111001</v>
      </c>
      <c r="G38" s="58" t="str">
        <f>IFERROR(VLOOKUP(D38,'Master List'!D:H,4,FALSE),"NA")</f>
        <v>111001</v>
      </c>
      <c r="H38" s="39" t="str">
        <f>IFERROR(VLOOKUP(D38,'Master List'!D:H,5,FALSE),"NA")</f>
        <v>Network and System Administration/Administrator.</v>
      </c>
      <c r="I38" s="19"/>
      <c r="J38" s="20"/>
      <c r="K38" s="20"/>
      <c r="L38" s="21"/>
    </row>
    <row r="39" spans="1:12" x14ac:dyDescent="0.3">
      <c r="A39" s="33">
        <v>15</v>
      </c>
      <c r="B39" s="33" t="s">
        <v>2160</v>
      </c>
      <c r="C39" s="34" t="s">
        <v>807</v>
      </c>
      <c r="D39" s="51" t="s">
        <v>34</v>
      </c>
      <c r="E39" s="61" t="str">
        <f>IFERROR(VLOOKUP(D39,'Master List'!D:H,2,FALSE),"NA")</f>
        <v>111001</v>
      </c>
      <c r="F39" s="62" t="str">
        <f>IFERROR(VLOOKUP(D39,'Master List'!D:H,3,FALSE),"NA")</f>
        <v>111001</v>
      </c>
      <c r="G39" s="58" t="str">
        <f>IFERROR(VLOOKUP(D39,'Master List'!D:H,4,FALSE),"NA")</f>
        <v>111001</v>
      </c>
      <c r="H39" s="39" t="str">
        <f>IFERROR(VLOOKUP(D39,'Master List'!D:H,5,FALSE),"NA")</f>
        <v>Network and System Administration/Administrator.</v>
      </c>
      <c r="I39" s="19"/>
      <c r="J39" s="20"/>
      <c r="K39" s="20"/>
      <c r="L39" s="21"/>
    </row>
    <row r="40" spans="1:12" x14ac:dyDescent="0.3">
      <c r="A40" s="33">
        <v>15</v>
      </c>
      <c r="B40" s="33" t="s">
        <v>2160</v>
      </c>
      <c r="C40" s="34" t="s">
        <v>807</v>
      </c>
      <c r="D40" s="51" t="s">
        <v>541</v>
      </c>
      <c r="E40" s="61" t="str">
        <f>IFERROR(VLOOKUP(D40,'Master List'!D:H,2,FALSE),"NA")</f>
        <v>111001</v>
      </c>
      <c r="F40" s="62" t="str">
        <f>IFERROR(VLOOKUP(D40,'Master List'!D:H,3,FALSE),"NA")</f>
        <v>111001</v>
      </c>
      <c r="G40" s="58" t="str">
        <f>IFERROR(VLOOKUP(D40,'Master List'!D:H,4,FALSE),"NA")</f>
        <v>111001</v>
      </c>
      <c r="H40" s="39" t="str">
        <f>IFERROR(VLOOKUP(D40,'Master List'!D:H,5,FALSE),"NA")</f>
        <v>Network and System Administration/Administrator.</v>
      </c>
      <c r="I40" s="19"/>
      <c r="J40" s="20"/>
      <c r="K40" s="20"/>
      <c r="L40" s="21"/>
    </row>
    <row r="41" spans="1:12" x14ac:dyDescent="0.3">
      <c r="A41" s="33">
        <v>15</v>
      </c>
      <c r="B41" s="33" t="s">
        <v>2160</v>
      </c>
      <c r="C41" s="34" t="s">
        <v>807</v>
      </c>
      <c r="D41" s="51" t="s">
        <v>542</v>
      </c>
      <c r="E41" s="61" t="str">
        <f>IFERROR(VLOOKUP(D41,'Master List'!D:H,2,FALSE),"NA")</f>
        <v>111001</v>
      </c>
      <c r="F41" s="62" t="str">
        <f>IFERROR(VLOOKUP(D41,'Master List'!D:H,3,FALSE),"NA")</f>
        <v>111001</v>
      </c>
      <c r="G41" s="58" t="str">
        <f>IFERROR(VLOOKUP(D41,'Master List'!D:H,4,FALSE),"NA")</f>
        <v>111001</v>
      </c>
      <c r="H41" s="39" t="str">
        <f>IFERROR(VLOOKUP(D41,'Master List'!D:H,5,FALSE),"NA")</f>
        <v>Network and System Administration/Administrator.</v>
      </c>
      <c r="I41" s="19"/>
      <c r="J41" s="20"/>
      <c r="K41" s="20"/>
      <c r="L41" s="21"/>
    </row>
    <row r="42" spans="1:12" x14ac:dyDescent="0.3">
      <c r="A42" s="33">
        <v>15</v>
      </c>
      <c r="B42" s="33" t="s">
        <v>2160</v>
      </c>
      <c r="C42" s="34" t="s">
        <v>807</v>
      </c>
      <c r="D42" s="51" t="s">
        <v>221</v>
      </c>
      <c r="E42" s="61" t="str">
        <f>IFERROR(VLOOKUP(D42,'Master List'!D:H,2,FALSE),"NA")</f>
        <v>111001</v>
      </c>
      <c r="F42" s="62" t="str">
        <f>IFERROR(VLOOKUP(D42,'Master List'!D:H,3,FALSE),"NA")</f>
        <v>111001</v>
      </c>
      <c r="G42" s="58" t="str">
        <f>IFERROR(VLOOKUP(D42,'Master List'!D:H,4,FALSE),"NA")</f>
        <v>111001</v>
      </c>
      <c r="H42" s="39" t="str">
        <f>IFERROR(VLOOKUP(D42,'Master List'!D:H,5,FALSE),"NA")</f>
        <v>Network and System Administration/Administrator.</v>
      </c>
      <c r="I42" s="19"/>
      <c r="J42" s="20"/>
      <c r="K42" s="20"/>
      <c r="L42" s="21"/>
    </row>
    <row r="43" spans="1:12" x14ac:dyDescent="0.3">
      <c r="A43" s="33">
        <v>15</v>
      </c>
      <c r="B43" s="33" t="s">
        <v>2160</v>
      </c>
      <c r="C43" s="34" t="s">
        <v>807</v>
      </c>
      <c r="D43" s="51" t="s">
        <v>36</v>
      </c>
      <c r="E43" s="61" t="str">
        <f>IFERROR(VLOOKUP(D43,'Master List'!D:H,2,FALSE),"NA")</f>
        <v>111001</v>
      </c>
      <c r="F43" s="62" t="str">
        <f>IFERROR(VLOOKUP(D43,'Master List'!D:H,3,FALSE),"NA")</f>
        <v>111001</v>
      </c>
      <c r="G43" s="58" t="str">
        <f>IFERROR(VLOOKUP(D43,'Master List'!D:H,4,FALSE),"NA")</f>
        <v>111001</v>
      </c>
      <c r="H43" s="39" t="str">
        <f>IFERROR(VLOOKUP(D43,'Master List'!D:H,5,FALSE),"NA")</f>
        <v>Network and System Administration/Administrator.</v>
      </c>
      <c r="I43" s="19"/>
      <c r="J43" s="20"/>
      <c r="K43" s="20"/>
      <c r="L43" s="21"/>
    </row>
    <row r="44" spans="1:12" x14ac:dyDescent="0.3">
      <c r="A44" s="33">
        <v>15</v>
      </c>
      <c r="B44" s="33" t="s">
        <v>2160</v>
      </c>
      <c r="C44" s="34" t="s">
        <v>807</v>
      </c>
      <c r="D44" s="51" t="s">
        <v>815</v>
      </c>
      <c r="E44" s="61" t="str">
        <f>IFERROR(VLOOKUP(D44,'Master List'!D:H,2,FALSE),"NA")</f>
        <v>500411</v>
      </c>
      <c r="F44" s="62" t="str">
        <f>IFERROR(VLOOKUP(D44,'Master List'!D:H,3,FALSE),"NA")</f>
        <v>500411</v>
      </c>
      <c r="G44" s="58" t="str">
        <f>IFERROR(VLOOKUP(D44,'Master List'!D:H,4,FALSE),"NA")</f>
        <v>500411</v>
      </c>
      <c r="H44" s="39" t="str">
        <f>IFERROR(VLOOKUP(D44,'Master List'!D:H,5,FALSE),"NA")</f>
        <v>Game and Interactive Media Design.</v>
      </c>
      <c r="I44" s="19"/>
      <c r="J44" s="20"/>
      <c r="K44" s="20"/>
      <c r="L44" s="21"/>
    </row>
    <row r="45" spans="1:12" x14ac:dyDescent="0.3">
      <c r="A45" s="33">
        <v>15</v>
      </c>
      <c r="B45" s="33" t="s">
        <v>2160</v>
      </c>
      <c r="C45" s="34" t="s">
        <v>807</v>
      </c>
      <c r="D45" s="51" t="s">
        <v>153</v>
      </c>
      <c r="E45" s="61" t="str">
        <f>IFERROR(VLOOKUP(D45,'Master List'!D:H,2,FALSE),"NA")</f>
        <v>520201</v>
      </c>
      <c r="F45" s="62" t="str">
        <f>IFERROR(VLOOKUP(D45,'Master List'!D:H,3,FALSE),"NA")</f>
        <v>520201</v>
      </c>
      <c r="G45" s="58" t="str">
        <f>IFERROR(VLOOKUP(D45,'Master List'!D:H,4,FALSE),"NA")</f>
        <v>520201</v>
      </c>
      <c r="H45" s="39" t="str">
        <f>IFERROR(VLOOKUP(D45,'Master List'!D:H,5,FALSE),"NA")</f>
        <v>Business Administration and Management, General.</v>
      </c>
      <c r="I45" s="19"/>
      <c r="J45" s="20"/>
      <c r="K45" s="20"/>
      <c r="L45" s="21"/>
    </row>
    <row r="46" spans="1:12" x14ac:dyDescent="0.3">
      <c r="A46" s="33">
        <v>15</v>
      </c>
      <c r="B46" s="33" t="s">
        <v>2160</v>
      </c>
      <c r="C46" s="34" t="s">
        <v>807</v>
      </c>
      <c r="D46" s="51" t="s">
        <v>154</v>
      </c>
      <c r="E46" s="61" t="str">
        <f>IFERROR(VLOOKUP(D46,'Master List'!D:H,2,FALSE),"NA")</f>
        <v>520201</v>
      </c>
      <c r="F46" s="62" t="str">
        <f>IFERROR(VLOOKUP(D46,'Master List'!D:H,3,FALSE),"NA")</f>
        <v>520201</v>
      </c>
      <c r="G46" s="58" t="str">
        <f>IFERROR(VLOOKUP(D46,'Master List'!D:H,4,FALSE),"NA")</f>
        <v>520201</v>
      </c>
      <c r="H46" s="39" t="str">
        <f>IFERROR(VLOOKUP(D46,'Master List'!D:H,5,FALSE),"NA")</f>
        <v>Business Administration and Management, General.</v>
      </c>
      <c r="I46" s="19"/>
      <c r="J46" s="20"/>
      <c r="K46" s="20"/>
      <c r="L46" s="21"/>
    </row>
    <row r="47" spans="1:12" x14ac:dyDescent="0.3">
      <c r="A47" s="33">
        <v>15</v>
      </c>
      <c r="B47" s="33" t="s">
        <v>2160</v>
      </c>
      <c r="C47" s="34" t="s">
        <v>807</v>
      </c>
      <c r="D47" s="51" t="s">
        <v>227</v>
      </c>
      <c r="E47" s="61" t="str">
        <f>IFERROR(VLOOKUP(D47,'Master List'!D:H,2,FALSE),"NA")</f>
        <v>520302</v>
      </c>
      <c r="F47" s="62" t="str">
        <f>IFERROR(VLOOKUP(D47,'Master List'!D:H,3,FALSE),"NA")</f>
        <v>520302</v>
      </c>
      <c r="G47" s="58" t="str">
        <f>IFERROR(VLOOKUP(D47,'Master List'!D:H,4,FALSE),"NA")</f>
        <v>520302</v>
      </c>
      <c r="H47" s="39" t="str">
        <f>IFERROR(VLOOKUP(D47,'Master List'!D:H,5,FALSE),"NA")</f>
        <v>Accounting Technology/Technician and Bookkeeping.</v>
      </c>
      <c r="I47" s="19"/>
      <c r="J47" s="20"/>
      <c r="K47" s="20"/>
      <c r="L47" s="21"/>
    </row>
    <row r="48" spans="1:12" x14ac:dyDescent="0.3">
      <c r="A48" s="33">
        <v>15</v>
      </c>
      <c r="B48" s="33" t="s">
        <v>2160</v>
      </c>
      <c r="C48" s="34" t="s">
        <v>807</v>
      </c>
      <c r="D48" s="51" t="s">
        <v>40</v>
      </c>
      <c r="E48" s="61" t="str">
        <f>IFERROR(VLOOKUP(D48,'Master List'!D:H,2,FALSE),"NA")</f>
        <v>520302</v>
      </c>
      <c r="F48" s="62" t="str">
        <f>IFERROR(VLOOKUP(D48,'Master List'!D:H,3,FALSE),"NA")</f>
        <v>520302</v>
      </c>
      <c r="G48" s="58" t="str">
        <f>IFERROR(VLOOKUP(D48,'Master List'!D:H,4,FALSE),"NA")</f>
        <v>520302</v>
      </c>
      <c r="H48" s="39" t="str">
        <f>IFERROR(VLOOKUP(D48,'Master List'!D:H,5,FALSE),"NA")</f>
        <v>Accounting Technology/Technician and Bookkeeping.</v>
      </c>
      <c r="I48" s="19"/>
      <c r="J48" s="20"/>
      <c r="K48" s="20"/>
      <c r="L48" s="21"/>
    </row>
    <row r="49" spans="1:12" x14ac:dyDescent="0.3">
      <c r="A49" s="33">
        <v>15</v>
      </c>
      <c r="B49" s="33" t="s">
        <v>2160</v>
      </c>
      <c r="C49" s="34" t="s">
        <v>807</v>
      </c>
      <c r="D49" s="51" t="s">
        <v>232</v>
      </c>
      <c r="E49" s="61" t="str">
        <f>IFERROR(VLOOKUP(D49,'Master List'!D:H,2,FALSE),"NA")</f>
        <v>520701</v>
      </c>
      <c r="F49" s="62" t="str">
        <f>IFERROR(VLOOKUP(D49,'Master List'!D:H,3,FALSE),"NA")</f>
        <v>520701</v>
      </c>
      <c r="G49" s="58" t="str">
        <f>IFERROR(VLOOKUP(D49,'Master List'!D:H,4,FALSE),"NA")</f>
        <v>520701</v>
      </c>
      <c r="H49" s="39" t="str">
        <f>IFERROR(VLOOKUP(D49,'Master List'!D:H,5,FALSE),"NA")</f>
        <v>Entrepreneurship/Entrepreneurial Studies.</v>
      </c>
      <c r="I49" s="19"/>
      <c r="J49" s="20"/>
      <c r="K49" s="20"/>
      <c r="L49" s="21"/>
    </row>
    <row r="50" spans="1:12" x14ac:dyDescent="0.3">
      <c r="A50" s="33">
        <v>15</v>
      </c>
      <c r="B50" s="33" t="s">
        <v>2160</v>
      </c>
      <c r="C50" s="34" t="s">
        <v>807</v>
      </c>
      <c r="D50" s="51" t="s">
        <v>233</v>
      </c>
      <c r="E50" s="61" t="str">
        <f>IFERROR(VLOOKUP(D50,'Master List'!D:H,2,FALSE),"NA")</f>
        <v>520703</v>
      </c>
      <c r="F50" s="62" t="str">
        <f>IFERROR(VLOOKUP(D50,'Master List'!D:H,3,FALSE),"NA")</f>
        <v>520703</v>
      </c>
      <c r="G50" s="58" t="str">
        <f>IFERROR(VLOOKUP(D50,'Master List'!D:H,4,FALSE),"NA")</f>
        <v>520703</v>
      </c>
      <c r="H50" s="39" t="str">
        <f>IFERROR(VLOOKUP(D50,'Master List'!D:H,5,FALSE),"NA")</f>
        <v>Small Business Administration/Management.</v>
      </c>
      <c r="I50" s="19"/>
      <c r="J50" s="20"/>
      <c r="K50" s="20"/>
      <c r="L50" s="21"/>
    </row>
    <row r="51" spans="1:12" x14ac:dyDescent="0.3">
      <c r="A51" s="33">
        <v>15</v>
      </c>
      <c r="B51" s="33" t="s">
        <v>2160</v>
      </c>
      <c r="C51" s="34" t="s">
        <v>807</v>
      </c>
      <c r="D51" s="51" t="s">
        <v>818</v>
      </c>
      <c r="E51" s="61" t="str">
        <f>IFERROR(VLOOKUP(D51,'Master List'!D:H,2,FALSE),"NA")</f>
        <v>521301</v>
      </c>
      <c r="F51" s="62" t="str">
        <f>IFERROR(VLOOKUP(D51,'Master List'!D:H,3,FALSE),"NA")</f>
        <v>521301</v>
      </c>
      <c r="G51" s="58" t="str">
        <f>IFERROR(VLOOKUP(D51,'Master List'!D:H,4,FALSE),"NA")</f>
        <v>521301</v>
      </c>
      <c r="H51" s="39" t="str">
        <f>IFERROR(VLOOKUP(D51,'Master List'!D:H,5,FALSE),"NA")</f>
        <v>Management Science.</v>
      </c>
      <c r="I51" s="19"/>
      <c r="J51" s="20"/>
      <c r="K51" s="20"/>
      <c r="L51" s="21"/>
    </row>
    <row r="52" spans="1:12" x14ac:dyDescent="0.3">
      <c r="A52" s="33">
        <v>15</v>
      </c>
      <c r="B52" s="33" t="s">
        <v>2160</v>
      </c>
      <c r="C52" s="34" t="s">
        <v>807</v>
      </c>
      <c r="D52" s="51" t="s">
        <v>426</v>
      </c>
      <c r="E52" s="61" t="str">
        <f>IFERROR(VLOOKUP(D52,'Master List'!D:H,2,FALSE),"NA")</f>
        <v>100105</v>
      </c>
      <c r="F52" s="62" t="str">
        <f>IFERROR(VLOOKUP(D52,'Master List'!D:H,3,FALSE),"NA")</f>
        <v>100105</v>
      </c>
      <c r="G52" s="58">
        <f>IFERROR(VLOOKUP(D52,'Master List'!D:H,4,FALSE),"NA")</f>
        <v>100202</v>
      </c>
      <c r="H52" s="39" t="str">
        <f>IFERROR(VLOOKUP(D52,'Master List'!D:H,5,FALSE),"NA")</f>
        <v xml:space="preserve"> Radio and Television Broadcasting Technology/Technician</v>
      </c>
      <c r="I52" s="19"/>
      <c r="J52" s="20"/>
      <c r="K52" s="20"/>
      <c r="L52" s="21"/>
    </row>
    <row r="53" spans="1:12" x14ac:dyDescent="0.3">
      <c r="A53" s="33">
        <v>15</v>
      </c>
      <c r="B53" s="33" t="s">
        <v>2160</v>
      </c>
      <c r="C53" s="34" t="s">
        <v>807</v>
      </c>
      <c r="D53" s="51" t="s">
        <v>515</v>
      </c>
      <c r="E53" s="61" t="str">
        <f>IFERROR(VLOOKUP(D53,'Master List'!D:H,2,FALSE),"NA")</f>
        <v>110803</v>
      </c>
      <c r="F53" s="62" t="str">
        <f>IFERROR(VLOOKUP(D53,'Master List'!D:H,3,FALSE),"NA")</f>
        <v>110803</v>
      </c>
      <c r="G53" s="58" t="str">
        <f>IFERROR(VLOOKUP(D53,'Master List'!D:H,4,FALSE),"NA")</f>
        <v>110803</v>
      </c>
      <c r="H53" s="39" t="str">
        <f>IFERROR(VLOOKUP(D53,'Master List'!D:H,5,FALSE),"NA")</f>
        <v>Computer Graphics.</v>
      </c>
      <c r="I53" s="19"/>
      <c r="J53" s="20"/>
      <c r="K53" s="20"/>
      <c r="L53" s="21"/>
    </row>
    <row r="54" spans="1:12" x14ac:dyDescent="0.3">
      <c r="A54" s="33">
        <v>15</v>
      </c>
      <c r="B54" s="33" t="s">
        <v>2160</v>
      </c>
      <c r="C54" s="34" t="s">
        <v>807</v>
      </c>
      <c r="D54" s="51" t="s">
        <v>49</v>
      </c>
      <c r="E54" s="61" t="str">
        <f>IFERROR(VLOOKUP(D54,'Master List'!D:H,2,FALSE),"NA")</f>
        <v>120503</v>
      </c>
      <c r="F54" s="62" t="str">
        <f>IFERROR(VLOOKUP(D54,'Master List'!D:H,3,FALSE),"NA")</f>
        <v>120503</v>
      </c>
      <c r="G54" s="58" t="str">
        <f>IFERROR(VLOOKUP(D54,'Master List'!D:H,4,FALSE),"NA")</f>
        <v>120503</v>
      </c>
      <c r="H54" s="39" t="str">
        <f>IFERROR(VLOOKUP(D54,'Master List'!D:H,5,FALSE),"NA")</f>
        <v>Culinary Arts/Chef Training.</v>
      </c>
      <c r="I54" s="19"/>
      <c r="J54" s="20"/>
      <c r="K54" s="20"/>
      <c r="L54" s="21"/>
    </row>
    <row r="55" spans="1:12" x14ac:dyDescent="0.3">
      <c r="A55" s="33">
        <v>15</v>
      </c>
      <c r="B55" s="33" t="s">
        <v>2160</v>
      </c>
      <c r="C55" s="34" t="s">
        <v>807</v>
      </c>
      <c r="D55" s="51" t="s">
        <v>155</v>
      </c>
      <c r="E55" s="61" t="str">
        <f>IFERROR(VLOOKUP(D55,'Master List'!D:H,2,FALSE),"NA")</f>
        <v>120504</v>
      </c>
      <c r="F55" s="62" t="str">
        <f>IFERROR(VLOOKUP(D55,'Master List'!D:H,3,FALSE),"NA")</f>
        <v>120504</v>
      </c>
      <c r="G55" s="58" t="str">
        <f>IFERROR(VLOOKUP(D55,'Master List'!D:H,4,FALSE),"NA")</f>
        <v>120504</v>
      </c>
      <c r="H55" s="39" t="str">
        <f>IFERROR(VLOOKUP(D55,'Master List'!D:H,5,FALSE),"NA")</f>
        <v>Restaurant, Culinary, and Catering Management/Manager.</v>
      </c>
      <c r="I55" s="19"/>
      <c r="J55" s="20"/>
      <c r="K55" s="20"/>
      <c r="L55" s="21"/>
    </row>
    <row r="56" spans="1:12" x14ac:dyDescent="0.3">
      <c r="A56" s="33">
        <v>15</v>
      </c>
      <c r="B56" s="33" t="s">
        <v>2160</v>
      </c>
      <c r="C56" s="34" t="s">
        <v>807</v>
      </c>
      <c r="D56" s="51" t="s">
        <v>246</v>
      </c>
      <c r="E56" s="61" t="str">
        <f>IFERROR(VLOOKUP(D56,'Master List'!D:H,2,FALSE),"NA")</f>
        <v>150000</v>
      </c>
      <c r="F56" s="62" t="str">
        <f>IFERROR(VLOOKUP(D56,'Master List'!D:H,3,FALSE),"NA")</f>
        <v>150000</v>
      </c>
      <c r="G56" s="58" t="str">
        <f>IFERROR(VLOOKUP(D56,'Master List'!D:H,4,FALSE),"NA")</f>
        <v>150000</v>
      </c>
      <c r="H56" s="39" t="str">
        <f>IFERROR(VLOOKUP(D56,'Master List'!D:H,5,FALSE),"NA")</f>
        <v>Engineering Technologies/Technicians, General.</v>
      </c>
      <c r="I56" s="19"/>
      <c r="J56" s="20"/>
      <c r="K56" s="20"/>
      <c r="L56" s="21"/>
    </row>
    <row r="57" spans="1:12" x14ac:dyDescent="0.3">
      <c r="A57" s="33">
        <v>15</v>
      </c>
      <c r="B57" s="33" t="s">
        <v>2160</v>
      </c>
      <c r="C57" s="34" t="s">
        <v>807</v>
      </c>
      <c r="D57" s="51" t="s">
        <v>247</v>
      </c>
      <c r="E57" s="61" t="str">
        <f>IFERROR(VLOOKUP(D57,'Master List'!D:H,2,FALSE),"NA")</f>
        <v>150000</v>
      </c>
      <c r="F57" s="62" t="str">
        <f>IFERROR(VLOOKUP(D57,'Master List'!D:H,3,FALSE),"NA")</f>
        <v>150000</v>
      </c>
      <c r="G57" s="58" t="str">
        <f>IFERROR(VLOOKUP(D57,'Master List'!D:H,4,FALSE),"NA")</f>
        <v>150000</v>
      </c>
      <c r="H57" s="39" t="str">
        <f>IFERROR(VLOOKUP(D57,'Master List'!D:H,5,FALSE),"NA")</f>
        <v>Engineering Technologies/Technicians, General.</v>
      </c>
      <c r="I57" s="19"/>
      <c r="J57" s="20"/>
      <c r="K57" s="20"/>
      <c r="L57" s="21"/>
    </row>
    <row r="58" spans="1:12" x14ac:dyDescent="0.3">
      <c r="A58" s="33">
        <v>15</v>
      </c>
      <c r="B58" s="33" t="s">
        <v>2160</v>
      </c>
      <c r="C58" s="34" t="s">
        <v>807</v>
      </c>
      <c r="D58" s="51" t="s">
        <v>733</v>
      </c>
      <c r="E58" s="61" t="str">
        <f>IFERROR(VLOOKUP(D58,'Master List'!D:H,2,FALSE),"NA")</f>
        <v>150503</v>
      </c>
      <c r="F58" s="62" t="str">
        <f>IFERROR(VLOOKUP(D58,'Master List'!D:H,3,FALSE),"NA")</f>
        <v>151701</v>
      </c>
      <c r="G58" s="58" t="str">
        <f>IFERROR(VLOOKUP(D58,'Master List'!D:H,4,FALSE),"NA")</f>
        <v>151701</v>
      </c>
      <c r="H58" s="39" t="str">
        <f>IFERROR(VLOOKUP(D58,'Master List'!D:H,5,FALSE),"NA")</f>
        <v>Energy Systems Technology/Technician.</v>
      </c>
      <c r="I58" s="19"/>
      <c r="J58" s="20"/>
      <c r="K58" s="20"/>
      <c r="L58" s="21"/>
    </row>
    <row r="59" spans="1:12" x14ac:dyDescent="0.3">
      <c r="A59" s="33">
        <v>15</v>
      </c>
      <c r="B59" s="33" t="s">
        <v>2160</v>
      </c>
      <c r="C59" s="34" t="s">
        <v>807</v>
      </c>
      <c r="D59" s="51" t="s">
        <v>781</v>
      </c>
      <c r="E59" s="61" t="str">
        <f>IFERROR(VLOOKUP(D59,'Master List'!D:H,2,FALSE),"NA")</f>
        <v>150613</v>
      </c>
      <c r="F59" s="62" t="str">
        <f>IFERROR(VLOOKUP(D59,'Master List'!D:H,3,FALSE),"NA")</f>
        <v>150613</v>
      </c>
      <c r="G59" s="58" t="str">
        <f>IFERROR(VLOOKUP(D59,'Master List'!D:H,4,FALSE),"NA")</f>
        <v>150613</v>
      </c>
      <c r="H59" s="39" t="str">
        <f>IFERROR(VLOOKUP(D59,'Master List'!D:H,5,FALSE),"NA")</f>
        <v>Manufacturing Engineering Technology/Technician.</v>
      </c>
      <c r="I59" s="19"/>
      <c r="J59" s="20"/>
      <c r="K59" s="20"/>
      <c r="L59" s="21"/>
    </row>
    <row r="60" spans="1:12" x14ac:dyDescent="0.3">
      <c r="A60" s="33">
        <v>15</v>
      </c>
      <c r="B60" s="33" t="s">
        <v>2160</v>
      </c>
      <c r="C60" s="34" t="s">
        <v>807</v>
      </c>
      <c r="D60" s="51" t="s">
        <v>564</v>
      </c>
      <c r="E60" s="61" t="str">
        <f>IFERROR(VLOOKUP(D60,'Master List'!D:H,2,FALSE),"NA")</f>
        <v>151001</v>
      </c>
      <c r="F60" s="62" t="str">
        <f>IFERROR(VLOOKUP(D60,'Master List'!D:H,3,FALSE),"NA")</f>
        <v>151001</v>
      </c>
      <c r="G60" s="58" t="str">
        <f>IFERROR(VLOOKUP(D60,'Master List'!D:H,4,FALSE),"NA")</f>
        <v>151001</v>
      </c>
      <c r="H60" s="39" t="str">
        <f>IFERROR(VLOOKUP(D60,'Master List'!D:H,5,FALSE),"NA")</f>
        <v>Construction Engineering Technology/Technician.</v>
      </c>
      <c r="I60" s="19"/>
      <c r="J60" s="20"/>
      <c r="K60" s="20"/>
      <c r="L60" s="21"/>
    </row>
    <row r="61" spans="1:12" x14ac:dyDescent="0.3">
      <c r="A61" s="33">
        <v>15</v>
      </c>
      <c r="B61" s="33" t="s">
        <v>2160</v>
      </c>
      <c r="C61" s="34" t="s">
        <v>807</v>
      </c>
      <c r="D61" s="51" t="s">
        <v>259</v>
      </c>
      <c r="E61" s="61" t="str">
        <f>IFERROR(VLOOKUP(D61,'Master List'!D:H,2,FALSE),"NA")</f>
        <v>151301</v>
      </c>
      <c r="F61" s="62" t="str">
        <f>IFERROR(VLOOKUP(D61,'Master List'!D:H,3,FALSE),"NA")</f>
        <v>151301</v>
      </c>
      <c r="G61" s="58">
        <f>IFERROR(VLOOKUP(D61,'Master List'!D:H,4,FALSE),"NA")</f>
        <v>151302</v>
      </c>
      <c r="H61" s="39" t="str">
        <f>IFERROR(VLOOKUP(D61,'Master List'!D:H,5,FALSE),"NA")</f>
        <v>CAD/CADD Drafting and/or Design Technology/Technician</v>
      </c>
      <c r="I61" s="19"/>
      <c r="J61" s="20"/>
      <c r="K61" s="20"/>
      <c r="L61" s="21"/>
    </row>
    <row r="62" spans="1:12" x14ac:dyDescent="0.3">
      <c r="A62" s="33">
        <v>15</v>
      </c>
      <c r="B62" s="33" t="s">
        <v>2160</v>
      </c>
      <c r="C62" s="34" t="s">
        <v>807</v>
      </c>
      <c r="D62" s="51" t="s">
        <v>262</v>
      </c>
      <c r="E62" s="61" t="str">
        <f>IFERROR(VLOOKUP(D62,'Master List'!D:H,2,FALSE),"NA")</f>
        <v>151302</v>
      </c>
      <c r="F62" s="62" t="str">
        <f>IFERROR(VLOOKUP(D62,'Master List'!D:H,3,FALSE),"NA")</f>
        <v>151302</v>
      </c>
      <c r="G62" s="58" t="str">
        <f>IFERROR(VLOOKUP(D62,'Master List'!D:H,4,FALSE),"NA")</f>
        <v>151302</v>
      </c>
      <c r="H62" s="39" t="str">
        <f>IFERROR(VLOOKUP(D62,'Master List'!D:H,5,FALSE),"NA")</f>
        <v>CAD/CADD Drafting and/or Design Technology/Technician.</v>
      </c>
      <c r="I62" s="19"/>
      <c r="J62" s="20"/>
      <c r="K62" s="20"/>
      <c r="L62" s="21"/>
    </row>
    <row r="63" spans="1:12" x14ac:dyDescent="0.3">
      <c r="A63" s="33">
        <v>15</v>
      </c>
      <c r="B63" s="33" t="s">
        <v>2160</v>
      </c>
      <c r="C63" s="34" t="s">
        <v>807</v>
      </c>
      <c r="D63" s="51" t="s">
        <v>265</v>
      </c>
      <c r="E63" s="61" t="str">
        <f>IFERROR(VLOOKUP(D63,'Master List'!D:H,2,FALSE),"NA")</f>
        <v>261201</v>
      </c>
      <c r="F63" s="62" t="str">
        <f>IFERROR(VLOOKUP(D63,'Master List'!D:H,3,FALSE),"NA")</f>
        <v>261201</v>
      </c>
      <c r="G63" s="58" t="str">
        <f>IFERROR(VLOOKUP(D63,'Master List'!D:H,4,FALSE),"NA")</f>
        <v>261201</v>
      </c>
      <c r="H63" s="39" t="str">
        <f>IFERROR(VLOOKUP(D63,'Master List'!D:H,5,FALSE),"NA")</f>
        <v>Biotechnology.</v>
      </c>
      <c r="I63" s="19"/>
      <c r="J63" s="20"/>
      <c r="K63" s="20"/>
      <c r="L63" s="21"/>
    </row>
    <row r="64" spans="1:12" x14ac:dyDescent="0.3">
      <c r="A64" s="33">
        <v>15</v>
      </c>
      <c r="B64" s="33" t="s">
        <v>2160</v>
      </c>
      <c r="C64" s="34" t="s">
        <v>807</v>
      </c>
      <c r="D64" s="51" t="s">
        <v>443</v>
      </c>
      <c r="E64" s="61" t="str">
        <f>IFERROR(VLOOKUP(D64,'Master List'!D:H,2,FALSE),"NA")</f>
        <v>470104</v>
      </c>
      <c r="F64" s="62" t="str">
        <f>IFERROR(VLOOKUP(D64,'Master List'!D:H,3,FALSE),"NA")</f>
        <v>470104</v>
      </c>
      <c r="G64" s="58" t="str">
        <f>IFERROR(VLOOKUP(D64,'Master List'!D:H,4,FALSE),"NA")</f>
        <v>470104</v>
      </c>
      <c r="H64" s="39" t="str">
        <f>IFERROR(VLOOKUP(D64,'Master List'!D:H,5,FALSE),"NA")</f>
        <v>Computer Installation and Repair Technology/Technician.</v>
      </c>
      <c r="I64" s="19"/>
      <c r="J64" s="20"/>
      <c r="K64" s="20"/>
      <c r="L64" s="21"/>
    </row>
    <row r="65" spans="1:12" x14ac:dyDescent="0.3">
      <c r="A65" s="33">
        <v>15</v>
      </c>
      <c r="B65" s="33" t="s">
        <v>2160</v>
      </c>
      <c r="C65" s="34" t="s">
        <v>807</v>
      </c>
      <c r="D65" s="51" t="s">
        <v>822</v>
      </c>
      <c r="E65" s="61" t="str">
        <f>IFERROR(VLOOKUP(D65,'Master List'!D:H,2,FALSE),"NA")</f>
        <v>470604</v>
      </c>
      <c r="F65" s="62" t="str">
        <f>IFERROR(VLOOKUP(D65,'Master List'!D:H,3,FALSE),"NA")</f>
        <v>470604</v>
      </c>
      <c r="G65" s="58" t="str">
        <f>IFERROR(VLOOKUP(D65,'Master List'!D:H,4,FALSE),"NA")</f>
        <v>470604</v>
      </c>
      <c r="H65" s="39" t="str">
        <f>IFERROR(VLOOKUP(D65,'Master List'!D:H,5,FALSE),"NA")</f>
        <v>Automobile/Automotive Mechanics Technology/Technician.</v>
      </c>
      <c r="I65" s="19"/>
      <c r="J65" s="20"/>
      <c r="K65" s="20"/>
      <c r="L65" s="21"/>
    </row>
    <row r="66" spans="1:12" x14ac:dyDescent="0.3">
      <c r="A66" s="33">
        <v>15</v>
      </c>
      <c r="B66" s="33" t="s">
        <v>2160</v>
      </c>
      <c r="C66" s="34" t="s">
        <v>807</v>
      </c>
      <c r="D66" s="51" t="s">
        <v>824</v>
      </c>
      <c r="E66" s="61" t="str">
        <f>IFERROR(VLOOKUP(D66,'Master List'!D:H,2,FALSE),"NA")</f>
        <v>490104</v>
      </c>
      <c r="F66" s="62" t="str">
        <f>IFERROR(VLOOKUP(D66,'Master List'!D:H,3,FALSE),"NA")</f>
        <v>490104</v>
      </c>
      <c r="G66" s="58" t="str">
        <f>IFERROR(VLOOKUP(D66,'Master List'!D:H,4,FALSE),"NA")</f>
        <v>490104</v>
      </c>
      <c r="H66" s="39" t="str">
        <f>IFERROR(VLOOKUP(D66,'Master List'!D:H,5,FALSE),"NA")</f>
        <v>Aviation/Airway Management and Operations.</v>
      </c>
      <c r="I66" s="19"/>
      <c r="J66" s="20"/>
      <c r="K66" s="20"/>
      <c r="L66" s="21"/>
    </row>
    <row r="67" spans="1:12" x14ac:dyDescent="0.3">
      <c r="A67" s="33">
        <v>15</v>
      </c>
      <c r="B67" s="33" t="s">
        <v>2160</v>
      </c>
      <c r="C67" s="34" t="s">
        <v>807</v>
      </c>
      <c r="D67" s="51" t="s">
        <v>825</v>
      </c>
      <c r="E67" s="61" t="str">
        <f>IFERROR(VLOOKUP(D67,'Master List'!D:H,2,FALSE),"NA")</f>
        <v>490104</v>
      </c>
      <c r="F67" s="62" t="str">
        <f>IFERROR(VLOOKUP(D67,'Master List'!D:H,3,FALSE),"NA")</f>
        <v>490104</v>
      </c>
      <c r="G67" s="58" t="str">
        <f>IFERROR(VLOOKUP(D67,'Master List'!D:H,4,FALSE),"NA")</f>
        <v>490104</v>
      </c>
      <c r="H67" s="39" t="str">
        <f>IFERROR(VLOOKUP(D67,'Master List'!D:H,5,FALSE),"NA")</f>
        <v>Aviation/Airway Management and Operations.</v>
      </c>
      <c r="I67" s="19"/>
      <c r="J67" s="20"/>
      <c r="K67" s="20"/>
      <c r="L67" s="21"/>
    </row>
    <row r="68" spans="1:12" x14ac:dyDescent="0.3">
      <c r="A68" s="33">
        <v>15</v>
      </c>
      <c r="B68" s="33" t="s">
        <v>2160</v>
      </c>
      <c r="C68" s="34" t="s">
        <v>807</v>
      </c>
      <c r="D68" s="51" t="s">
        <v>742</v>
      </c>
      <c r="E68" s="61" t="str">
        <f>IFERROR(VLOOKUP(D68,'Master List'!D:H,2,FALSE),"NA")</f>
        <v>490104</v>
      </c>
      <c r="F68" s="62" t="str">
        <f>IFERROR(VLOOKUP(D68,'Master List'!D:H,3,FALSE),"NA")</f>
        <v>490104</v>
      </c>
      <c r="G68" s="58" t="str">
        <f>IFERROR(VLOOKUP(D68,'Master List'!D:H,4,FALSE),"NA")</f>
        <v>490104</v>
      </c>
      <c r="H68" s="39" t="str">
        <f>IFERROR(VLOOKUP(D68,'Master List'!D:H,5,FALSE),"NA")</f>
        <v>Aviation/Airway Management and Operations.</v>
      </c>
      <c r="I68" s="19"/>
      <c r="J68" s="20"/>
      <c r="K68" s="20"/>
      <c r="L68" s="21"/>
    </row>
    <row r="69" spans="1:12" x14ac:dyDescent="0.3">
      <c r="A69" s="33">
        <v>15</v>
      </c>
      <c r="B69" s="33" t="s">
        <v>2160</v>
      </c>
      <c r="C69" s="34" t="s">
        <v>807</v>
      </c>
      <c r="D69" s="51" t="s">
        <v>826</v>
      </c>
      <c r="E69" s="61" t="str">
        <f>IFERROR(VLOOKUP(D69,'Master List'!D:H,2,FALSE),"NA")</f>
        <v>490104</v>
      </c>
      <c r="F69" s="62" t="str">
        <f>IFERROR(VLOOKUP(D69,'Master List'!D:H,3,FALSE),"NA")</f>
        <v>490104</v>
      </c>
      <c r="G69" s="58" t="str">
        <f>IFERROR(VLOOKUP(D69,'Master List'!D:H,4,FALSE),"NA")</f>
        <v>490104</v>
      </c>
      <c r="H69" s="39" t="str">
        <f>IFERROR(VLOOKUP(D69,'Master List'!D:H,5,FALSE),"NA")</f>
        <v>Aviation/Airway Management and Operations.</v>
      </c>
      <c r="I69" s="19"/>
      <c r="J69" s="20"/>
      <c r="K69" s="20"/>
      <c r="L69" s="21"/>
    </row>
    <row r="70" spans="1:12" x14ac:dyDescent="0.3">
      <c r="A70" s="33">
        <v>15</v>
      </c>
      <c r="B70" s="33" t="s">
        <v>2160</v>
      </c>
      <c r="C70" s="34" t="s">
        <v>807</v>
      </c>
      <c r="D70" s="51" t="s">
        <v>567</v>
      </c>
      <c r="E70" s="61" t="str">
        <f>IFERROR(VLOOKUP(D70,'Master List'!D:H,2,FALSE),"NA")</f>
        <v>500602</v>
      </c>
      <c r="F70" s="62" t="str">
        <f>IFERROR(VLOOKUP(D70,'Master List'!D:H,3,FALSE),"NA")</f>
        <v>500602</v>
      </c>
      <c r="G70" s="58" t="str">
        <f>IFERROR(VLOOKUP(D70,'Master List'!D:H,4,FALSE),"NA")</f>
        <v>500602</v>
      </c>
      <c r="H70" s="39" t="str">
        <f>IFERROR(VLOOKUP(D70,'Master List'!D:H,5,FALSE),"NA")</f>
        <v>Cinematography and Film/Video Production.</v>
      </c>
      <c r="I70" s="19"/>
      <c r="J70" s="20"/>
      <c r="K70" s="20"/>
      <c r="L70" s="21"/>
    </row>
    <row r="71" spans="1:12" x14ac:dyDescent="0.3">
      <c r="A71" s="33">
        <v>15</v>
      </c>
      <c r="B71" s="33" t="s">
        <v>2160</v>
      </c>
      <c r="C71" s="34" t="s">
        <v>807</v>
      </c>
      <c r="D71" s="51" t="s">
        <v>62</v>
      </c>
      <c r="E71" s="61" t="str">
        <f>IFERROR(VLOOKUP(D71,'Master List'!D:H,2,FALSE),"NA")</f>
        <v>500602</v>
      </c>
      <c r="F71" s="62" t="str">
        <f>IFERROR(VLOOKUP(D71,'Master List'!D:H,3,FALSE),"NA")</f>
        <v>500602</v>
      </c>
      <c r="G71" s="58">
        <f>IFERROR(VLOOKUP(D71,'Master List'!D:H,4,FALSE),"NA")</f>
        <v>100203</v>
      </c>
      <c r="H71" s="39" t="str">
        <f>IFERROR(VLOOKUP(D71,'Master List'!D:H,5,FALSE),"NA")</f>
        <v>Recording Arts Technology/Technician</v>
      </c>
      <c r="I71" s="19"/>
      <c r="J71" s="20"/>
      <c r="K71" s="20"/>
      <c r="L71" s="21"/>
    </row>
    <row r="72" spans="1:12" x14ac:dyDescent="0.3">
      <c r="A72" s="33">
        <v>15</v>
      </c>
      <c r="B72" s="33" t="s">
        <v>2160</v>
      </c>
      <c r="C72" s="34" t="s">
        <v>807</v>
      </c>
      <c r="D72" s="51" t="s">
        <v>827</v>
      </c>
      <c r="E72" s="61" t="str">
        <f>IFERROR(VLOOKUP(D72,'Master List'!D:H,2,FALSE),"NA")</f>
        <v>520203</v>
      </c>
      <c r="F72" s="62" t="str">
        <f>IFERROR(VLOOKUP(D72,'Master List'!D:H,3,FALSE),"NA")</f>
        <v>520203</v>
      </c>
      <c r="G72" s="58" t="str">
        <f>IFERROR(VLOOKUP(D72,'Master List'!D:H,4,FALSE),"NA")</f>
        <v>520203</v>
      </c>
      <c r="H72" s="39" t="str">
        <f>IFERROR(VLOOKUP(D72,'Master List'!D:H,5,FALSE),"NA")</f>
        <v>Logistics, Materials, and Supply Chain Management.</v>
      </c>
      <c r="I72" s="19"/>
      <c r="J72" s="20"/>
      <c r="K72" s="20"/>
      <c r="L72" s="21"/>
    </row>
    <row r="73" spans="1:12" x14ac:dyDescent="0.3">
      <c r="A73" s="33">
        <v>15</v>
      </c>
      <c r="B73" s="33" t="s">
        <v>2160</v>
      </c>
      <c r="C73" s="34" t="s">
        <v>807</v>
      </c>
      <c r="D73" s="51" t="s">
        <v>828</v>
      </c>
      <c r="E73" s="61" t="str">
        <f>IFERROR(VLOOKUP(D73,'Master List'!D:H,2,FALSE),"NA")</f>
        <v>520203</v>
      </c>
      <c r="F73" s="62" t="str">
        <f>IFERROR(VLOOKUP(D73,'Master List'!D:H,3,FALSE),"NA")</f>
        <v>520203</v>
      </c>
      <c r="G73" s="58" t="str">
        <f>IFERROR(VLOOKUP(D73,'Master List'!D:H,4,FALSE),"NA")</f>
        <v>520203</v>
      </c>
      <c r="H73" s="39" t="str">
        <f>IFERROR(VLOOKUP(D73,'Master List'!D:H,5,FALSE),"NA")</f>
        <v>Logistics, Materials, and Supply Chain Management.</v>
      </c>
      <c r="I73" s="19"/>
      <c r="J73" s="20"/>
      <c r="K73" s="20"/>
      <c r="L73" s="21"/>
    </row>
    <row r="74" spans="1:12" x14ac:dyDescent="0.3">
      <c r="A74" s="33">
        <v>15</v>
      </c>
      <c r="B74" s="33" t="s">
        <v>2160</v>
      </c>
      <c r="C74" s="34" t="s">
        <v>807</v>
      </c>
      <c r="D74" s="51" t="s">
        <v>65</v>
      </c>
      <c r="E74" s="61" t="str">
        <f>IFERROR(VLOOKUP(D74,'Master List'!D:H,2,FALSE),"NA")</f>
        <v>520209</v>
      </c>
      <c r="F74" s="62" t="str">
        <f>IFERROR(VLOOKUP(D74,'Master List'!D:H,3,FALSE),"NA")</f>
        <v>520209</v>
      </c>
      <c r="G74" s="58" t="str">
        <f>IFERROR(VLOOKUP(D74,'Master List'!D:H,4,FALSE),"NA")</f>
        <v>520209</v>
      </c>
      <c r="H74" s="39" t="str">
        <f>IFERROR(VLOOKUP(D74,'Master List'!D:H,5,FALSE),"NA")</f>
        <v>Transportation/Mobility Management.</v>
      </c>
      <c r="I74" s="19"/>
      <c r="J74" s="20"/>
      <c r="K74" s="20"/>
      <c r="L74" s="21"/>
    </row>
    <row r="75" spans="1:12" x14ac:dyDescent="0.3">
      <c r="A75" s="33">
        <v>15</v>
      </c>
      <c r="B75" s="33" t="s">
        <v>2160</v>
      </c>
      <c r="C75" s="34" t="s">
        <v>807</v>
      </c>
      <c r="D75" s="51" t="s">
        <v>829</v>
      </c>
      <c r="E75" s="61" t="str">
        <f>IFERROR(VLOOKUP(D75,'Master List'!D:H,2,FALSE),"NA")</f>
        <v>NA</v>
      </c>
      <c r="F75" s="62" t="str">
        <f>IFERROR(VLOOKUP(D75,'Master List'!D:H,3,FALSE),"NA")</f>
        <v>NA</v>
      </c>
      <c r="G75" s="58" t="str">
        <f>IFERROR(VLOOKUP(D75,'Master List'!D:H,4,FALSE),"NA")</f>
        <v>NA</v>
      </c>
      <c r="H75" s="39" t="str">
        <f>IFERROR(VLOOKUP(D75,'Master List'!D:H,5,FALSE),"NA")</f>
        <v>NA</v>
      </c>
      <c r="I75" s="19"/>
      <c r="J75" s="20"/>
      <c r="K75" s="20"/>
      <c r="L75" s="21"/>
    </row>
    <row r="76" spans="1:12" x14ac:dyDescent="0.3">
      <c r="A76" s="33">
        <v>15</v>
      </c>
      <c r="B76" s="33" t="s">
        <v>2160</v>
      </c>
      <c r="C76" s="34" t="s">
        <v>807</v>
      </c>
      <c r="D76" s="51" t="s">
        <v>830</v>
      </c>
      <c r="E76" s="61" t="str">
        <f>IFERROR(VLOOKUP(D76,'Master List'!D:H,2,FALSE),"NA")</f>
        <v>NA</v>
      </c>
      <c r="F76" s="62" t="str">
        <f>IFERROR(VLOOKUP(D76,'Master List'!D:H,3,FALSE),"NA")</f>
        <v>NA</v>
      </c>
      <c r="G76" s="58" t="str">
        <f>IFERROR(VLOOKUP(D76,'Master List'!D:H,4,FALSE),"NA")</f>
        <v>NA</v>
      </c>
      <c r="H76" s="39" t="str">
        <f>IFERROR(VLOOKUP(D76,'Master List'!D:H,5,FALSE),"NA")</f>
        <v>NA</v>
      </c>
      <c r="I76" s="19"/>
      <c r="J76" s="20"/>
      <c r="K76" s="20"/>
      <c r="L76" s="21"/>
    </row>
    <row r="77" spans="1:12" x14ac:dyDescent="0.3">
      <c r="A77" s="33">
        <v>15</v>
      </c>
      <c r="B77" s="33" t="s">
        <v>2160</v>
      </c>
      <c r="C77" s="34" t="s">
        <v>807</v>
      </c>
      <c r="D77" s="51" t="s">
        <v>831</v>
      </c>
      <c r="E77" s="61" t="str">
        <f>IFERROR(VLOOKUP(D77,'Master List'!D:H,2,FALSE),"NA")</f>
        <v>131003</v>
      </c>
      <c r="F77" s="62" t="str">
        <f>IFERROR(VLOOKUP(D77,'Master List'!D:H,3,FALSE),"NA")</f>
        <v>131003</v>
      </c>
      <c r="G77" s="58" t="str">
        <f>IFERROR(VLOOKUP(D77,'Master List'!D:H,4,FALSE),"NA")</f>
        <v>131003</v>
      </c>
      <c r="H77" s="39" t="str">
        <f>IFERROR(VLOOKUP(D77,'Master List'!D:H,5,FALSE),"NA")</f>
        <v>Education/Teaching of Individuals with Hearing Impairments Including Deafness.</v>
      </c>
      <c r="I77" s="19"/>
      <c r="J77" s="20"/>
      <c r="K77" s="20"/>
      <c r="L77" s="21"/>
    </row>
    <row r="78" spans="1:12" x14ac:dyDescent="0.3">
      <c r="A78" s="33">
        <v>15</v>
      </c>
      <c r="B78" s="33" t="s">
        <v>2160</v>
      </c>
      <c r="C78" s="34" t="s">
        <v>807</v>
      </c>
      <c r="D78" s="51" t="s">
        <v>395</v>
      </c>
      <c r="E78" s="61" t="str">
        <f>IFERROR(VLOOKUP(D78,'Master List'!D:H,2,FALSE),"NA")</f>
        <v>430106</v>
      </c>
      <c r="F78" s="62" t="str">
        <f>IFERROR(VLOOKUP(D78,'Master List'!D:H,3,FALSE),"NA")</f>
        <v>430406</v>
      </c>
      <c r="G78" s="58" t="str">
        <f>IFERROR(VLOOKUP(D78,'Master List'!D:H,4,FALSE),"NA")</f>
        <v>430406</v>
      </c>
      <c r="H78" s="39" t="str">
        <f>IFERROR(VLOOKUP(D78,'Master List'!D:H,5,FALSE),"NA")</f>
        <v>Forensic Science and Technology.</v>
      </c>
      <c r="I78" s="19"/>
      <c r="J78" s="20"/>
      <c r="K78" s="20"/>
      <c r="L78" s="21"/>
    </row>
    <row r="79" spans="1:12" x14ac:dyDescent="0.3">
      <c r="A79" s="33">
        <v>15</v>
      </c>
      <c r="B79" s="33" t="s">
        <v>2160</v>
      </c>
      <c r="C79" s="34" t="s">
        <v>807</v>
      </c>
      <c r="D79" s="51" t="s">
        <v>71</v>
      </c>
      <c r="E79" s="61" t="str">
        <f>IFERROR(VLOOKUP(D79,'Master List'!D:H,2,FALSE),"NA")</f>
        <v>430107</v>
      </c>
      <c r="F79" s="62" t="str">
        <f>IFERROR(VLOOKUP(D79,'Master List'!D:H,3,FALSE),"NA")</f>
        <v>430107</v>
      </c>
      <c r="G79" s="58" t="str">
        <f>IFERROR(VLOOKUP(D79,'Master List'!D:H,4,FALSE),"NA")</f>
        <v>430107</v>
      </c>
      <c r="H79" s="39" t="str">
        <f>IFERROR(VLOOKUP(D79,'Master List'!D:H,5,FALSE),"NA")</f>
        <v>Criminal Justice/Police Science.</v>
      </c>
      <c r="I79" s="19"/>
      <c r="J79" s="20"/>
      <c r="K79" s="20"/>
      <c r="L79" s="21"/>
    </row>
    <row r="80" spans="1:12" x14ac:dyDescent="0.3">
      <c r="A80" s="33">
        <v>15</v>
      </c>
      <c r="B80" s="33" t="s">
        <v>2160</v>
      </c>
      <c r="C80" s="34" t="s">
        <v>807</v>
      </c>
      <c r="D80" s="51" t="s">
        <v>834</v>
      </c>
      <c r="E80" s="61" t="str">
        <f>IFERROR(VLOOKUP(D80,'Master List'!D:H,2,FALSE),"NA")</f>
        <v>430109</v>
      </c>
      <c r="F80" s="62" t="str">
        <f>IFERROR(VLOOKUP(D80,'Master List'!D:H,3,FALSE),"NA")</f>
        <v>430109</v>
      </c>
      <c r="G80" s="58" t="str">
        <f>IFERROR(VLOOKUP(D80,'Master List'!D:H,4,FALSE),"NA")</f>
        <v>430109</v>
      </c>
      <c r="H80" s="39" t="str">
        <f>IFERROR(VLOOKUP(D80,'Master List'!D:H,5,FALSE),"NA")</f>
        <v>Security and Loss Prevention Services.</v>
      </c>
      <c r="I80" s="19"/>
      <c r="J80" s="20"/>
      <c r="K80" s="20"/>
      <c r="L80" s="21"/>
    </row>
    <row r="81" spans="1:12" x14ac:dyDescent="0.3">
      <c r="A81" s="33">
        <v>15</v>
      </c>
      <c r="B81" s="33" t="s">
        <v>2160</v>
      </c>
      <c r="C81" s="34" t="s">
        <v>807</v>
      </c>
      <c r="D81" s="51" t="s">
        <v>837</v>
      </c>
      <c r="E81" s="61" t="str">
        <f>IFERROR(VLOOKUP(D81,'Master List'!D:H,2,FALSE),"NA")</f>
        <v>430109</v>
      </c>
      <c r="F81" s="62" t="str">
        <f>IFERROR(VLOOKUP(D81,'Master List'!D:H,3,FALSE),"NA")</f>
        <v>430109</v>
      </c>
      <c r="G81" s="58" t="str">
        <f>IFERROR(VLOOKUP(D81,'Master List'!D:H,4,FALSE),"NA")</f>
        <v>430109</v>
      </c>
      <c r="H81" s="39" t="str">
        <f>IFERROR(VLOOKUP(D81,'Master List'!D:H,5,FALSE),"NA")</f>
        <v>Security and Loss Prevention Services.</v>
      </c>
      <c r="I81" s="19"/>
      <c r="J81" s="20"/>
      <c r="K81" s="20"/>
      <c r="L81" s="21"/>
    </row>
    <row r="82" spans="1:12" x14ac:dyDescent="0.3">
      <c r="A82" s="33">
        <v>15</v>
      </c>
      <c r="B82" s="33" t="s">
        <v>2160</v>
      </c>
      <c r="C82" s="34" t="s">
        <v>807</v>
      </c>
      <c r="D82" s="51" t="s">
        <v>575</v>
      </c>
      <c r="E82" s="61" t="str">
        <f>IFERROR(VLOOKUP(D82,'Master List'!D:H,2,FALSE),"NA")</f>
        <v>430112</v>
      </c>
      <c r="F82" s="62" t="str">
        <f>IFERROR(VLOOKUP(D82,'Master List'!D:H,3,FALSE),"NA")</f>
        <v>430112</v>
      </c>
      <c r="G82" s="58" t="str">
        <f>IFERROR(VLOOKUP(D82,'Master List'!D:H,4,FALSE),"NA")</f>
        <v>430112</v>
      </c>
      <c r="H82" s="39" t="str">
        <f>IFERROR(VLOOKUP(D82,'Master List'!D:H,5,FALSE),"NA")</f>
        <v>Securities Services Administration/Management.</v>
      </c>
      <c r="I82" s="19"/>
      <c r="J82" s="20"/>
      <c r="K82" s="20"/>
      <c r="L82" s="21"/>
    </row>
    <row r="83" spans="1:12" x14ac:dyDescent="0.3">
      <c r="A83" s="33">
        <v>15</v>
      </c>
      <c r="B83" s="33" t="s">
        <v>2160</v>
      </c>
      <c r="C83" s="34" t="s">
        <v>807</v>
      </c>
      <c r="D83" s="51" t="s">
        <v>75</v>
      </c>
      <c r="E83" s="61" t="str">
        <f>IFERROR(VLOOKUP(D83,'Master List'!D:H,2,FALSE),"NA")</f>
        <v>430203</v>
      </c>
      <c r="F83" s="62" t="str">
        <f>IFERROR(VLOOKUP(D83,'Master List'!D:H,3,FALSE),"NA")</f>
        <v>430203</v>
      </c>
      <c r="G83" s="58" t="str">
        <f>IFERROR(VLOOKUP(D83,'Master List'!D:H,4,FALSE),"NA")</f>
        <v>430203</v>
      </c>
      <c r="H83" s="39" t="str">
        <f>IFERROR(VLOOKUP(D83,'Master List'!D:H,5,FALSE),"NA")</f>
        <v>Fire Science/Fire-fighting.</v>
      </c>
      <c r="I83" s="19"/>
      <c r="J83" s="20"/>
      <c r="K83" s="20"/>
      <c r="L83" s="21"/>
    </row>
    <row r="84" spans="1:12" x14ac:dyDescent="0.3">
      <c r="A84" s="33">
        <v>15</v>
      </c>
      <c r="B84" s="33" t="s">
        <v>2160</v>
      </c>
      <c r="C84" s="34" t="s">
        <v>807</v>
      </c>
      <c r="D84" s="51" t="s">
        <v>485</v>
      </c>
      <c r="E84" s="61" t="str">
        <f>IFERROR(VLOOKUP(D84,'Master List'!D:H,2,FALSE),"NA")</f>
        <v>430203</v>
      </c>
      <c r="F84" s="62" t="str">
        <f>IFERROR(VLOOKUP(D84,'Master List'!D:H,3,FALSE),"NA")</f>
        <v>430203</v>
      </c>
      <c r="G84" s="58" t="str">
        <f>IFERROR(VLOOKUP(D84,'Master List'!D:H,4,FALSE),"NA")</f>
        <v>430203</v>
      </c>
      <c r="H84" s="39" t="str">
        <f>IFERROR(VLOOKUP(D84,'Master List'!D:H,5,FALSE),"NA")</f>
        <v>Fire Science/Fire-fighting.</v>
      </c>
      <c r="I84" s="19"/>
      <c r="J84" s="20"/>
      <c r="K84" s="20"/>
      <c r="L84" s="21"/>
    </row>
    <row r="85" spans="1:12" x14ac:dyDescent="0.3">
      <c r="A85" s="33">
        <v>15</v>
      </c>
      <c r="B85" s="33" t="s">
        <v>2160</v>
      </c>
      <c r="C85" s="34" t="s">
        <v>807</v>
      </c>
      <c r="D85" s="51" t="s">
        <v>579</v>
      </c>
      <c r="E85" s="61" t="str">
        <f>IFERROR(VLOOKUP(D85,'Master List'!D:H,2,FALSE),"NA")</f>
        <v>010605</v>
      </c>
      <c r="F85" s="62" t="str">
        <f>IFERROR(VLOOKUP(D85,'Master List'!D:H,3,FALSE),"NA")</f>
        <v>010605</v>
      </c>
      <c r="G85" s="58" t="str">
        <f>IFERROR(VLOOKUP(D85,'Master List'!D:H,4,FALSE),"NA")</f>
        <v>010605</v>
      </c>
      <c r="H85" s="39" t="str">
        <f>IFERROR(VLOOKUP(D85,'Master List'!D:H,5,FALSE),"NA")</f>
        <v>Landscaping and Groundskeeping.</v>
      </c>
      <c r="I85" s="19"/>
      <c r="J85" s="20"/>
      <c r="K85" s="20"/>
      <c r="L85" s="21"/>
    </row>
    <row r="86" spans="1:12" x14ac:dyDescent="0.3">
      <c r="A86" s="33">
        <v>15</v>
      </c>
      <c r="B86" s="33" t="s">
        <v>2160</v>
      </c>
      <c r="C86" s="34" t="s">
        <v>807</v>
      </c>
      <c r="D86" s="51" t="s">
        <v>838</v>
      </c>
      <c r="E86" s="61" t="str">
        <f>IFERROR(VLOOKUP(D86,'Master List'!D:H,2,FALSE),"NA")</f>
        <v>NA</v>
      </c>
      <c r="F86" s="62" t="str">
        <f>IFERROR(VLOOKUP(D86,'Master List'!D:H,3,FALSE),"NA")</f>
        <v>NA</v>
      </c>
      <c r="G86" s="58" t="str">
        <f>IFERROR(VLOOKUP(D86,'Master List'!D:H,4,FALSE),"NA")</f>
        <v>NA</v>
      </c>
      <c r="H86" s="39" t="str">
        <f>IFERROR(VLOOKUP(D86,'Master List'!D:H,5,FALSE),"NA")</f>
        <v>NA</v>
      </c>
      <c r="I86" s="19"/>
      <c r="J86" s="20"/>
      <c r="K86" s="20"/>
      <c r="L86" s="21"/>
    </row>
    <row r="87" spans="1:12" x14ac:dyDescent="0.3">
      <c r="A87" s="33">
        <v>15</v>
      </c>
      <c r="B87" s="33" t="s">
        <v>2160</v>
      </c>
      <c r="C87" s="34" t="s">
        <v>807</v>
      </c>
      <c r="D87" s="51" t="s">
        <v>766</v>
      </c>
      <c r="E87" s="61" t="str">
        <f>IFERROR(VLOOKUP(D87,'Master List'!D:H,2,FALSE),"NA")</f>
        <v>520801</v>
      </c>
      <c r="F87" s="62" t="str">
        <f>IFERROR(VLOOKUP(D87,'Master List'!D:H,3,FALSE),"NA")</f>
        <v>520801</v>
      </c>
      <c r="G87" s="58" t="str">
        <f>IFERROR(VLOOKUP(D87,'Master List'!D:H,4,FALSE),"NA")</f>
        <v>520801</v>
      </c>
      <c r="H87" s="39" t="str">
        <f>IFERROR(VLOOKUP(D87,'Master List'!D:H,5,FALSE),"NA")</f>
        <v>Finance, General.</v>
      </c>
      <c r="I87" s="19"/>
      <c r="J87" s="20"/>
      <c r="K87" s="20"/>
      <c r="L87" s="21"/>
    </row>
    <row r="88" spans="1:12" x14ac:dyDescent="0.3">
      <c r="A88" s="33">
        <v>15</v>
      </c>
      <c r="B88" s="33" t="s">
        <v>2160</v>
      </c>
      <c r="C88" s="34" t="s">
        <v>807</v>
      </c>
      <c r="D88" s="51" t="s">
        <v>79</v>
      </c>
      <c r="E88" s="61" t="str">
        <f>IFERROR(VLOOKUP(D88,'Master List'!D:H,2,FALSE),"NA")</f>
        <v>520901</v>
      </c>
      <c r="F88" s="62" t="str">
        <f>IFERROR(VLOOKUP(D88,'Master List'!D:H,3,FALSE),"NA")</f>
        <v>520901</v>
      </c>
      <c r="G88" s="58" t="str">
        <f>IFERROR(VLOOKUP(D88,'Master List'!D:H,4,FALSE),"NA")</f>
        <v>520901</v>
      </c>
      <c r="H88" s="39" t="str">
        <f>IFERROR(VLOOKUP(D88,'Master List'!D:H,5,FALSE),"NA")</f>
        <v>Hospitality Administration/Management, General.</v>
      </c>
      <c r="I88" s="19"/>
      <c r="J88" s="20"/>
      <c r="K88" s="20"/>
      <c r="L88" s="21"/>
    </row>
    <row r="89" spans="1:12" x14ac:dyDescent="0.3">
      <c r="A89" s="33">
        <v>15</v>
      </c>
      <c r="B89" s="33" t="s">
        <v>2160</v>
      </c>
      <c r="C89" s="34" t="s">
        <v>807</v>
      </c>
      <c r="D89" s="51" t="s">
        <v>643</v>
      </c>
      <c r="E89" s="61" t="str">
        <f>IFERROR(VLOOKUP(D89,'Master List'!D:H,2,FALSE),"NA")</f>
        <v>521401</v>
      </c>
      <c r="F89" s="62" t="str">
        <f>IFERROR(VLOOKUP(D89,'Master List'!D:H,3,FALSE),"NA")</f>
        <v>521401</v>
      </c>
      <c r="G89" s="58" t="str">
        <f>IFERROR(VLOOKUP(D89,'Master List'!D:H,4,FALSE),"NA")</f>
        <v>521401</v>
      </c>
      <c r="H89" s="39" t="str">
        <f>IFERROR(VLOOKUP(D89,'Master List'!D:H,5,FALSE),"NA")</f>
        <v>Marketing/Marketing Management, General.</v>
      </c>
      <c r="I89" s="19"/>
      <c r="J89" s="20"/>
      <c r="K89" s="20"/>
      <c r="L89" s="21"/>
    </row>
    <row r="90" spans="1:12" x14ac:dyDescent="0.3">
      <c r="A90" s="33">
        <v>15</v>
      </c>
      <c r="B90" s="33" t="s">
        <v>2160</v>
      </c>
      <c r="C90" s="34" t="s">
        <v>807</v>
      </c>
      <c r="D90" s="51" t="s">
        <v>323</v>
      </c>
      <c r="E90" s="61" t="str">
        <f>IFERROR(VLOOKUP(D90,'Master List'!D:H,2,FALSE),"NA")</f>
        <v>120301</v>
      </c>
      <c r="F90" s="62" t="str">
        <f>IFERROR(VLOOKUP(D90,'Master List'!D:H,3,FALSE),"NA")</f>
        <v>120301</v>
      </c>
      <c r="G90" s="58" t="str">
        <f>IFERROR(VLOOKUP(D90,'Master List'!D:H,4,FALSE),"NA")</f>
        <v>120301</v>
      </c>
      <c r="H90" s="39" t="str">
        <f>IFERROR(VLOOKUP(D90,'Master List'!D:H,5,FALSE),"NA")</f>
        <v>Funeral Service and Mortuary Science, General.</v>
      </c>
      <c r="I90" s="19"/>
      <c r="J90" s="20"/>
      <c r="K90" s="20"/>
      <c r="L90" s="21"/>
    </row>
    <row r="91" spans="1:12" x14ac:dyDescent="0.3">
      <c r="A91" s="33">
        <v>15</v>
      </c>
      <c r="B91" s="33" t="s">
        <v>2160</v>
      </c>
      <c r="C91" s="34" t="s">
        <v>807</v>
      </c>
      <c r="D91" s="51" t="s">
        <v>84</v>
      </c>
      <c r="E91" s="61" t="str">
        <f>IFERROR(VLOOKUP(D91,'Master List'!D:H,2,FALSE),"NA")</f>
        <v>510602</v>
      </c>
      <c r="F91" s="62" t="str">
        <f>IFERROR(VLOOKUP(D91,'Master List'!D:H,3,FALSE),"NA")</f>
        <v>510602</v>
      </c>
      <c r="G91" s="58" t="str">
        <f>IFERROR(VLOOKUP(D91,'Master List'!D:H,4,FALSE),"NA")</f>
        <v>510602</v>
      </c>
      <c r="H91" s="39" t="str">
        <f>IFERROR(VLOOKUP(D91,'Master List'!D:H,5,FALSE),"NA")</f>
        <v>Dental Hygiene/Hygienist.</v>
      </c>
      <c r="I91" s="19"/>
      <c r="J91" s="20"/>
      <c r="K91" s="20"/>
      <c r="L91" s="21"/>
    </row>
    <row r="92" spans="1:12" x14ac:dyDescent="0.3">
      <c r="A92" s="33">
        <v>15</v>
      </c>
      <c r="B92" s="33" t="s">
        <v>2160</v>
      </c>
      <c r="C92" s="34" t="s">
        <v>807</v>
      </c>
      <c r="D92" s="51" t="s">
        <v>612</v>
      </c>
      <c r="E92" s="61" t="str">
        <f>IFERROR(VLOOKUP(D92,'Master List'!D:H,2,FALSE),"NA")</f>
        <v>510701</v>
      </c>
      <c r="F92" s="62" t="str">
        <f>IFERROR(VLOOKUP(D92,'Master List'!D:H,3,FALSE),"NA")</f>
        <v>510701</v>
      </c>
      <c r="G92" s="58" t="str">
        <f>IFERROR(VLOOKUP(D92,'Master List'!D:H,4,FALSE),"NA")</f>
        <v>510701</v>
      </c>
      <c r="H92" s="39" t="str">
        <f>IFERROR(VLOOKUP(D92,'Master List'!D:H,5,FALSE),"NA")</f>
        <v>Health/Health Care Administration/Management.</v>
      </c>
      <c r="I92" s="19"/>
      <c r="J92" s="20"/>
      <c r="K92" s="20"/>
      <c r="L92" s="21"/>
    </row>
    <row r="93" spans="1:12" x14ac:dyDescent="0.3">
      <c r="A93" s="33">
        <v>15</v>
      </c>
      <c r="B93" s="33" t="s">
        <v>2160</v>
      </c>
      <c r="C93" s="34" t="s">
        <v>807</v>
      </c>
      <c r="D93" s="51" t="s">
        <v>325</v>
      </c>
      <c r="E93" s="61" t="str">
        <f>IFERROR(VLOOKUP(D93,'Master List'!D:H,2,FALSE),"NA")</f>
        <v>510707</v>
      </c>
      <c r="F93" s="62" t="str">
        <f>IFERROR(VLOOKUP(D93,'Master List'!D:H,3,FALSE),"NA")</f>
        <v>510707</v>
      </c>
      <c r="G93" s="58" t="str">
        <f>IFERROR(VLOOKUP(D93,'Master List'!D:H,4,FALSE),"NA")</f>
        <v>510707</v>
      </c>
      <c r="H93" s="39" t="str">
        <f>IFERROR(VLOOKUP(D93,'Master List'!D:H,5,FALSE),"NA")</f>
        <v>Health Information/Medical Records Technology/Technician.</v>
      </c>
      <c r="I93" s="19"/>
      <c r="J93" s="20"/>
      <c r="K93" s="20"/>
      <c r="L93" s="21"/>
    </row>
    <row r="94" spans="1:12" x14ac:dyDescent="0.3">
      <c r="A94" s="33">
        <v>15</v>
      </c>
      <c r="B94" s="33" t="s">
        <v>2160</v>
      </c>
      <c r="C94" s="34" t="s">
        <v>807</v>
      </c>
      <c r="D94" s="51" t="s">
        <v>87</v>
      </c>
      <c r="E94" s="61" t="str">
        <f>IFERROR(VLOOKUP(D94,'Master List'!D:H,2,FALSE),"NA")</f>
        <v>510806</v>
      </c>
      <c r="F94" s="62" t="str">
        <f>IFERROR(VLOOKUP(D94,'Master List'!D:H,3,FALSE),"NA")</f>
        <v>510806</v>
      </c>
      <c r="G94" s="58" t="str">
        <f>IFERROR(VLOOKUP(D94,'Master List'!D:H,4,FALSE),"NA")</f>
        <v>510806</v>
      </c>
      <c r="H94" s="39" t="str">
        <f>IFERROR(VLOOKUP(D94,'Master List'!D:H,5,FALSE),"NA")</f>
        <v>Physical Therapy Assistant.</v>
      </c>
      <c r="I94" s="19"/>
      <c r="J94" s="20"/>
      <c r="K94" s="20"/>
      <c r="L94" s="21"/>
    </row>
    <row r="95" spans="1:12" x14ac:dyDescent="0.3">
      <c r="A95" s="33">
        <v>15</v>
      </c>
      <c r="B95" s="33" t="s">
        <v>2160</v>
      </c>
      <c r="C95" s="34" t="s">
        <v>807</v>
      </c>
      <c r="D95" s="51" t="s">
        <v>679</v>
      </c>
      <c r="E95" s="61" t="str">
        <f>IFERROR(VLOOKUP(D95,'Master List'!D:H,2,FALSE),"NA")</f>
        <v>510808</v>
      </c>
      <c r="F95" s="62" t="str">
        <f>IFERROR(VLOOKUP(D95,'Master List'!D:H,3,FALSE),"NA")</f>
        <v>018301</v>
      </c>
      <c r="G95" s="58" t="str">
        <f>IFERROR(VLOOKUP(D95,'Master List'!D:H,4,FALSE),"NA")</f>
        <v>018301</v>
      </c>
      <c r="H95" s="39" t="str">
        <f>IFERROR(VLOOKUP(D95,'Master List'!D:H,5,FALSE),"NA")</f>
        <v>Veterinary/Animal Health Technology/Technician and Veterinary Assistant.</v>
      </c>
      <c r="I95" s="19"/>
      <c r="J95" s="20"/>
      <c r="K95" s="20"/>
      <c r="L95" s="21"/>
    </row>
    <row r="96" spans="1:12" x14ac:dyDescent="0.3">
      <c r="A96" s="33">
        <v>15</v>
      </c>
      <c r="B96" s="33" t="s">
        <v>2160</v>
      </c>
      <c r="C96" s="34" t="s">
        <v>807</v>
      </c>
      <c r="D96" s="51" t="s">
        <v>90</v>
      </c>
      <c r="E96" s="61" t="str">
        <f>IFERROR(VLOOKUP(D96,'Master List'!D:H,2,FALSE),"NA")</f>
        <v>510904</v>
      </c>
      <c r="F96" s="62" t="str">
        <f>IFERROR(VLOOKUP(D96,'Master List'!D:H,3,FALSE),"NA")</f>
        <v>510904</v>
      </c>
      <c r="G96" s="58" t="str">
        <f>IFERROR(VLOOKUP(D96,'Master List'!D:H,4,FALSE),"NA")</f>
        <v>510904</v>
      </c>
      <c r="H96" s="39" t="str">
        <f>IFERROR(VLOOKUP(D96,'Master List'!D:H,5,FALSE),"NA")</f>
        <v>Emergency Medical Technology/Technician (EMT Paramedic).</v>
      </c>
      <c r="I96" s="19"/>
      <c r="J96" s="20"/>
      <c r="K96" s="20"/>
      <c r="L96" s="21"/>
    </row>
    <row r="97" spans="1:12" x14ac:dyDescent="0.3">
      <c r="A97" s="33">
        <v>15</v>
      </c>
      <c r="B97" s="33" t="s">
        <v>2160</v>
      </c>
      <c r="C97" s="34" t="s">
        <v>807</v>
      </c>
      <c r="D97" s="51" t="s">
        <v>653</v>
      </c>
      <c r="E97" s="61" t="str">
        <f>IFERROR(VLOOKUP(D97,'Master List'!D:H,2,FALSE),"NA")</f>
        <v>510905</v>
      </c>
      <c r="F97" s="62" t="str">
        <f>IFERROR(VLOOKUP(D97,'Master List'!D:H,3,FALSE),"NA")</f>
        <v>510905</v>
      </c>
      <c r="G97" s="58" t="str">
        <f>IFERROR(VLOOKUP(D97,'Master List'!D:H,4,FALSE),"NA")</f>
        <v>510905</v>
      </c>
      <c r="H97" s="39" t="str">
        <f>IFERROR(VLOOKUP(D97,'Master List'!D:H,5,FALSE),"NA")</f>
        <v>Nuclear Medical Technology/Technologist.</v>
      </c>
      <c r="I97" s="19"/>
      <c r="J97" s="20"/>
      <c r="K97" s="20"/>
      <c r="L97" s="21"/>
    </row>
    <row r="98" spans="1:12" x14ac:dyDescent="0.3">
      <c r="A98" s="33">
        <v>15</v>
      </c>
      <c r="B98" s="33" t="s">
        <v>2160</v>
      </c>
      <c r="C98" s="34" t="s">
        <v>807</v>
      </c>
      <c r="D98" s="51" t="s">
        <v>91</v>
      </c>
      <c r="E98" s="61" t="str">
        <f>IFERROR(VLOOKUP(D98,'Master List'!D:H,2,FALSE),"NA")</f>
        <v>510907</v>
      </c>
      <c r="F98" s="62" t="str">
        <f>IFERROR(VLOOKUP(D98,'Master List'!D:H,3,FALSE),"NA")</f>
        <v>510907</v>
      </c>
      <c r="G98" s="58">
        <f>IFERROR(VLOOKUP(D98,'Master List'!D:H,4,FALSE),"NA")</f>
        <v>510911</v>
      </c>
      <c r="H98" s="39" t="str">
        <f>IFERROR(VLOOKUP(D98,'Master List'!D:H,5,FALSE),"NA")</f>
        <v>Radiologic Technology/Science - Radiographer</v>
      </c>
      <c r="I98" s="19"/>
      <c r="J98" s="20"/>
      <c r="K98" s="20"/>
      <c r="L98" s="21"/>
    </row>
    <row r="99" spans="1:12" x14ac:dyDescent="0.3">
      <c r="A99" s="33">
        <v>15</v>
      </c>
      <c r="B99" s="33" t="s">
        <v>2160</v>
      </c>
      <c r="C99" s="34" t="s">
        <v>807</v>
      </c>
      <c r="D99" s="51" t="s">
        <v>94</v>
      </c>
      <c r="E99" s="61" t="str">
        <f>IFERROR(VLOOKUP(D99,'Master List'!D:H,2,FALSE),"NA")</f>
        <v>510908</v>
      </c>
      <c r="F99" s="62" t="str">
        <f>IFERROR(VLOOKUP(D99,'Master List'!D:H,3,FALSE),"NA")</f>
        <v>510908</v>
      </c>
      <c r="G99" s="58" t="str">
        <f>IFERROR(VLOOKUP(D99,'Master List'!D:H,4,FALSE),"NA")</f>
        <v>510908</v>
      </c>
      <c r="H99" s="39" t="str">
        <f>IFERROR(VLOOKUP(D99,'Master List'!D:H,5,FALSE),"NA")</f>
        <v>Respiratory Care Therapy/Therapist.</v>
      </c>
      <c r="I99" s="19"/>
      <c r="J99" s="20"/>
      <c r="K99" s="20"/>
      <c r="L99" s="21"/>
    </row>
    <row r="100" spans="1:12" x14ac:dyDescent="0.3">
      <c r="A100" s="33">
        <v>15</v>
      </c>
      <c r="B100" s="33" t="s">
        <v>2160</v>
      </c>
      <c r="C100" s="34" t="s">
        <v>807</v>
      </c>
      <c r="D100" s="51" t="s">
        <v>98</v>
      </c>
      <c r="E100" s="61" t="str">
        <f>IFERROR(VLOOKUP(D100,'Master List'!D:H,2,FALSE),"NA")</f>
        <v>510910</v>
      </c>
      <c r="F100" s="62" t="str">
        <f>IFERROR(VLOOKUP(D100,'Master List'!D:H,3,FALSE),"NA")</f>
        <v>510910</v>
      </c>
      <c r="G100" s="58" t="str">
        <f>IFERROR(VLOOKUP(D100,'Master List'!D:H,4,FALSE),"NA")</f>
        <v>510910</v>
      </c>
      <c r="H100" s="39" t="str">
        <f>IFERROR(VLOOKUP(D100,'Master List'!D:H,5,FALSE),"NA")</f>
        <v>Diagnostic Medical Sonography/Sonographer and Ultrasound Technician.</v>
      </c>
      <c r="I100" s="19"/>
      <c r="J100" s="20"/>
      <c r="K100" s="20"/>
      <c r="L100" s="21"/>
    </row>
    <row r="101" spans="1:12" x14ac:dyDescent="0.3">
      <c r="A101" s="33">
        <v>15</v>
      </c>
      <c r="B101" s="33" t="s">
        <v>2160</v>
      </c>
      <c r="C101" s="34" t="s">
        <v>807</v>
      </c>
      <c r="D101" s="51" t="s">
        <v>839</v>
      </c>
      <c r="E101" s="61" t="str">
        <f>IFERROR(VLOOKUP(D101,'Master List'!D:H,2,FALSE),"NA")</f>
        <v>NA</v>
      </c>
      <c r="F101" s="62" t="str">
        <f>IFERROR(VLOOKUP(D101,'Master List'!D:H,3,FALSE),"NA")</f>
        <v>NA</v>
      </c>
      <c r="G101" s="58" t="str">
        <f>IFERROR(VLOOKUP(D101,'Master List'!D:H,4,FALSE),"NA")</f>
        <v>NA</v>
      </c>
      <c r="H101" s="39" t="str">
        <f>IFERROR(VLOOKUP(D101,'Master List'!D:H,5,FALSE),"NA")</f>
        <v>NA</v>
      </c>
      <c r="I101" s="19"/>
      <c r="J101" s="20"/>
      <c r="K101" s="20"/>
      <c r="L101" s="21"/>
    </row>
    <row r="102" spans="1:12" x14ac:dyDescent="0.3">
      <c r="A102" s="33">
        <v>15</v>
      </c>
      <c r="B102" s="33" t="s">
        <v>2160</v>
      </c>
      <c r="C102" s="34" t="s">
        <v>807</v>
      </c>
      <c r="D102" s="51" t="s">
        <v>332</v>
      </c>
      <c r="E102" s="61" t="str">
        <f>IFERROR(VLOOKUP(D102,'Master List'!D:H,2,FALSE),"NA")</f>
        <v>511004</v>
      </c>
      <c r="F102" s="62" t="str">
        <f>IFERROR(VLOOKUP(D102,'Master List'!D:H,3,FALSE),"NA")</f>
        <v>511004</v>
      </c>
      <c r="G102" s="58" t="str">
        <f>IFERROR(VLOOKUP(D102,'Master List'!D:H,4,FALSE),"NA")</f>
        <v>511004</v>
      </c>
      <c r="H102" s="39" t="str">
        <f>IFERROR(VLOOKUP(D102,'Master List'!D:H,5,FALSE),"NA")</f>
        <v>Clinical/Medical Laboratory Technician.</v>
      </c>
      <c r="I102" s="19"/>
      <c r="J102" s="20"/>
      <c r="K102" s="20"/>
      <c r="L102" s="21"/>
    </row>
    <row r="103" spans="1:12" x14ac:dyDescent="0.3">
      <c r="A103" s="33">
        <v>15</v>
      </c>
      <c r="B103" s="33" t="s">
        <v>2160</v>
      </c>
      <c r="C103" s="34" t="s">
        <v>807</v>
      </c>
      <c r="D103" s="51" t="s">
        <v>335</v>
      </c>
      <c r="E103" s="61" t="str">
        <f>IFERROR(VLOOKUP(D103,'Master List'!D:H,2,FALSE),"NA")</f>
        <v>511008</v>
      </c>
      <c r="F103" s="62" t="str">
        <f>IFERROR(VLOOKUP(D103,'Master List'!D:H,3,FALSE),"NA")</f>
        <v>511008</v>
      </c>
      <c r="G103" s="58" t="str">
        <f>IFERROR(VLOOKUP(D103,'Master List'!D:H,4,FALSE),"NA")</f>
        <v>511008</v>
      </c>
      <c r="H103" s="39" t="str">
        <f>IFERROR(VLOOKUP(D103,'Master List'!D:H,5,FALSE),"NA")</f>
        <v>Histologic Technician.</v>
      </c>
      <c r="I103" s="19"/>
      <c r="J103" s="20"/>
      <c r="K103" s="20"/>
      <c r="L103" s="21"/>
    </row>
    <row r="104" spans="1:12" x14ac:dyDescent="0.3">
      <c r="A104" s="33">
        <v>15</v>
      </c>
      <c r="B104" s="33" t="s">
        <v>2160</v>
      </c>
      <c r="C104" s="34" t="s">
        <v>807</v>
      </c>
      <c r="D104" s="51" t="s">
        <v>399</v>
      </c>
      <c r="E104" s="61" t="str">
        <f>IFERROR(VLOOKUP(D104,'Master List'!D:H,2,FALSE),"NA")</f>
        <v>NA</v>
      </c>
      <c r="F104" s="62" t="str">
        <f>IFERROR(VLOOKUP(D104,'Master List'!D:H,3,FALSE),"NA")</f>
        <v>NA</v>
      </c>
      <c r="G104" s="58" t="str">
        <f>IFERROR(VLOOKUP(D104,'Master List'!D:H,4,FALSE),"NA")</f>
        <v>NA</v>
      </c>
      <c r="H104" s="39" t="str">
        <f>IFERROR(VLOOKUP(D104,'Master List'!D:H,5,FALSE),"NA")</f>
        <v>NA</v>
      </c>
      <c r="I104" s="19"/>
      <c r="J104" s="20"/>
      <c r="K104" s="20"/>
      <c r="L104" s="21"/>
    </row>
    <row r="105" spans="1:12" x14ac:dyDescent="0.3">
      <c r="A105" s="33">
        <v>15</v>
      </c>
      <c r="B105" s="33" t="s">
        <v>2160</v>
      </c>
      <c r="C105" s="34" t="s">
        <v>807</v>
      </c>
      <c r="D105" s="51" t="s">
        <v>461</v>
      </c>
      <c r="E105" s="61" t="str">
        <f>IFERROR(VLOOKUP(D105,'Master List'!D:H,2,FALSE),"NA")</f>
        <v>511801</v>
      </c>
      <c r="F105" s="62" t="str">
        <f>IFERROR(VLOOKUP(D105,'Master List'!D:H,3,FALSE),"NA")</f>
        <v>511801</v>
      </c>
      <c r="G105" s="58" t="str">
        <f>IFERROR(VLOOKUP(D105,'Master List'!D:H,4,FALSE),"NA")</f>
        <v>511801</v>
      </c>
      <c r="H105" s="39" t="str">
        <f>IFERROR(VLOOKUP(D105,'Master List'!D:H,5,FALSE),"NA")</f>
        <v>Opticianry/Ophthalmic Dispensing Optician.</v>
      </c>
      <c r="I105" s="19"/>
      <c r="J105" s="20"/>
      <c r="K105" s="20"/>
      <c r="L105" s="21"/>
    </row>
    <row r="106" spans="1:12" x14ac:dyDescent="0.3">
      <c r="A106" s="33">
        <v>15</v>
      </c>
      <c r="B106" s="33" t="s">
        <v>2160</v>
      </c>
      <c r="C106" s="34" t="s">
        <v>807</v>
      </c>
      <c r="D106" s="51" t="s">
        <v>101</v>
      </c>
      <c r="E106" s="61" t="str">
        <f>IFERROR(VLOOKUP(D106,'Master List'!D:H,2,FALSE),"NA")</f>
        <v>513801</v>
      </c>
      <c r="F106" s="62" t="str">
        <f>IFERROR(VLOOKUP(D106,'Master List'!D:H,3,FALSE),"NA")</f>
        <v>513801</v>
      </c>
      <c r="G106" s="58" t="str">
        <f>IFERROR(VLOOKUP(D106,'Master List'!D:H,4,FALSE),"NA")</f>
        <v>513801</v>
      </c>
      <c r="H106" s="39" t="str">
        <f>IFERROR(VLOOKUP(D106,'Master List'!D:H,5,FALSE),"NA")</f>
        <v>Registered Nursing/Registered Nurse.</v>
      </c>
      <c r="I106" s="19"/>
      <c r="J106" s="20"/>
      <c r="K106" s="20"/>
      <c r="L106" s="21"/>
    </row>
    <row r="107" spans="1:12" x14ac:dyDescent="0.3">
      <c r="A107" s="33">
        <v>15</v>
      </c>
      <c r="B107" s="33" t="s">
        <v>2160</v>
      </c>
      <c r="C107" s="34" t="s">
        <v>807</v>
      </c>
      <c r="D107" s="51" t="s">
        <v>400</v>
      </c>
      <c r="E107" s="61" t="str">
        <f>IFERROR(VLOOKUP(D107,'Master List'!D:H,2,FALSE),"NA")</f>
        <v>131210</v>
      </c>
      <c r="F107" s="62" t="str">
        <f>IFERROR(VLOOKUP(D107,'Master List'!D:H,3,FALSE),"NA")</f>
        <v>131210</v>
      </c>
      <c r="G107" s="58" t="str">
        <f>IFERROR(VLOOKUP(D107,'Master List'!D:H,4,FALSE),"NA")</f>
        <v>131210</v>
      </c>
      <c r="H107" s="39" t="str">
        <f>IFERROR(VLOOKUP(D107,'Master List'!D:H,5,FALSE),"NA")</f>
        <v>Early Childhood Education and Teaching.</v>
      </c>
      <c r="I107" s="19"/>
      <c r="J107" s="20"/>
      <c r="K107" s="20"/>
      <c r="L107" s="21"/>
    </row>
    <row r="108" spans="1:12" x14ac:dyDescent="0.3">
      <c r="A108" s="33">
        <v>15</v>
      </c>
      <c r="B108" s="33" t="s">
        <v>2160</v>
      </c>
      <c r="C108" s="34" t="s">
        <v>807</v>
      </c>
      <c r="D108" s="51" t="s">
        <v>345</v>
      </c>
      <c r="E108" s="61" t="str">
        <f>IFERROR(VLOOKUP(D108,'Master List'!D:H,2,FALSE),"NA")</f>
        <v>500408</v>
      </c>
      <c r="F108" s="62" t="str">
        <f>IFERROR(VLOOKUP(D108,'Master List'!D:H,3,FALSE),"NA")</f>
        <v>500408</v>
      </c>
      <c r="G108" s="58" t="str">
        <f>IFERROR(VLOOKUP(D108,'Master List'!D:H,4,FALSE),"NA")</f>
        <v>500408</v>
      </c>
      <c r="H108" s="39" t="str">
        <f>IFERROR(VLOOKUP(D108,'Master List'!D:H,5,FALSE),"NA")</f>
        <v>Interior Design.</v>
      </c>
      <c r="I108" s="19"/>
      <c r="J108" s="20"/>
      <c r="K108" s="20"/>
      <c r="L108" s="21"/>
    </row>
    <row r="109" spans="1:12" x14ac:dyDescent="0.3">
      <c r="A109" s="33">
        <v>15</v>
      </c>
      <c r="B109" s="33" t="s">
        <v>2160</v>
      </c>
      <c r="C109" s="34" t="s">
        <v>807</v>
      </c>
      <c r="D109" s="51" t="s">
        <v>840</v>
      </c>
      <c r="E109" s="61" t="str">
        <f>IFERROR(VLOOKUP(D109,'Master List'!D:H,2,FALSE),"NA")</f>
        <v>NA</v>
      </c>
      <c r="F109" s="62" t="str">
        <f>IFERROR(VLOOKUP(D109,'Master List'!D:H,3,FALSE),"NA")</f>
        <v>NA</v>
      </c>
      <c r="G109" s="58" t="str">
        <f>IFERROR(VLOOKUP(D109,'Master List'!D:H,4,FALSE),"NA")</f>
        <v>NA</v>
      </c>
      <c r="H109" s="39" t="str">
        <f>IFERROR(VLOOKUP(D109,'Master List'!D:H,5,FALSE),"NA")</f>
        <v>NA</v>
      </c>
      <c r="I109" s="19"/>
      <c r="J109" s="20"/>
      <c r="K109" s="20"/>
      <c r="L109" s="21"/>
    </row>
    <row r="110" spans="1:12" x14ac:dyDescent="0.3">
      <c r="A110" s="33">
        <v>15</v>
      </c>
      <c r="B110" s="33" t="s">
        <v>2160</v>
      </c>
      <c r="C110" s="34" t="s">
        <v>807</v>
      </c>
      <c r="D110" s="51" t="s">
        <v>167</v>
      </c>
      <c r="E110" s="61" t="str">
        <f>IFERROR(VLOOKUP(D110,'Master List'!D:H,2,FALSE),"NA")</f>
        <v>110103</v>
      </c>
      <c r="F110" s="62" t="str">
        <f>IFERROR(VLOOKUP(D110,'Master List'!D:H,3,FALSE),"NA")</f>
        <v>110103</v>
      </c>
      <c r="G110" s="58" t="str">
        <f>IFERROR(VLOOKUP(D110,'Master List'!D:H,4,FALSE),"NA")</f>
        <v>110103</v>
      </c>
      <c r="H110" s="39" t="str">
        <f>IFERROR(VLOOKUP(D110,'Master List'!D:H,5,FALSE),"NA")</f>
        <v>Information Technology.</v>
      </c>
      <c r="I110" s="19"/>
      <c r="J110" s="20"/>
      <c r="K110" s="20"/>
      <c r="L110" s="21"/>
    </row>
    <row r="111" spans="1:12" x14ac:dyDescent="0.3">
      <c r="A111" s="33">
        <v>15</v>
      </c>
      <c r="B111" s="33" t="s">
        <v>2160</v>
      </c>
      <c r="C111" s="34" t="s">
        <v>807</v>
      </c>
      <c r="D111" s="51" t="s">
        <v>105</v>
      </c>
      <c r="E111" s="61" t="str">
        <f>IFERROR(VLOOKUP(D111,'Master List'!D:H,2,FALSE),"NA")</f>
        <v>NA</v>
      </c>
      <c r="F111" s="62" t="str">
        <f>IFERROR(VLOOKUP(D111,'Master List'!D:H,3,FALSE),"NA")</f>
        <v>NA</v>
      </c>
      <c r="G111" s="58" t="str">
        <f>IFERROR(VLOOKUP(D111,'Master List'!D:H,4,FALSE),"NA")</f>
        <v>NA</v>
      </c>
      <c r="H111" s="39" t="str">
        <f>IFERROR(VLOOKUP(D111,'Master List'!D:H,5,FALSE),"NA")</f>
        <v>NA</v>
      </c>
      <c r="I111" s="19"/>
      <c r="J111" s="20"/>
      <c r="K111" s="20"/>
      <c r="L111" s="21"/>
    </row>
    <row r="112" spans="1:12" x14ac:dyDescent="0.3">
      <c r="A112" s="33">
        <v>15</v>
      </c>
      <c r="B112" s="33" t="s">
        <v>2160</v>
      </c>
      <c r="C112" s="34" t="s">
        <v>807</v>
      </c>
      <c r="D112" s="51" t="s">
        <v>170</v>
      </c>
      <c r="E112" s="61" t="str">
        <f>IFERROR(VLOOKUP(D112,'Master List'!D:H,2,FALSE),"NA")</f>
        <v>110201</v>
      </c>
      <c r="F112" s="62" t="str">
        <f>IFERROR(VLOOKUP(D112,'Master List'!D:H,3,FALSE),"NA")</f>
        <v>110201</v>
      </c>
      <c r="G112" s="58" t="str">
        <f>IFERROR(VLOOKUP(D112,'Master List'!D:H,4,FALSE),"NA")</f>
        <v>110201</v>
      </c>
      <c r="H112" s="39" t="str">
        <f>IFERROR(VLOOKUP(D112,'Master List'!D:H,5,FALSE),"NA")</f>
        <v>Computer Programming/Programmer, General.</v>
      </c>
      <c r="I112" s="19"/>
      <c r="J112" s="20"/>
      <c r="K112" s="20"/>
      <c r="L112" s="21"/>
    </row>
    <row r="113" spans="1:12" x14ac:dyDescent="0.3">
      <c r="A113" s="33">
        <v>15</v>
      </c>
      <c r="B113" s="33" t="s">
        <v>2160</v>
      </c>
      <c r="C113" s="34" t="s">
        <v>807</v>
      </c>
      <c r="D113" s="51" t="s">
        <v>106</v>
      </c>
      <c r="E113" s="61" t="str">
        <f>IFERROR(VLOOKUP(D113,'Master List'!D:H,2,FALSE),"NA")</f>
        <v>111001</v>
      </c>
      <c r="F113" s="62" t="str">
        <f>IFERROR(VLOOKUP(D113,'Master List'!D:H,3,FALSE),"NA")</f>
        <v>111001</v>
      </c>
      <c r="G113" s="58" t="str">
        <f>IFERROR(VLOOKUP(D113,'Master List'!D:H,4,FALSE),"NA")</f>
        <v>111001</v>
      </c>
      <c r="H113" s="39" t="str">
        <f>IFERROR(VLOOKUP(D113,'Master List'!D:H,5,FALSE),"NA")</f>
        <v>Network and System Administration/Administrator.</v>
      </c>
      <c r="I113" s="19"/>
      <c r="J113" s="20"/>
      <c r="K113" s="20"/>
      <c r="L113" s="21"/>
    </row>
    <row r="114" spans="1:12" x14ac:dyDescent="0.3">
      <c r="A114" s="33">
        <v>15</v>
      </c>
      <c r="B114" s="33" t="s">
        <v>2160</v>
      </c>
      <c r="C114" s="34" t="s">
        <v>807</v>
      </c>
      <c r="D114" s="51" t="s">
        <v>725</v>
      </c>
      <c r="E114" s="61" t="str">
        <f>IFERROR(VLOOKUP(D114,'Master List'!D:H,2,FALSE),"NA")</f>
        <v>111003</v>
      </c>
      <c r="F114" s="62" t="str">
        <f>IFERROR(VLOOKUP(D114,'Master List'!D:H,3,FALSE),"NA")</f>
        <v>111003</v>
      </c>
      <c r="G114" s="58" t="str">
        <f>IFERROR(VLOOKUP(D114,'Master List'!D:H,4,FALSE),"NA")</f>
        <v>111003</v>
      </c>
      <c r="H114" s="39" t="str">
        <f>IFERROR(VLOOKUP(D114,'Master List'!D:H,5,FALSE),"NA")</f>
        <v>Computer and Information Systems Security/Auditing/Information Assurance.</v>
      </c>
      <c r="I114" s="19"/>
      <c r="J114" s="20"/>
      <c r="K114" s="20"/>
      <c r="L114" s="21"/>
    </row>
    <row r="115" spans="1:12" x14ac:dyDescent="0.3">
      <c r="A115" s="33">
        <v>15</v>
      </c>
      <c r="B115" s="33" t="s">
        <v>2160</v>
      </c>
      <c r="C115" s="34" t="s">
        <v>807</v>
      </c>
      <c r="D115" s="51" t="s">
        <v>841</v>
      </c>
      <c r="E115" s="61" t="str">
        <f>IFERROR(VLOOKUP(D115,'Master List'!D:H,2,FALSE),"NA")</f>
        <v>500411</v>
      </c>
      <c r="F115" s="62" t="str">
        <f>IFERROR(VLOOKUP(D115,'Master List'!D:H,3,FALSE),"NA")</f>
        <v>500411</v>
      </c>
      <c r="G115" s="58" t="str">
        <f>IFERROR(VLOOKUP(D115,'Master List'!D:H,4,FALSE),"NA")</f>
        <v>500411</v>
      </c>
      <c r="H115" s="39" t="str">
        <f>IFERROR(VLOOKUP(D115,'Master List'!D:H,5,FALSE),"NA")</f>
        <v>Game and Interactive Media Design.</v>
      </c>
      <c r="I115" s="19"/>
      <c r="J115" s="20"/>
      <c r="K115" s="20"/>
      <c r="L115" s="21"/>
    </row>
    <row r="116" spans="1:12" x14ac:dyDescent="0.3">
      <c r="A116" s="33">
        <v>15</v>
      </c>
      <c r="B116" s="33" t="s">
        <v>2160</v>
      </c>
      <c r="C116" s="34" t="s">
        <v>807</v>
      </c>
      <c r="D116" s="51" t="s">
        <v>107</v>
      </c>
      <c r="E116" s="61" t="str">
        <f>IFERROR(VLOOKUP(D116,'Master List'!D:H,2,FALSE),"NA")</f>
        <v>520201</v>
      </c>
      <c r="F116" s="62" t="str">
        <f>IFERROR(VLOOKUP(D116,'Master List'!D:H,3,FALSE),"NA")</f>
        <v>520201</v>
      </c>
      <c r="G116" s="58" t="str">
        <f>IFERROR(VLOOKUP(D116,'Master List'!D:H,4,FALSE),"NA")</f>
        <v>520201</v>
      </c>
      <c r="H116" s="39" t="str">
        <f>IFERROR(VLOOKUP(D116,'Master List'!D:H,5,FALSE),"NA")</f>
        <v>Business Administration and Management, General.</v>
      </c>
      <c r="I116" s="19"/>
      <c r="J116" s="20"/>
      <c r="K116" s="20"/>
      <c r="L116" s="21"/>
    </row>
    <row r="117" spans="1:12" x14ac:dyDescent="0.3">
      <c r="A117" s="33">
        <v>15</v>
      </c>
      <c r="B117" s="33" t="s">
        <v>2160</v>
      </c>
      <c r="C117" s="34" t="s">
        <v>807</v>
      </c>
      <c r="D117" s="51" t="s">
        <v>110</v>
      </c>
      <c r="E117" s="61" t="str">
        <f>IFERROR(VLOOKUP(D117,'Master List'!D:H,2,FALSE),"NA")</f>
        <v>520302</v>
      </c>
      <c r="F117" s="62" t="str">
        <f>IFERROR(VLOOKUP(D117,'Master List'!D:H,3,FALSE),"NA")</f>
        <v>520302</v>
      </c>
      <c r="G117" s="58" t="str">
        <f>IFERROR(VLOOKUP(D117,'Master List'!D:H,4,FALSE),"NA")</f>
        <v>520302</v>
      </c>
      <c r="H117" s="39" t="str">
        <f>IFERROR(VLOOKUP(D117,'Master List'!D:H,5,FALSE),"NA")</f>
        <v>Accounting Technology/Technician and Bookkeeping.</v>
      </c>
      <c r="I117" s="19"/>
      <c r="J117" s="20"/>
      <c r="K117" s="20"/>
      <c r="L117" s="21"/>
    </row>
    <row r="118" spans="1:12" x14ac:dyDescent="0.3">
      <c r="A118" s="33">
        <v>15</v>
      </c>
      <c r="B118" s="33" t="s">
        <v>2160</v>
      </c>
      <c r="C118" s="34" t="s">
        <v>807</v>
      </c>
      <c r="D118" s="51" t="s">
        <v>111</v>
      </c>
      <c r="E118" s="61" t="str">
        <f>IFERROR(VLOOKUP(D118,'Master List'!D:H,2,FALSE),"NA")</f>
        <v>520703</v>
      </c>
      <c r="F118" s="62" t="str">
        <f>IFERROR(VLOOKUP(D118,'Master List'!D:H,3,FALSE),"NA")</f>
        <v>520703</v>
      </c>
      <c r="G118" s="58" t="str">
        <f>IFERROR(VLOOKUP(D118,'Master List'!D:H,4,FALSE),"NA")</f>
        <v>520703</v>
      </c>
      <c r="H118" s="39" t="str">
        <f>IFERROR(VLOOKUP(D118,'Master List'!D:H,5,FALSE),"NA")</f>
        <v>Small Business Administration/Management.</v>
      </c>
      <c r="I118" s="19"/>
      <c r="J118" s="20"/>
      <c r="K118" s="20"/>
      <c r="L118" s="21"/>
    </row>
    <row r="119" spans="1:12" x14ac:dyDescent="0.3">
      <c r="A119" s="33">
        <v>15</v>
      </c>
      <c r="B119" s="33" t="s">
        <v>2160</v>
      </c>
      <c r="C119" s="34" t="s">
        <v>807</v>
      </c>
      <c r="D119" s="51" t="s">
        <v>842</v>
      </c>
      <c r="E119" s="61" t="str">
        <f>IFERROR(VLOOKUP(D119,'Master List'!D:H,2,FALSE),"NA")</f>
        <v>521301</v>
      </c>
      <c r="F119" s="62" t="str">
        <f>IFERROR(VLOOKUP(D119,'Master List'!D:H,3,FALSE),"NA")</f>
        <v>521301</v>
      </c>
      <c r="G119" s="58">
        <f>IFERROR(VLOOKUP(D119,'Master List'!D:H,4,FALSE),"NA")</f>
        <v>307001</v>
      </c>
      <c r="H119" s="39" t="str">
        <f>IFERROR(VLOOKUP(D119,'Master List'!D:H,5,FALSE),"NA")</f>
        <v xml:space="preserve">Data Science, General. </v>
      </c>
      <c r="I119" s="19"/>
      <c r="J119" s="20"/>
      <c r="K119" s="20"/>
      <c r="L119" s="21"/>
    </row>
    <row r="120" spans="1:12" x14ac:dyDescent="0.3">
      <c r="A120" s="33">
        <v>15</v>
      </c>
      <c r="B120" s="33" t="s">
        <v>2160</v>
      </c>
      <c r="C120" s="34" t="s">
        <v>807</v>
      </c>
      <c r="D120" s="51" t="s">
        <v>353</v>
      </c>
      <c r="E120" s="61" t="str">
        <f>IFERROR(VLOOKUP(D120,'Master List'!D:H,2,FALSE),"NA")</f>
        <v>040901</v>
      </c>
      <c r="F120" s="62" t="str">
        <f>IFERROR(VLOOKUP(D120,'Master List'!D:H,3,FALSE),"NA")</f>
        <v>040901</v>
      </c>
      <c r="G120" s="58" t="str">
        <f>IFERROR(VLOOKUP(D120,'Master List'!D:H,4,FALSE),"NA")</f>
        <v>040901</v>
      </c>
      <c r="H120" s="39" t="str">
        <f>IFERROR(VLOOKUP(D120,'Master List'!D:H,5,FALSE),"NA")</f>
        <v>Architectural Technology/Technician.</v>
      </c>
      <c r="I120" s="19"/>
      <c r="J120" s="20"/>
      <c r="K120" s="20"/>
      <c r="L120" s="21"/>
    </row>
    <row r="121" spans="1:12" x14ac:dyDescent="0.3">
      <c r="A121" s="33">
        <v>15</v>
      </c>
      <c r="B121" s="33" t="s">
        <v>2160</v>
      </c>
      <c r="C121" s="34" t="s">
        <v>807</v>
      </c>
      <c r="D121" s="51" t="s">
        <v>843</v>
      </c>
      <c r="E121" s="61" t="str">
        <f>IFERROR(VLOOKUP(D121,'Master List'!D:H,2,FALSE),"NA")</f>
        <v>100202</v>
      </c>
      <c r="F121" s="62" t="str">
        <f>IFERROR(VLOOKUP(D121,'Master List'!D:H,3,FALSE),"NA")</f>
        <v>100202</v>
      </c>
      <c r="G121" s="58" t="str">
        <f>IFERROR(VLOOKUP(D121,'Master List'!D:H,4,FALSE),"NA")</f>
        <v>100202</v>
      </c>
      <c r="H121" s="39" t="str">
        <f>IFERROR(VLOOKUP(D121,'Master List'!D:H,5,FALSE),"NA")</f>
        <v>Radio and Television Broadcasting Technology/Technician.</v>
      </c>
      <c r="I121" s="19"/>
      <c r="J121" s="20"/>
      <c r="K121" s="20"/>
      <c r="L121" s="21"/>
    </row>
    <row r="122" spans="1:12" x14ac:dyDescent="0.3">
      <c r="A122" s="33">
        <v>15</v>
      </c>
      <c r="B122" s="33" t="s">
        <v>2160</v>
      </c>
      <c r="C122" s="34" t="s">
        <v>807</v>
      </c>
      <c r="D122" s="51" t="s">
        <v>844</v>
      </c>
      <c r="E122" s="61" t="str">
        <f>IFERROR(VLOOKUP(D122,'Master List'!D:H,2,FALSE),"NA")</f>
        <v>100304</v>
      </c>
      <c r="F122" s="62" t="str">
        <f>IFERROR(VLOOKUP(D122,'Master List'!D:H,3,FALSE),"NA")</f>
        <v>100304</v>
      </c>
      <c r="G122" s="58" t="str">
        <f>IFERROR(VLOOKUP(D122,'Master List'!D:H,4,FALSE),"NA")</f>
        <v>100304</v>
      </c>
      <c r="H122" s="39" t="str">
        <f>IFERROR(VLOOKUP(D122,'Master List'!D:H,5,FALSE),"NA")</f>
        <v>Animation, Interactive Technology, Video Graphics, and Special Effects.</v>
      </c>
      <c r="I122" s="19"/>
      <c r="J122" s="20"/>
      <c r="K122" s="20"/>
      <c r="L122" s="21"/>
    </row>
    <row r="123" spans="1:12" x14ac:dyDescent="0.3">
      <c r="A123" s="33">
        <v>15</v>
      </c>
      <c r="B123" s="33" t="s">
        <v>2160</v>
      </c>
      <c r="C123" s="34" t="s">
        <v>807</v>
      </c>
      <c r="D123" s="51" t="s">
        <v>114</v>
      </c>
      <c r="E123" s="61" t="str">
        <f>IFERROR(VLOOKUP(D123,'Master List'!D:H,2,FALSE),"NA")</f>
        <v>110801</v>
      </c>
      <c r="F123" s="62" t="str">
        <f>IFERROR(VLOOKUP(D123,'Master List'!D:H,3,FALSE),"NA")</f>
        <v>110801</v>
      </c>
      <c r="G123" s="58" t="str">
        <f>IFERROR(VLOOKUP(D123,'Master List'!D:H,4,FALSE),"NA")</f>
        <v>110801</v>
      </c>
      <c r="H123" s="39" t="str">
        <f>IFERROR(VLOOKUP(D123,'Master List'!D:H,5,FALSE),"NA")</f>
        <v>Web Page, Digital/Multimedia and Information Resources Design.</v>
      </c>
      <c r="I123" s="19"/>
      <c r="J123" s="20"/>
      <c r="K123" s="20"/>
      <c r="L123" s="21"/>
    </row>
    <row r="124" spans="1:12" x14ac:dyDescent="0.3">
      <c r="A124" s="33">
        <v>15</v>
      </c>
      <c r="B124" s="33" t="s">
        <v>2160</v>
      </c>
      <c r="C124" s="34" t="s">
        <v>807</v>
      </c>
      <c r="D124" s="51" t="s">
        <v>583</v>
      </c>
      <c r="E124" s="61" t="str">
        <f>IFERROR(VLOOKUP(D124,'Master List'!D:H,2,FALSE),"NA")</f>
        <v>110803</v>
      </c>
      <c r="F124" s="62" t="str">
        <f>IFERROR(VLOOKUP(D124,'Master List'!D:H,3,FALSE),"NA")</f>
        <v>110803</v>
      </c>
      <c r="G124" s="58" t="str">
        <f>IFERROR(VLOOKUP(D124,'Master List'!D:H,4,FALSE),"NA")</f>
        <v>110803</v>
      </c>
      <c r="H124" s="39" t="str">
        <f>IFERROR(VLOOKUP(D124,'Master List'!D:H,5,FALSE),"NA")</f>
        <v>Computer Graphics.</v>
      </c>
      <c r="I124" s="19"/>
      <c r="J124" s="20"/>
      <c r="K124" s="20"/>
      <c r="L124" s="21"/>
    </row>
    <row r="125" spans="1:12" x14ac:dyDescent="0.3">
      <c r="A125" s="33">
        <v>15</v>
      </c>
      <c r="B125" s="33" t="s">
        <v>2160</v>
      </c>
      <c r="C125" s="34" t="s">
        <v>807</v>
      </c>
      <c r="D125" s="51" t="s">
        <v>845</v>
      </c>
      <c r="E125" s="61" t="str">
        <f>IFERROR(VLOOKUP(D125,'Master List'!D:H,2,FALSE),"NA")</f>
        <v>110803</v>
      </c>
      <c r="F125" s="62" t="str">
        <f>IFERROR(VLOOKUP(D125,'Master List'!D:H,3,FALSE),"NA")</f>
        <v>110803</v>
      </c>
      <c r="G125" s="58">
        <f>IFERROR(VLOOKUP(D125,'Master List'!D:H,4,FALSE),"NA")</f>
        <v>100301</v>
      </c>
      <c r="H125" s="39" t="str">
        <f>IFERROR(VLOOKUP(D125,'Master List'!D:H,5,FALSE),"NA")</f>
        <v>Graphic Communications, General</v>
      </c>
      <c r="I125" s="19"/>
      <c r="J125" s="20"/>
      <c r="K125" s="20"/>
      <c r="L125" s="21"/>
    </row>
    <row r="126" spans="1:12" x14ac:dyDescent="0.3">
      <c r="A126" s="33">
        <v>15</v>
      </c>
      <c r="B126" s="33" t="s">
        <v>2160</v>
      </c>
      <c r="C126" s="34" t="s">
        <v>807</v>
      </c>
      <c r="D126" s="51" t="s">
        <v>173</v>
      </c>
      <c r="E126" s="61" t="str">
        <f>IFERROR(VLOOKUP(D126,'Master List'!D:H,2,FALSE),"NA")</f>
        <v>NA</v>
      </c>
      <c r="F126" s="62" t="str">
        <f>IFERROR(VLOOKUP(D126,'Master List'!D:H,3,FALSE),"NA")</f>
        <v>NA</v>
      </c>
      <c r="G126" s="58" t="str">
        <f>IFERROR(VLOOKUP(D126,'Master List'!D:H,4,FALSE),"NA")</f>
        <v>NA</v>
      </c>
      <c r="H126" s="39" t="str">
        <f>IFERROR(VLOOKUP(D126,'Master List'!D:H,5,FALSE),"NA")</f>
        <v>NA</v>
      </c>
      <c r="I126" s="19"/>
      <c r="J126" s="20"/>
      <c r="K126" s="20"/>
      <c r="L126" s="21"/>
    </row>
    <row r="127" spans="1:12" x14ac:dyDescent="0.3">
      <c r="A127" s="33">
        <v>15</v>
      </c>
      <c r="B127" s="33" t="s">
        <v>2160</v>
      </c>
      <c r="C127" s="34" t="s">
        <v>807</v>
      </c>
      <c r="D127" s="51" t="s">
        <v>468</v>
      </c>
      <c r="E127" s="61" t="str">
        <f>IFERROR(VLOOKUP(D127,'Master List'!D:H,2,FALSE),"NA")</f>
        <v>150303</v>
      </c>
      <c r="F127" s="62" t="str">
        <f>IFERROR(VLOOKUP(D127,'Master List'!D:H,3,FALSE),"NA")</f>
        <v>150303</v>
      </c>
      <c r="G127" s="58" t="str">
        <f>IFERROR(VLOOKUP(D127,'Master List'!D:H,4,FALSE),"NA")</f>
        <v>150303</v>
      </c>
      <c r="H127" s="39" t="str">
        <f>IFERROR(VLOOKUP(D127,'Master List'!D:H,5,FALSE),"NA")</f>
        <v>Electrical, Electronic, and Communications Engineering Technology/Technician.</v>
      </c>
      <c r="I127" s="19"/>
      <c r="J127" s="20"/>
      <c r="K127" s="20"/>
      <c r="L127" s="21"/>
    </row>
    <row r="128" spans="1:12" x14ac:dyDescent="0.3">
      <c r="A128" s="33">
        <v>15</v>
      </c>
      <c r="B128" s="33" t="s">
        <v>2160</v>
      </c>
      <c r="C128" s="34" t="s">
        <v>807</v>
      </c>
      <c r="D128" s="51" t="s">
        <v>846</v>
      </c>
      <c r="E128" s="61" t="str">
        <f>IFERROR(VLOOKUP(D128,'Master List'!D:H,2,FALSE),"NA")</f>
        <v>150303</v>
      </c>
      <c r="F128" s="62" t="str">
        <f>IFERROR(VLOOKUP(D128,'Master List'!D:H,3,FALSE),"NA")</f>
        <v>150303</v>
      </c>
      <c r="G128" s="58" t="str">
        <f>IFERROR(VLOOKUP(D128,'Master List'!D:H,4,FALSE),"NA")</f>
        <v>150303</v>
      </c>
      <c r="H128" s="39" t="str">
        <f>IFERROR(VLOOKUP(D128,'Master List'!D:H,5,FALSE),"NA")</f>
        <v>Electrical, Electronic, and Communications Engineering Technology/Technician.</v>
      </c>
      <c r="I128" s="19"/>
      <c r="J128" s="20"/>
      <c r="K128" s="20"/>
      <c r="L128" s="21"/>
    </row>
    <row r="129" spans="1:12" x14ac:dyDescent="0.3">
      <c r="A129" s="33">
        <v>15</v>
      </c>
      <c r="B129" s="33" t="s">
        <v>2160</v>
      </c>
      <c r="C129" s="34" t="s">
        <v>807</v>
      </c>
      <c r="D129" s="51" t="s">
        <v>796</v>
      </c>
      <c r="E129" s="61" t="str">
        <f>IFERROR(VLOOKUP(D129,'Master List'!D:H,2,FALSE),"NA")</f>
        <v>150303</v>
      </c>
      <c r="F129" s="62" t="str">
        <f>IFERROR(VLOOKUP(D129,'Master List'!D:H,3,FALSE),"NA")</f>
        <v>150303</v>
      </c>
      <c r="G129" s="58" t="str">
        <f>IFERROR(VLOOKUP(D129,'Master List'!D:H,4,FALSE),"NA")</f>
        <v>150303</v>
      </c>
      <c r="H129" s="39" t="str">
        <f>IFERROR(VLOOKUP(D129,'Master List'!D:H,5,FALSE),"NA")</f>
        <v>Electrical, Electronic, and Communications Engineering Technology/Technician.</v>
      </c>
      <c r="I129" s="19"/>
      <c r="J129" s="20"/>
      <c r="K129" s="20"/>
      <c r="L129" s="21"/>
    </row>
    <row r="130" spans="1:12" x14ac:dyDescent="0.3">
      <c r="A130" s="33">
        <v>15</v>
      </c>
      <c r="B130" s="33" t="s">
        <v>2160</v>
      </c>
      <c r="C130" s="34" t="s">
        <v>807</v>
      </c>
      <c r="D130" s="51" t="s">
        <v>357</v>
      </c>
      <c r="E130" s="61" t="str">
        <f>IFERROR(VLOOKUP(D130,'Master List'!D:H,2,FALSE),"NA")</f>
        <v>NA</v>
      </c>
      <c r="F130" s="62" t="str">
        <f>IFERROR(VLOOKUP(D130,'Master List'!D:H,3,FALSE),"NA")</f>
        <v>NA</v>
      </c>
      <c r="G130" s="58" t="str">
        <f>IFERROR(VLOOKUP(D130,'Master List'!D:H,4,FALSE),"NA")</f>
        <v>NA</v>
      </c>
      <c r="H130" s="39" t="str">
        <f>IFERROR(VLOOKUP(D130,'Master List'!D:H,5,FALSE),"NA")</f>
        <v>NA</v>
      </c>
      <c r="I130" s="19"/>
      <c r="J130" s="20"/>
      <c r="K130" s="20"/>
      <c r="L130" s="21"/>
    </row>
    <row r="131" spans="1:12" x14ac:dyDescent="0.3">
      <c r="A131" s="33">
        <v>15</v>
      </c>
      <c r="B131" s="33" t="s">
        <v>2160</v>
      </c>
      <c r="C131" s="34" t="s">
        <v>807</v>
      </c>
      <c r="D131" s="51" t="s">
        <v>847</v>
      </c>
      <c r="E131" s="61" t="str">
        <f>IFERROR(VLOOKUP(D131,'Master List'!D:H,2,FALSE),"NA")</f>
        <v>150613</v>
      </c>
      <c r="F131" s="62" t="str">
        <f>IFERROR(VLOOKUP(D131,'Master List'!D:H,3,FALSE),"NA")</f>
        <v>150613</v>
      </c>
      <c r="G131" s="58" t="str">
        <f>IFERROR(VLOOKUP(D131,'Master List'!D:H,4,FALSE),"NA")</f>
        <v>150613</v>
      </c>
      <c r="H131" s="39" t="str">
        <f>IFERROR(VLOOKUP(D131,'Master List'!D:H,5,FALSE),"NA")</f>
        <v>Manufacturing Engineering Technology/Technician.</v>
      </c>
      <c r="I131" s="19"/>
      <c r="J131" s="20"/>
      <c r="K131" s="20"/>
      <c r="L131" s="21"/>
    </row>
    <row r="132" spans="1:12" x14ac:dyDescent="0.3">
      <c r="A132" s="33">
        <v>15</v>
      </c>
      <c r="B132" s="33" t="s">
        <v>2160</v>
      </c>
      <c r="C132" s="34" t="s">
        <v>807</v>
      </c>
      <c r="D132" s="51" t="s">
        <v>358</v>
      </c>
      <c r="E132" s="61" t="str">
        <f>IFERROR(VLOOKUP(D132,'Master List'!D:H,2,FALSE),"NA")</f>
        <v>151001</v>
      </c>
      <c r="F132" s="62" t="str">
        <f>IFERROR(VLOOKUP(D132,'Master List'!D:H,3,FALSE),"NA")</f>
        <v>151001</v>
      </c>
      <c r="G132" s="58" t="str">
        <f>IFERROR(VLOOKUP(D132,'Master List'!D:H,4,FALSE),"NA")</f>
        <v>151001</v>
      </c>
      <c r="H132" s="39" t="str">
        <f>IFERROR(VLOOKUP(D132,'Master List'!D:H,5,FALSE),"NA")</f>
        <v>Construction Engineering Technology/Technician.</v>
      </c>
      <c r="I132" s="19"/>
      <c r="J132" s="20"/>
      <c r="K132" s="20"/>
      <c r="L132" s="21"/>
    </row>
    <row r="133" spans="1:12" x14ac:dyDescent="0.3">
      <c r="A133" s="33">
        <v>15</v>
      </c>
      <c r="B133" s="33" t="s">
        <v>2160</v>
      </c>
      <c r="C133" s="34" t="s">
        <v>807</v>
      </c>
      <c r="D133" s="51" t="s">
        <v>472</v>
      </c>
      <c r="E133" s="61" t="str">
        <f>IFERROR(VLOOKUP(D133,'Master List'!D:H,2,FALSE),"NA")</f>
        <v>151201</v>
      </c>
      <c r="F133" s="62" t="str">
        <f>IFERROR(VLOOKUP(D133,'Master List'!D:H,3,FALSE),"NA")</f>
        <v>151201</v>
      </c>
      <c r="G133" s="58" t="str">
        <f>IFERROR(VLOOKUP(D133,'Master List'!D:H,4,FALSE),"NA")</f>
        <v>151201</v>
      </c>
      <c r="H133" s="39" t="str">
        <f>IFERROR(VLOOKUP(D133,'Master List'!D:H,5,FALSE),"NA")</f>
        <v>Computer Engineering Technology/Technician.</v>
      </c>
      <c r="I133" s="19"/>
      <c r="J133" s="20"/>
      <c r="K133" s="20"/>
      <c r="L133" s="21"/>
    </row>
    <row r="134" spans="1:12" x14ac:dyDescent="0.3">
      <c r="A134" s="33">
        <v>15</v>
      </c>
      <c r="B134" s="33" t="s">
        <v>2160</v>
      </c>
      <c r="C134" s="34" t="s">
        <v>807</v>
      </c>
      <c r="D134" s="51" t="s">
        <v>405</v>
      </c>
      <c r="E134" s="61" t="str">
        <f>IFERROR(VLOOKUP(D134,'Master List'!D:H,2,FALSE),"NA")</f>
        <v>151301</v>
      </c>
      <c r="F134" s="62" t="str">
        <f>IFERROR(VLOOKUP(D134,'Master List'!D:H,3,FALSE),"NA")</f>
        <v>151301</v>
      </c>
      <c r="G134" s="58">
        <f>IFERROR(VLOOKUP(D134,'Master List'!D:H,4,FALSE),"NA")</f>
        <v>151302</v>
      </c>
      <c r="H134" s="39" t="str">
        <f>IFERROR(VLOOKUP(D134,'Master List'!D:H,5,FALSE),"NA")</f>
        <v>CAD/CADD Drafting and/or Design Technology/Technician</v>
      </c>
      <c r="I134" s="19"/>
      <c r="J134" s="20"/>
      <c r="K134" s="20"/>
      <c r="L134" s="21"/>
    </row>
    <row r="135" spans="1:12" x14ac:dyDescent="0.3">
      <c r="A135" s="33">
        <v>15</v>
      </c>
      <c r="B135" s="33" t="s">
        <v>2160</v>
      </c>
      <c r="C135" s="34" t="s">
        <v>807</v>
      </c>
      <c r="D135" s="51" t="s">
        <v>848</v>
      </c>
      <c r="E135" s="61" t="str">
        <f>IFERROR(VLOOKUP(D135,'Master List'!D:H,2,FALSE),"NA")</f>
        <v>NA</v>
      </c>
      <c r="F135" s="62" t="str">
        <f>IFERROR(VLOOKUP(D135,'Master List'!D:H,3,FALSE),"NA")</f>
        <v>NA</v>
      </c>
      <c r="G135" s="58" t="str">
        <f>IFERROR(VLOOKUP(D135,'Master List'!D:H,4,FALSE),"NA")</f>
        <v>NA</v>
      </c>
      <c r="H135" s="39" t="str">
        <f>IFERROR(VLOOKUP(D135,'Master List'!D:H,5,FALSE),"NA")</f>
        <v>NA</v>
      </c>
      <c r="I135" s="19"/>
      <c r="J135" s="20"/>
      <c r="K135" s="20"/>
      <c r="L135" s="21"/>
    </row>
    <row r="136" spans="1:12" x14ac:dyDescent="0.3">
      <c r="A136" s="33">
        <v>15</v>
      </c>
      <c r="B136" s="33" t="s">
        <v>2160</v>
      </c>
      <c r="C136" s="34" t="s">
        <v>807</v>
      </c>
      <c r="D136" s="51" t="s">
        <v>362</v>
      </c>
      <c r="E136" s="61" t="str">
        <f>IFERROR(VLOOKUP(D136,'Master List'!D:H,2,FALSE),"NA")</f>
        <v>490102</v>
      </c>
      <c r="F136" s="62" t="str">
        <f>IFERROR(VLOOKUP(D136,'Master List'!D:H,3,FALSE),"NA")</f>
        <v>490102</v>
      </c>
      <c r="G136" s="58" t="str">
        <f>IFERROR(VLOOKUP(D136,'Master List'!D:H,4,FALSE),"NA")</f>
        <v>490102</v>
      </c>
      <c r="H136" s="39" t="str">
        <f>IFERROR(VLOOKUP(D136,'Master List'!D:H,5,FALSE),"NA")</f>
        <v>Airline/Commercial/Professional Pilot and Flight Crew.</v>
      </c>
      <c r="I136" s="19"/>
      <c r="J136" s="20"/>
      <c r="K136" s="20"/>
      <c r="L136" s="21"/>
    </row>
    <row r="137" spans="1:12" x14ac:dyDescent="0.3">
      <c r="A137" s="33">
        <v>15</v>
      </c>
      <c r="B137" s="33" t="s">
        <v>2160</v>
      </c>
      <c r="C137" s="34" t="s">
        <v>807</v>
      </c>
      <c r="D137" s="51" t="s">
        <v>364</v>
      </c>
      <c r="E137" s="61" t="str">
        <f>IFERROR(VLOOKUP(D137,'Master List'!D:H,2,FALSE),"NA")</f>
        <v>490104</v>
      </c>
      <c r="F137" s="62" t="str">
        <f>IFERROR(VLOOKUP(D137,'Master List'!D:H,3,FALSE),"NA")</f>
        <v>490104</v>
      </c>
      <c r="G137" s="58" t="str">
        <f>IFERROR(VLOOKUP(D137,'Master List'!D:H,4,FALSE),"NA")</f>
        <v>490104</v>
      </c>
      <c r="H137" s="39" t="str">
        <f>IFERROR(VLOOKUP(D137,'Master List'!D:H,5,FALSE),"NA")</f>
        <v>Aviation/Airway Management and Operations.</v>
      </c>
      <c r="I137" s="19"/>
      <c r="J137" s="20"/>
      <c r="K137" s="20"/>
      <c r="L137" s="21"/>
    </row>
    <row r="138" spans="1:12" x14ac:dyDescent="0.3">
      <c r="A138" s="33">
        <v>15</v>
      </c>
      <c r="B138" s="33" t="s">
        <v>2160</v>
      </c>
      <c r="C138" s="34" t="s">
        <v>807</v>
      </c>
      <c r="D138" s="51" t="s">
        <v>365</v>
      </c>
      <c r="E138" s="61" t="str">
        <f>IFERROR(VLOOKUP(D138,'Master List'!D:H,2,FALSE),"NA")</f>
        <v>490104</v>
      </c>
      <c r="F138" s="62" t="str">
        <f>IFERROR(VLOOKUP(D138,'Master List'!D:H,3,FALSE),"NA")</f>
        <v>490104</v>
      </c>
      <c r="G138" s="58" t="str">
        <f>IFERROR(VLOOKUP(D138,'Master List'!D:H,4,FALSE),"NA")</f>
        <v>490104</v>
      </c>
      <c r="H138" s="39" t="str">
        <f>IFERROR(VLOOKUP(D138,'Master List'!D:H,5,FALSE),"NA")</f>
        <v>Aviation/Airway Management and Operations.</v>
      </c>
      <c r="I138" s="19"/>
      <c r="J138" s="20"/>
      <c r="K138" s="20"/>
      <c r="L138" s="21"/>
    </row>
    <row r="139" spans="1:12" x14ac:dyDescent="0.3">
      <c r="A139" s="33">
        <v>15</v>
      </c>
      <c r="B139" s="33" t="s">
        <v>2160</v>
      </c>
      <c r="C139" s="34" t="s">
        <v>807</v>
      </c>
      <c r="D139" s="51" t="s">
        <v>121</v>
      </c>
      <c r="E139" s="61" t="str">
        <f>IFERROR(VLOOKUP(D139,'Master List'!D:H,2,FALSE),"NA")</f>
        <v>500502</v>
      </c>
      <c r="F139" s="62" t="str">
        <f>IFERROR(VLOOKUP(D139,'Master List'!D:H,3,FALSE),"NA")</f>
        <v>500502</v>
      </c>
      <c r="G139" s="58" t="str">
        <f>IFERROR(VLOOKUP(D139,'Master List'!D:H,4,FALSE),"NA")</f>
        <v>500502</v>
      </c>
      <c r="H139" s="39" t="str">
        <f>IFERROR(VLOOKUP(D139,'Master List'!D:H,5,FALSE),"NA")</f>
        <v>Technical Theatre/Theatre Design and Technology.</v>
      </c>
      <c r="I139" s="19"/>
      <c r="J139" s="20"/>
      <c r="K139" s="20"/>
      <c r="L139" s="21"/>
    </row>
    <row r="140" spans="1:12" x14ac:dyDescent="0.3">
      <c r="A140" s="33">
        <v>15</v>
      </c>
      <c r="B140" s="33" t="s">
        <v>2160</v>
      </c>
      <c r="C140" s="34" t="s">
        <v>807</v>
      </c>
      <c r="D140" s="51" t="s">
        <v>586</v>
      </c>
      <c r="E140" s="61" t="str">
        <f>IFERROR(VLOOKUP(D140,'Master List'!D:H,2,FALSE),"NA")</f>
        <v>500602</v>
      </c>
      <c r="F140" s="62" t="str">
        <f>IFERROR(VLOOKUP(D140,'Master List'!D:H,3,FALSE),"NA")</f>
        <v>500602</v>
      </c>
      <c r="G140" s="58" t="str">
        <f>IFERROR(VLOOKUP(D140,'Master List'!D:H,4,FALSE),"NA")</f>
        <v>500602</v>
      </c>
      <c r="H140" s="39" t="str">
        <f>IFERROR(VLOOKUP(D140,'Master List'!D:H,5,FALSE),"NA")</f>
        <v>Cinematography and Film/Video Production.</v>
      </c>
      <c r="I140" s="19"/>
      <c r="J140" s="20"/>
      <c r="K140" s="20"/>
      <c r="L140" s="21"/>
    </row>
    <row r="141" spans="1:12" x14ac:dyDescent="0.3">
      <c r="A141" s="33">
        <v>15</v>
      </c>
      <c r="B141" s="33" t="s">
        <v>2160</v>
      </c>
      <c r="C141" s="34" t="s">
        <v>807</v>
      </c>
      <c r="D141" s="51" t="s">
        <v>475</v>
      </c>
      <c r="E141" s="61" t="str">
        <f>IFERROR(VLOOKUP(D141,'Master List'!D:H,2,FALSE),"NA")</f>
        <v>500605</v>
      </c>
      <c r="F141" s="62" t="str">
        <f>IFERROR(VLOOKUP(D141,'Master List'!D:H,3,FALSE),"NA")</f>
        <v>500605</v>
      </c>
      <c r="G141" s="58" t="str">
        <f>IFERROR(VLOOKUP(D141,'Master List'!D:H,4,FALSE),"NA")</f>
        <v>500605</v>
      </c>
      <c r="H141" s="39" t="str">
        <f>IFERROR(VLOOKUP(D141,'Master List'!D:H,5,FALSE),"NA")</f>
        <v>Photography.</v>
      </c>
      <c r="I141" s="19"/>
      <c r="J141" s="20"/>
      <c r="K141" s="20"/>
      <c r="L141" s="21"/>
    </row>
    <row r="142" spans="1:12" x14ac:dyDescent="0.3">
      <c r="A142" s="33">
        <v>15</v>
      </c>
      <c r="B142" s="33" t="s">
        <v>2160</v>
      </c>
      <c r="C142" s="34" t="s">
        <v>807</v>
      </c>
      <c r="D142" s="51" t="s">
        <v>478</v>
      </c>
      <c r="E142" s="61" t="str">
        <f>IFERROR(VLOOKUP(D142,'Master List'!D:H,2,FALSE),"NA")</f>
        <v>500913</v>
      </c>
      <c r="F142" s="62" t="str">
        <f>IFERROR(VLOOKUP(D142,'Master List'!D:H,3,FALSE),"NA")</f>
        <v>500913</v>
      </c>
      <c r="G142" s="58" t="str">
        <f>IFERROR(VLOOKUP(D142,'Master List'!D:H,4,FALSE),"NA")</f>
        <v>500913</v>
      </c>
      <c r="H142" s="39" t="str">
        <f>IFERROR(VLOOKUP(D142,'Master List'!D:H,5,FALSE),"NA")</f>
        <v>Music Technology.</v>
      </c>
      <c r="I142" s="19"/>
      <c r="J142" s="20"/>
      <c r="K142" s="20"/>
      <c r="L142" s="21"/>
    </row>
    <row r="143" spans="1:12" x14ac:dyDescent="0.3">
      <c r="A143" s="33">
        <v>15</v>
      </c>
      <c r="B143" s="33" t="s">
        <v>2160</v>
      </c>
      <c r="C143" s="34" t="s">
        <v>807</v>
      </c>
      <c r="D143" s="51" t="s">
        <v>849</v>
      </c>
      <c r="E143" s="61" t="str">
        <f>IFERROR(VLOOKUP(D143,'Master List'!D:H,2,FALSE),"NA")</f>
        <v>520203</v>
      </c>
      <c r="F143" s="62" t="str">
        <f>IFERROR(VLOOKUP(D143,'Master List'!D:H,3,FALSE),"NA")</f>
        <v>520203</v>
      </c>
      <c r="G143" s="58" t="str">
        <f>IFERROR(VLOOKUP(D143,'Master List'!D:H,4,FALSE),"NA")</f>
        <v>520203</v>
      </c>
      <c r="H143" s="39" t="str">
        <f>IFERROR(VLOOKUP(D143,'Master List'!D:H,5,FALSE),"NA")</f>
        <v>Logistics, Materials, and Supply Chain Management.</v>
      </c>
      <c r="I143" s="19"/>
      <c r="J143" s="20"/>
      <c r="K143" s="20"/>
      <c r="L143" s="21"/>
    </row>
    <row r="144" spans="1:12" x14ac:dyDescent="0.3">
      <c r="A144" s="33">
        <v>15</v>
      </c>
      <c r="B144" s="33" t="s">
        <v>2160</v>
      </c>
      <c r="C144" s="34" t="s">
        <v>807</v>
      </c>
      <c r="D144" s="51" t="s">
        <v>367</v>
      </c>
      <c r="E144" s="61" t="str">
        <f>IFERROR(VLOOKUP(D144,'Master List'!D:H,2,FALSE),"NA")</f>
        <v>520205</v>
      </c>
      <c r="F144" s="62" t="str">
        <f>IFERROR(VLOOKUP(D144,'Master List'!D:H,3,FALSE),"NA")</f>
        <v>520205</v>
      </c>
      <c r="G144" s="58" t="str">
        <f>IFERROR(VLOOKUP(D144,'Master List'!D:H,4,FALSE),"NA")</f>
        <v>520205</v>
      </c>
      <c r="H144" s="39" t="str">
        <f>IFERROR(VLOOKUP(D144,'Master List'!D:H,5,FALSE),"NA")</f>
        <v>Operations Management and Supervision.</v>
      </c>
      <c r="I144" s="19"/>
      <c r="J144" s="20"/>
      <c r="K144" s="20"/>
      <c r="L144" s="21"/>
    </row>
    <row r="145" spans="1:12" x14ac:dyDescent="0.3">
      <c r="A145" s="33">
        <v>15</v>
      </c>
      <c r="B145" s="33" t="s">
        <v>2160</v>
      </c>
      <c r="C145" s="34" t="s">
        <v>807</v>
      </c>
      <c r="D145" s="51" t="s">
        <v>373</v>
      </c>
      <c r="E145" s="61" t="str">
        <f>IFERROR(VLOOKUP(D145,'Master List'!D:H,2,FALSE),"NA")</f>
        <v>NA</v>
      </c>
      <c r="F145" s="62" t="str">
        <f>IFERROR(VLOOKUP(D145,'Master List'!D:H,3,FALSE),"NA")</f>
        <v>NA</v>
      </c>
      <c r="G145" s="58" t="str">
        <f>IFERROR(VLOOKUP(D145,'Master List'!D:H,4,FALSE),"NA")</f>
        <v>NA</v>
      </c>
      <c r="H145" s="39" t="str">
        <f>IFERROR(VLOOKUP(D145,'Master List'!D:H,5,FALSE),"NA")</f>
        <v>NA</v>
      </c>
      <c r="I145" s="19"/>
      <c r="J145" s="20"/>
      <c r="K145" s="20"/>
      <c r="L145" s="21"/>
    </row>
    <row r="146" spans="1:12" x14ac:dyDescent="0.3">
      <c r="A146" s="33">
        <v>15</v>
      </c>
      <c r="B146" s="33" t="s">
        <v>2160</v>
      </c>
      <c r="C146" s="34" t="s">
        <v>807</v>
      </c>
      <c r="D146" s="51" t="s">
        <v>850</v>
      </c>
      <c r="E146" s="61" t="str">
        <f>IFERROR(VLOOKUP(D146,'Master List'!D:H,2,FALSE),"NA")</f>
        <v>131003</v>
      </c>
      <c r="F146" s="62" t="str">
        <f>IFERROR(VLOOKUP(D146,'Master List'!D:H,3,FALSE),"NA")</f>
        <v>131003</v>
      </c>
      <c r="G146" s="58" t="str">
        <f>IFERROR(VLOOKUP(D146,'Master List'!D:H,4,FALSE),"NA")</f>
        <v>131003</v>
      </c>
      <c r="H146" s="39" t="str">
        <f>IFERROR(VLOOKUP(D146,'Master List'!D:H,5,FALSE),"NA")</f>
        <v>Education/Teaching of Individuals with Hearing Impairments Including Deafness.</v>
      </c>
      <c r="I146" s="19"/>
      <c r="J146" s="20"/>
      <c r="K146" s="20"/>
      <c r="L146" s="21"/>
    </row>
    <row r="147" spans="1:12" x14ac:dyDescent="0.3">
      <c r="A147" s="33">
        <v>15</v>
      </c>
      <c r="B147" s="33" t="s">
        <v>2160</v>
      </c>
      <c r="C147" s="34" t="s">
        <v>807</v>
      </c>
      <c r="D147" s="51" t="s">
        <v>851</v>
      </c>
      <c r="E147" s="61" t="str">
        <f>IFERROR(VLOOKUP(D147,'Master List'!D:H,2,FALSE),"NA")</f>
        <v>NA</v>
      </c>
      <c r="F147" s="62" t="str">
        <f>IFERROR(VLOOKUP(D147,'Master List'!D:H,3,FALSE),"NA")</f>
        <v>NA</v>
      </c>
      <c r="G147" s="58" t="str">
        <f>IFERROR(VLOOKUP(D147,'Master List'!D:H,4,FALSE),"NA")</f>
        <v>NA</v>
      </c>
      <c r="H147" s="39" t="str">
        <f>IFERROR(VLOOKUP(D147,'Master List'!D:H,5,FALSE),"NA")</f>
        <v>NA</v>
      </c>
      <c r="I147" s="19"/>
      <c r="J147" s="20"/>
      <c r="K147" s="20"/>
      <c r="L147" s="21"/>
    </row>
    <row r="148" spans="1:12" x14ac:dyDescent="0.3">
      <c r="A148" s="33">
        <v>15</v>
      </c>
      <c r="B148" s="33" t="s">
        <v>2160</v>
      </c>
      <c r="C148" s="34" t="s">
        <v>807</v>
      </c>
      <c r="D148" s="51" t="s">
        <v>124</v>
      </c>
      <c r="E148" s="61" t="str">
        <f>IFERROR(VLOOKUP(D148,'Master List'!D:H,2,FALSE),"NA")</f>
        <v>150201</v>
      </c>
      <c r="F148" s="62" t="str">
        <f>IFERROR(VLOOKUP(D148,'Master List'!D:H,3,FALSE),"NA")</f>
        <v>150201</v>
      </c>
      <c r="G148" s="58" t="str">
        <f>IFERROR(VLOOKUP(D148,'Master List'!D:H,4,FALSE),"NA")</f>
        <v>150201</v>
      </c>
      <c r="H148" s="39" t="str">
        <f>IFERROR(VLOOKUP(D148,'Master List'!D:H,5,FALSE),"NA")</f>
        <v>Civil Engineering Technologies/Technicians.</v>
      </c>
      <c r="I148" s="19"/>
      <c r="J148" s="20"/>
      <c r="K148" s="20"/>
      <c r="L148" s="21"/>
    </row>
    <row r="149" spans="1:12" x14ac:dyDescent="0.3">
      <c r="A149" s="33">
        <v>15</v>
      </c>
      <c r="B149" s="33" t="s">
        <v>2160</v>
      </c>
      <c r="C149" s="34" t="s">
        <v>807</v>
      </c>
      <c r="D149" s="51" t="s">
        <v>125</v>
      </c>
      <c r="E149" s="61" t="str">
        <f>IFERROR(VLOOKUP(D149,'Master List'!D:H,2,FALSE),"NA")</f>
        <v>220302</v>
      </c>
      <c r="F149" s="62" t="str">
        <f>IFERROR(VLOOKUP(D149,'Master List'!D:H,3,FALSE),"NA")</f>
        <v>220302</v>
      </c>
      <c r="G149" s="58" t="str">
        <f>IFERROR(VLOOKUP(D149,'Master List'!D:H,4,FALSE),"NA")</f>
        <v>220302</v>
      </c>
      <c r="H149" s="39" t="str">
        <f>IFERROR(VLOOKUP(D149,'Master List'!D:H,5,FALSE),"NA")</f>
        <v>Legal Assistant/Paralegal.</v>
      </c>
      <c r="I149" s="19"/>
      <c r="J149" s="20"/>
      <c r="K149" s="20"/>
      <c r="L149" s="21"/>
    </row>
    <row r="150" spans="1:12" x14ac:dyDescent="0.3">
      <c r="A150" s="33">
        <v>15</v>
      </c>
      <c r="B150" s="33" t="s">
        <v>2160</v>
      </c>
      <c r="C150" s="34" t="s">
        <v>807</v>
      </c>
      <c r="D150" s="51" t="s">
        <v>128</v>
      </c>
      <c r="E150" s="61" t="str">
        <f>IFERROR(VLOOKUP(D150,'Master List'!D:H,2,FALSE),"NA")</f>
        <v>430103</v>
      </c>
      <c r="F150" s="62" t="str">
        <f>IFERROR(VLOOKUP(D150,'Master List'!D:H,3,FALSE),"NA")</f>
        <v>430103</v>
      </c>
      <c r="G150" s="58" t="str">
        <f>IFERROR(VLOOKUP(D150,'Master List'!D:H,4,FALSE),"NA")</f>
        <v>430103</v>
      </c>
      <c r="H150" s="39" t="str">
        <f>IFERROR(VLOOKUP(D150,'Master List'!D:H,5,FALSE),"NA")</f>
        <v>Criminal Justice/Law Enforcement Administration.</v>
      </c>
      <c r="I150" s="19"/>
      <c r="J150" s="20"/>
      <c r="K150" s="20"/>
      <c r="L150" s="21"/>
    </row>
    <row r="151" spans="1:12" x14ac:dyDescent="0.3">
      <c r="A151" s="33">
        <v>15</v>
      </c>
      <c r="B151" s="33" t="s">
        <v>2160</v>
      </c>
      <c r="C151" s="34" t="s">
        <v>807</v>
      </c>
      <c r="D151" s="51" t="s">
        <v>407</v>
      </c>
      <c r="E151" s="61" t="str">
        <f>IFERROR(VLOOKUP(D151,'Master List'!D:H,2,FALSE),"NA")</f>
        <v>430106</v>
      </c>
      <c r="F151" s="62" t="str">
        <f>IFERROR(VLOOKUP(D151,'Master List'!D:H,3,FALSE),"NA")</f>
        <v>430406</v>
      </c>
      <c r="G151" s="58" t="str">
        <f>IFERROR(VLOOKUP(D151,'Master List'!D:H,4,FALSE),"NA")</f>
        <v>430406</v>
      </c>
      <c r="H151" s="39" t="str">
        <f>IFERROR(VLOOKUP(D151,'Master List'!D:H,5,FALSE),"NA")</f>
        <v>Forensic Science and Technology.</v>
      </c>
      <c r="I151" s="19"/>
      <c r="J151" s="20"/>
      <c r="K151" s="20"/>
      <c r="L151" s="21"/>
    </row>
    <row r="152" spans="1:12" x14ac:dyDescent="0.3">
      <c r="A152" s="33">
        <v>15</v>
      </c>
      <c r="B152" s="33" t="s">
        <v>2160</v>
      </c>
      <c r="C152" s="34" t="s">
        <v>807</v>
      </c>
      <c r="D152" s="51" t="s">
        <v>688</v>
      </c>
      <c r="E152" s="61" t="str">
        <f>IFERROR(VLOOKUP(D152,'Master List'!D:H,2,FALSE),"NA")</f>
        <v>430112</v>
      </c>
      <c r="F152" s="62" t="str">
        <f>IFERROR(VLOOKUP(D152,'Master List'!D:H,3,FALSE),"NA")</f>
        <v>430112</v>
      </c>
      <c r="G152" s="58" t="str">
        <f>IFERROR(VLOOKUP(D152,'Master List'!D:H,4,FALSE),"NA")</f>
        <v>430112</v>
      </c>
      <c r="H152" s="39" t="str">
        <f>IFERROR(VLOOKUP(D152,'Master List'!D:H,5,FALSE),"NA")</f>
        <v>Securities Services Administration/Management.</v>
      </c>
      <c r="I152" s="19"/>
      <c r="J152" s="20"/>
      <c r="K152" s="20"/>
      <c r="L152" s="21"/>
    </row>
    <row r="153" spans="1:12" x14ac:dyDescent="0.3">
      <c r="A153" s="33">
        <v>15</v>
      </c>
      <c r="B153" s="33" t="s">
        <v>2160</v>
      </c>
      <c r="C153" s="34" t="s">
        <v>807</v>
      </c>
      <c r="D153" s="51" t="s">
        <v>690</v>
      </c>
      <c r="E153" s="61" t="str">
        <f>IFERROR(VLOOKUP(D153,'Master List'!D:H,2,FALSE),"NA")</f>
        <v>430116</v>
      </c>
      <c r="F153" s="62" t="str">
        <f>IFERROR(VLOOKUP(D153,'Master List'!D:H,3,FALSE),"NA")</f>
        <v>430403</v>
      </c>
      <c r="G153" s="58" t="str">
        <f>IFERROR(VLOOKUP(D153,'Master List'!D:H,4,FALSE),"NA")</f>
        <v>430403</v>
      </c>
      <c r="H153" s="39" t="str">
        <f>IFERROR(VLOOKUP(D153,'Master List'!D:H,5,FALSE),"NA")</f>
        <v>Cyber/Computer Forensics and Counterterrorism.</v>
      </c>
      <c r="I153" s="19"/>
      <c r="J153" s="20"/>
      <c r="K153" s="20"/>
      <c r="L153" s="21"/>
    </row>
    <row r="154" spans="1:12" x14ac:dyDescent="0.3">
      <c r="A154" s="33">
        <v>15</v>
      </c>
      <c r="B154" s="33" t="s">
        <v>2160</v>
      </c>
      <c r="C154" s="34" t="s">
        <v>807</v>
      </c>
      <c r="D154" s="51" t="s">
        <v>131</v>
      </c>
      <c r="E154" s="61" t="str">
        <f>IFERROR(VLOOKUP(D154,'Master List'!D:H,2,FALSE),"NA")</f>
        <v>NA</v>
      </c>
      <c r="F154" s="62" t="str">
        <f>IFERROR(VLOOKUP(D154,'Master List'!D:H,3,FALSE),"NA")</f>
        <v>NA</v>
      </c>
      <c r="G154" s="58" t="str">
        <f>IFERROR(VLOOKUP(D154,'Master List'!D:H,4,FALSE),"NA")</f>
        <v>NA</v>
      </c>
      <c r="H154" s="39" t="str">
        <f>IFERROR(VLOOKUP(D154,'Master List'!D:H,5,FALSE),"NA")</f>
        <v>NA</v>
      </c>
      <c r="I154" s="19"/>
      <c r="J154" s="20"/>
      <c r="K154" s="20"/>
      <c r="L154" s="21"/>
    </row>
  </sheetData>
  <sheetProtection algorithmName="SHA-512" hashValue="Ny6nBDRauY8UGjKXAKrAmOoigfsd4xePLhedh4ZrjSYWNDc+cDI4Mahpcmnt0IcmW4iBtllWFx3t9hymCEDvhg==" saltValue="xGCRiqceRfAIkb85xZ+IOw==" spinCount="100000" sheet="1" objects="1" scenarios="1" sort="0" autoFilter="0"/>
  <autoFilter ref="A2:L154"/>
  <mergeCells count="3">
    <mergeCell ref="A1:D1"/>
    <mergeCell ref="E1:H1"/>
    <mergeCell ref="I1:L1"/>
  </mergeCells>
  <dataValidations count="1">
    <dataValidation type="list" allowBlank="1" showInputMessage="1" showErrorMessage="1" sqref="I3:I154">
      <formula1>"Agree,Disagree"</formula1>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82.9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16</v>
      </c>
      <c r="B3" s="33" t="s">
        <v>2161</v>
      </c>
      <c r="C3" s="34" t="s">
        <v>801</v>
      </c>
      <c r="D3" s="51" t="s">
        <v>198</v>
      </c>
      <c r="E3" s="61" t="str">
        <f>IFERROR(VLOOKUP(D3,'Master List'!D:H,2,FALSE),"NA")</f>
        <v>510707</v>
      </c>
      <c r="F3" s="62" t="str">
        <f>IFERROR(VLOOKUP(D3,'Master List'!D:H,3,FALSE),"NA")</f>
        <v>510707</v>
      </c>
      <c r="G3" s="58">
        <f>IFERROR(VLOOKUP(D3,'Master List'!D:H,4,FALSE),"NA")</f>
        <v>510714</v>
      </c>
      <c r="H3" s="39" t="str">
        <f>IFERROR(VLOOKUP(D3,'Master List'!D:H,5,FALSE),"NA")</f>
        <v>Medical Insurance Specialist/Medical Biller</v>
      </c>
      <c r="I3" s="19"/>
      <c r="J3" s="20"/>
      <c r="K3" s="20"/>
      <c r="L3" s="21"/>
    </row>
    <row r="4" spans="1:12" x14ac:dyDescent="0.3">
      <c r="A4" s="33">
        <v>16</v>
      </c>
      <c r="B4" s="33" t="s">
        <v>2161</v>
      </c>
      <c r="C4" s="34" t="s">
        <v>801</v>
      </c>
      <c r="D4" s="51" t="s">
        <v>802</v>
      </c>
      <c r="E4" s="61" t="str">
        <f>IFERROR(VLOOKUP(D4,'Master List'!D:H,2,FALSE),"NA")</f>
        <v>510707</v>
      </c>
      <c r="F4" s="62" t="str">
        <f>IFERROR(VLOOKUP(D4,'Master List'!D:H,3,FALSE),"NA")</f>
        <v>510707</v>
      </c>
      <c r="G4" s="58">
        <f>IFERROR(VLOOKUP(D4,'Master List'!D:H,4,FALSE),"NA")</f>
        <v>510714</v>
      </c>
      <c r="H4" s="39" t="str">
        <f>IFERROR(VLOOKUP(D4,'Master List'!D:H,5,FALSE),"NA")</f>
        <v>Medical Insurance Specialist/Medical Biller</v>
      </c>
      <c r="I4" s="19"/>
      <c r="J4" s="20"/>
      <c r="K4" s="20"/>
      <c r="L4" s="21"/>
    </row>
    <row r="5" spans="1:12" x14ac:dyDescent="0.3">
      <c r="A5" s="33">
        <v>16</v>
      </c>
      <c r="B5" s="33" t="s">
        <v>2161</v>
      </c>
      <c r="C5" s="34" t="s">
        <v>801</v>
      </c>
      <c r="D5" s="51" t="s">
        <v>14</v>
      </c>
      <c r="E5" s="61" t="str">
        <f>IFERROR(VLOOKUP(D5,'Master List'!D:H,2,FALSE),"NA")</f>
        <v>510904</v>
      </c>
      <c r="F5" s="62" t="str">
        <f>IFERROR(VLOOKUP(D5,'Master List'!D:H,3,FALSE),"NA")</f>
        <v>510904</v>
      </c>
      <c r="G5" s="58" t="str">
        <f>IFERROR(VLOOKUP(D5,'Master List'!D:H,4,FALSE),"NA")</f>
        <v>510904</v>
      </c>
      <c r="H5" s="39" t="str">
        <f>IFERROR(VLOOKUP(D5,'Master List'!D:H,5,FALSE),"NA")</f>
        <v>Emergency Medical Technology/Technician (EMT Paramedic).</v>
      </c>
      <c r="I5" s="19"/>
      <c r="J5" s="20"/>
      <c r="K5" s="20"/>
      <c r="L5" s="21"/>
    </row>
    <row r="6" spans="1:12" x14ac:dyDescent="0.3">
      <c r="A6" s="33">
        <v>16</v>
      </c>
      <c r="B6" s="33" t="s">
        <v>2161</v>
      </c>
      <c r="C6" s="34" t="s">
        <v>801</v>
      </c>
      <c r="D6" s="51" t="s">
        <v>204</v>
      </c>
      <c r="E6" s="61" t="str">
        <f>IFERROR(VLOOKUP(D6,'Master List'!D:H,2,FALSE),"NA")</f>
        <v>510904</v>
      </c>
      <c r="F6" s="62" t="str">
        <f>IFERROR(VLOOKUP(D6,'Master List'!D:H,3,FALSE),"NA")</f>
        <v>510904</v>
      </c>
      <c r="G6" s="58" t="str">
        <f>IFERROR(VLOOKUP(D6,'Master List'!D:H,4,FALSE),"NA")</f>
        <v>510904</v>
      </c>
      <c r="H6" s="39" t="str">
        <f>IFERROR(VLOOKUP(D6,'Master List'!D:H,5,FALSE),"NA")</f>
        <v>Emergency Medical Technology/Technician (EMT Paramedic).</v>
      </c>
      <c r="I6" s="19"/>
      <c r="J6" s="20"/>
      <c r="K6" s="20"/>
      <c r="L6" s="21"/>
    </row>
    <row r="7" spans="1:12" x14ac:dyDescent="0.3">
      <c r="A7" s="33">
        <v>16</v>
      </c>
      <c r="B7" s="33" t="s">
        <v>2161</v>
      </c>
      <c r="C7" s="34" t="s">
        <v>801</v>
      </c>
      <c r="D7" s="51" t="s">
        <v>413</v>
      </c>
      <c r="E7" s="61" t="str">
        <f>IFERROR(VLOOKUP(D7,'Master List'!D:H,2,FALSE),"NA")</f>
        <v>513901</v>
      </c>
      <c r="F7" s="62" t="str">
        <f>IFERROR(VLOOKUP(D7,'Master List'!D:H,3,FALSE),"NA")</f>
        <v>513901</v>
      </c>
      <c r="G7" s="58" t="str">
        <f>IFERROR(VLOOKUP(D7,'Master List'!D:H,4,FALSE),"NA")</f>
        <v>513901</v>
      </c>
      <c r="H7" s="39" t="str">
        <f>IFERROR(VLOOKUP(D7,'Master List'!D:H,5,FALSE),"NA")</f>
        <v>Licensed Practical/Vocational Nurse Training.</v>
      </c>
      <c r="I7" s="19"/>
      <c r="J7" s="20"/>
      <c r="K7" s="20"/>
      <c r="L7" s="21"/>
    </row>
    <row r="8" spans="1:12" x14ac:dyDescent="0.3">
      <c r="A8" s="33">
        <v>16</v>
      </c>
      <c r="B8" s="33" t="s">
        <v>2161</v>
      </c>
      <c r="C8" s="34" t="s">
        <v>801</v>
      </c>
      <c r="D8" s="51" t="s">
        <v>803</v>
      </c>
      <c r="E8" s="61" t="str">
        <f>IFERROR(VLOOKUP(D8,'Master List'!D:H,2,FALSE),"NA")</f>
        <v>190708</v>
      </c>
      <c r="F8" s="62" t="str">
        <f>IFERROR(VLOOKUP(D8,'Master List'!D:H,3,FALSE),"NA")</f>
        <v>190708</v>
      </c>
      <c r="G8" s="58" t="str">
        <f>IFERROR(VLOOKUP(D8,'Master List'!D:H,4,FALSE),"NA")</f>
        <v>190708</v>
      </c>
      <c r="H8" s="39" t="str">
        <f>IFERROR(VLOOKUP(D8,'Master List'!D:H,5,FALSE),"NA")</f>
        <v>Child Care and Support Services Management.</v>
      </c>
      <c r="I8" s="19"/>
      <c r="J8" s="20"/>
      <c r="K8" s="20"/>
      <c r="L8" s="21"/>
    </row>
    <row r="9" spans="1:12" x14ac:dyDescent="0.3">
      <c r="A9" s="33">
        <v>16</v>
      </c>
      <c r="B9" s="33" t="s">
        <v>2161</v>
      </c>
      <c r="C9" s="34" t="s">
        <v>801</v>
      </c>
      <c r="D9" s="51" t="s">
        <v>623</v>
      </c>
      <c r="E9" s="61" t="str">
        <f>IFERROR(VLOOKUP(D9,'Master List'!D:H,2,FALSE),"NA")</f>
        <v>190709</v>
      </c>
      <c r="F9" s="62" t="str">
        <f>IFERROR(VLOOKUP(D9,'Master List'!D:H,3,FALSE),"NA")</f>
        <v>190709</v>
      </c>
      <c r="G9" s="58" t="str">
        <f>IFERROR(VLOOKUP(D9,'Master List'!D:H,4,FALSE),"NA")</f>
        <v>190709</v>
      </c>
      <c r="H9" s="39" t="str">
        <f>IFERROR(VLOOKUP(D9,'Master List'!D:H,5,FALSE),"NA")</f>
        <v>Child Care Provider/Assistant.</v>
      </c>
      <c r="I9" s="19"/>
      <c r="J9" s="20"/>
      <c r="K9" s="20"/>
      <c r="L9" s="21"/>
    </row>
    <row r="10" spans="1:12" x14ac:dyDescent="0.3">
      <c r="A10" s="33">
        <v>16</v>
      </c>
      <c r="B10" s="33" t="s">
        <v>2161</v>
      </c>
      <c r="C10" s="34" t="s">
        <v>801</v>
      </c>
      <c r="D10" s="51" t="s">
        <v>154</v>
      </c>
      <c r="E10" s="61" t="str">
        <f>IFERROR(VLOOKUP(D10,'Master List'!D:H,2,FALSE),"NA")</f>
        <v>520201</v>
      </c>
      <c r="F10" s="62" t="str">
        <f>IFERROR(VLOOKUP(D10,'Master List'!D:H,3,FALSE),"NA")</f>
        <v>520201</v>
      </c>
      <c r="G10" s="58" t="str">
        <f>IFERROR(VLOOKUP(D10,'Master List'!D:H,4,FALSE),"NA")</f>
        <v>520201</v>
      </c>
      <c r="H10" s="39" t="str">
        <f>IFERROR(VLOOKUP(D10,'Master List'!D:H,5,FALSE),"NA")</f>
        <v>Business Administration and Management, General.</v>
      </c>
      <c r="I10" s="19"/>
      <c r="J10" s="20"/>
      <c r="K10" s="20"/>
      <c r="L10" s="21"/>
    </row>
    <row r="11" spans="1:12" x14ac:dyDescent="0.3">
      <c r="A11" s="33">
        <v>16</v>
      </c>
      <c r="B11" s="33" t="s">
        <v>2161</v>
      </c>
      <c r="C11" s="34" t="s">
        <v>801</v>
      </c>
      <c r="D11" s="51" t="s">
        <v>507</v>
      </c>
      <c r="E11" s="61" t="str">
        <f>IFERROR(VLOOKUP(D11,'Master List'!D:H,2,FALSE),"NA")</f>
        <v>520201</v>
      </c>
      <c r="F11" s="62" t="str">
        <f>IFERROR(VLOOKUP(D11,'Master List'!D:H,3,FALSE),"NA")</f>
        <v>520201</v>
      </c>
      <c r="G11" s="58" t="str">
        <f>IFERROR(VLOOKUP(D11,'Master List'!D:H,4,FALSE),"NA")</f>
        <v>520201</v>
      </c>
      <c r="H11" s="39" t="str">
        <f>IFERROR(VLOOKUP(D11,'Master List'!D:H,5,FALSE),"NA")</f>
        <v>Business Administration and Management, General.</v>
      </c>
      <c r="I11" s="19"/>
      <c r="J11" s="20"/>
      <c r="K11" s="20"/>
      <c r="L11" s="21"/>
    </row>
    <row r="12" spans="1:12" x14ac:dyDescent="0.3">
      <c r="A12" s="33">
        <v>16</v>
      </c>
      <c r="B12" s="33" t="s">
        <v>2161</v>
      </c>
      <c r="C12" s="34" t="s">
        <v>801</v>
      </c>
      <c r="D12" s="51" t="s">
        <v>227</v>
      </c>
      <c r="E12" s="61" t="str">
        <f>IFERROR(VLOOKUP(D12,'Master List'!D:H,2,FALSE),"NA")</f>
        <v>520302</v>
      </c>
      <c r="F12" s="62" t="str">
        <f>IFERROR(VLOOKUP(D12,'Master List'!D:H,3,FALSE),"NA")</f>
        <v>520302</v>
      </c>
      <c r="G12" s="58" t="str">
        <f>IFERROR(VLOOKUP(D12,'Master List'!D:H,4,FALSE),"NA")</f>
        <v>520302</v>
      </c>
      <c r="H12" s="39" t="str">
        <f>IFERROR(VLOOKUP(D12,'Master List'!D:H,5,FALSE),"NA")</f>
        <v>Accounting Technology/Technician and Bookkeeping.</v>
      </c>
      <c r="I12" s="19"/>
      <c r="J12" s="20"/>
      <c r="K12" s="20"/>
      <c r="L12" s="21"/>
    </row>
    <row r="13" spans="1:12" x14ac:dyDescent="0.3">
      <c r="A13" s="33">
        <v>16</v>
      </c>
      <c r="B13" s="33" t="s">
        <v>2161</v>
      </c>
      <c r="C13" s="34" t="s">
        <v>801</v>
      </c>
      <c r="D13" s="51" t="s">
        <v>228</v>
      </c>
      <c r="E13" s="61" t="str">
        <f>IFERROR(VLOOKUP(D13,'Master List'!D:H,2,FALSE),"NA")</f>
        <v>520302</v>
      </c>
      <c r="F13" s="62" t="str">
        <f>IFERROR(VLOOKUP(D13,'Master List'!D:H,3,FALSE),"NA")</f>
        <v>520302</v>
      </c>
      <c r="G13" s="58" t="str">
        <f>IFERROR(VLOOKUP(D13,'Master List'!D:H,4,FALSE),"NA")</f>
        <v>520302</v>
      </c>
      <c r="H13" s="39" t="str">
        <f>IFERROR(VLOOKUP(D13,'Master List'!D:H,5,FALSE),"NA")</f>
        <v>Accounting Technology/Technician and Bookkeeping.</v>
      </c>
      <c r="I13" s="19"/>
      <c r="J13" s="20"/>
      <c r="K13" s="20"/>
      <c r="L13" s="21"/>
    </row>
    <row r="14" spans="1:12" x14ac:dyDescent="0.3">
      <c r="A14" s="33">
        <v>16</v>
      </c>
      <c r="B14" s="33" t="s">
        <v>2161</v>
      </c>
      <c r="C14" s="34" t="s">
        <v>801</v>
      </c>
      <c r="D14" s="51" t="s">
        <v>804</v>
      </c>
      <c r="E14" s="61" t="str">
        <f>IFERROR(VLOOKUP(D14,'Master List'!D:H,2,FALSE),"NA")</f>
        <v>520401</v>
      </c>
      <c r="F14" s="62" t="str">
        <f>IFERROR(VLOOKUP(D14,'Master List'!D:H,3,FALSE),"NA")</f>
        <v>520401</v>
      </c>
      <c r="G14" s="58" t="str">
        <f>IFERROR(VLOOKUP(D14,'Master List'!D:H,4,FALSE),"NA")</f>
        <v>520401</v>
      </c>
      <c r="H14" s="39" t="str">
        <f>IFERROR(VLOOKUP(D14,'Master List'!D:H,5,FALSE),"NA")</f>
        <v>Administrative Assistant and Secretarial Science, General.</v>
      </c>
      <c r="I14" s="19"/>
      <c r="J14" s="20"/>
      <c r="K14" s="20"/>
      <c r="L14" s="21"/>
    </row>
    <row r="15" spans="1:12" x14ac:dyDescent="0.3">
      <c r="A15" s="33">
        <v>16</v>
      </c>
      <c r="B15" s="33" t="s">
        <v>2161</v>
      </c>
      <c r="C15" s="34" t="s">
        <v>801</v>
      </c>
      <c r="D15" s="51" t="s">
        <v>246</v>
      </c>
      <c r="E15" s="61" t="str">
        <f>IFERROR(VLOOKUP(D15,'Master List'!D:H,2,FALSE),"NA")</f>
        <v>150000</v>
      </c>
      <c r="F15" s="62" t="str">
        <f>IFERROR(VLOOKUP(D15,'Master List'!D:H,3,FALSE),"NA")</f>
        <v>150000</v>
      </c>
      <c r="G15" s="58" t="str">
        <f>IFERROR(VLOOKUP(D15,'Master List'!D:H,4,FALSE),"NA")</f>
        <v>150000</v>
      </c>
      <c r="H15" s="39" t="str">
        <f>IFERROR(VLOOKUP(D15,'Master List'!D:H,5,FALSE),"NA")</f>
        <v>Engineering Technologies/Technicians, General.</v>
      </c>
      <c r="I15" s="19"/>
      <c r="J15" s="20"/>
      <c r="K15" s="20"/>
      <c r="L15" s="21"/>
    </row>
    <row r="16" spans="1:12" x14ac:dyDescent="0.3">
      <c r="A16" s="33">
        <v>16</v>
      </c>
      <c r="B16" s="33" t="s">
        <v>2161</v>
      </c>
      <c r="C16" s="34" t="s">
        <v>801</v>
      </c>
      <c r="D16" s="51" t="s">
        <v>602</v>
      </c>
      <c r="E16" s="61" t="str">
        <f>IFERROR(VLOOKUP(D16,'Master List'!D:H,2,FALSE),"NA")</f>
        <v>150406</v>
      </c>
      <c r="F16" s="62" t="str">
        <f>IFERROR(VLOOKUP(D16,'Master List'!D:H,3,FALSE),"NA")</f>
        <v>150406</v>
      </c>
      <c r="G16" s="58" t="str">
        <f>IFERROR(VLOOKUP(D16,'Master List'!D:H,4,FALSE),"NA")</f>
        <v>150406</v>
      </c>
      <c r="H16" s="39" t="str">
        <f>IFERROR(VLOOKUP(D16,'Master List'!D:H,5,FALSE),"NA")</f>
        <v>Automation Engineer Technology/Technician.</v>
      </c>
      <c r="I16" s="19"/>
      <c r="J16" s="20"/>
      <c r="K16" s="20"/>
      <c r="L16" s="21"/>
    </row>
    <row r="17" spans="1:12" x14ac:dyDescent="0.3">
      <c r="A17" s="33">
        <v>16</v>
      </c>
      <c r="B17" s="33" t="s">
        <v>2161</v>
      </c>
      <c r="C17" s="34" t="s">
        <v>801</v>
      </c>
      <c r="D17" s="51" t="s">
        <v>781</v>
      </c>
      <c r="E17" s="61" t="str">
        <f>IFERROR(VLOOKUP(D17,'Master List'!D:H,2,FALSE),"NA")</f>
        <v>150613</v>
      </c>
      <c r="F17" s="62" t="str">
        <f>IFERROR(VLOOKUP(D17,'Master List'!D:H,3,FALSE),"NA")</f>
        <v>150613</v>
      </c>
      <c r="G17" s="58" t="str">
        <f>IFERROR(VLOOKUP(D17,'Master List'!D:H,4,FALSE),"NA")</f>
        <v>150613</v>
      </c>
      <c r="H17" s="39" t="str">
        <f>IFERROR(VLOOKUP(D17,'Master List'!D:H,5,FALSE),"NA")</f>
        <v>Manufacturing Engineering Technology/Technician.</v>
      </c>
      <c r="I17" s="19"/>
      <c r="J17" s="20"/>
      <c r="K17" s="20"/>
      <c r="L17" s="21"/>
    </row>
    <row r="18" spans="1:12" x14ac:dyDescent="0.3">
      <c r="A18" s="33">
        <v>16</v>
      </c>
      <c r="B18" s="33" t="s">
        <v>2161</v>
      </c>
      <c r="C18" s="34" t="s">
        <v>801</v>
      </c>
      <c r="D18" s="51" t="s">
        <v>252</v>
      </c>
      <c r="E18" s="61" t="str">
        <f>IFERROR(VLOOKUP(D18,'Master List'!D:H,2,FALSE),"NA")</f>
        <v>150613</v>
      </c>
      <c r="F18" s="62" t="str">
        <f>IFERROR(VLOOKUP(D18,'Master List'!D:H,3,FALSE),"NA")</f>
        <v>150613</v>
      </c>
      <c r="G18" s="58" t="str">
        <f>IFERROR(VLOOKUP(D18,'Master List'!D:H,4,FALSE),"NA")</f>
        <v>150613</v>
      </c>
      <c r="H18" s="39" t="str">
        <f>IFERROR(VLOOKUP(D18,'Master List'!D:H,5,FALSE),"NA")</f>
        <v>Manufacturing Engineering Technology/Technician.</v>
      </c>
      <c r="I18" s="19"/>
      <c r="J18" s="20"/>
      <c r="K18" s="20"/>
      <c r="L18" s="21"/>
    </row>
    <row r="19" spans="1:12" x14ac:dyDescent="0.3">
      <c r="A19" s="33">
        <v>16</v>
      </c>
      <c r="B19" s="33" t="s">
        <v>2161</v>
      </c>
      <c r="C19" s="34" t="s">
        <v>801</v>
      </c>
      <c r="D19" s="51" t="s">
        <v>304</v>
      </c>
      <c r="E19" s="61" t="str">
        <f>IFERROR(VLOOKUP(D19,'Master List'!D:H,2,FALSE),"NA")</f>
        <v>490205</v>
      </c>
      <c r="F19" s="62" t="str">
        <f>IFERROR(VLOOKUP(D19,'Master List'!D:H,3,FALSE),"NA")</f>
        <v>490205</v>
      </c>
      <c r="G19" s="58" t="str">
        <f>IFERROR(VLOOKUP(D19,'Master List'!D:H,4,FALSE),"NA")</f>
        <v>490205</v>
      </c>
      <c r="H19" s="39" t="str">
        <f>IFERROR(VLOOKUP(D19,'Master List'!D:H,5,FALSE),"NA")</f>
        <v>Truck and Bus Driver/Commercial Vehicle Operator and Instructor.</v>
      </c>
      <c r="I19" s="19"/>
      <c r="J19" s="20"/>
      <c r="K19" s="20"/>
      <c r="L19" s="21"/>
    </row>
    <row r="20" spans="1:12" x14ac:dyDescent="0.3">
      <c r="A20" s="33">
        <v>16</v>
      </c>
      <c r="B20" s="33" t="s">
        <v>2161</v>
      </c>
      <c r="C20" s="34" t="s">
        <v>801</v>
      </c>
      <c r="D20" s="51" t="s">
        <v>71</v>
      </c>
      <c r="E20" s="61" t="str">
        <f>IFERROR(VLOOKUP(D20,'Master List'!D:H,2,FALSE),"NA")</f>
        <v>430107</v>
      </c>
      <c r="F20" s="62" t="str">
        <f>IFERROR(VLOOKUP(D20,'Master List'!D:H,3,FALSE),"NA")</f>
        <v>430107</v>
      </c>
      <c r="G20" s="58" t="str">
        <f>IFERROR(VLOOKUP(D20,'Master List'!D:H,4,FALSE),"NA")</f>
        <v>430107</v>
      </c>
      <c r="H20" s="39" t="str">
        <f>IFERROR(VLOOKUP(D20,'Master List'!D:H,5,FALSE),"NA")</f>
        <v>Criminal Justice/Police Science.</v>
      </c>
      <c r="I20" s="19"/>
      <c r="J20" s="20"/>
      <c r="K20" s="20"/>
      <c r="L20" s="21"/>
    </row>
    <row r="21" spans="1:12" x14ac:dyDescent="0.3">
      <c r="A21" s="33">
        <v>16</v>
      </c>
      <c r="B21" s="33" t="s">
        <v>2161</v>
      </c>
      <c r="C21" s="34" t="s">
        <v>801</v>
      </c>
      <c r="D21" s="51" t="s">
        <v>74</v>
      </c>
      <c r="E21" s="61" t="str">
        <f>IFERROR(VLOOKUP(D21,'Master List'!D:H,2,FALSE),"NA")</f>
        <v>430107</v>
      </c>
      <c r="F21" s="62" t="str">
        <f>IFERROR(VLOOKUP(D21,'Master List'!D:H,3,FALSE),"NA")</f>
        <v>430107</v>
      </c>
      <c r="G21" s="58" t="str">
        <f>IFERROR(VLOOKUP(D21,'Master List'!D:H,4,FALSE),"NA")</f>
        <v>430107</v>
      </c>
      <c r="H21" s="39" t="str">
        <f>IFERROR(VLOOKUP(D21,'Master List'!D:H,5,FALSE),"NA")</f>
        <v>Criminal Justice/Police Science.</v>
      </c>
      <c r="I21" s="19"/>
      <c r="J21" s="20"/>
      <c r="K21" s="20"/>
      <c r="L21" s="21"/>
    </row>
    <row r="22" spans="1:12" x14ac:dyDescent="0.3">
      <c r="A22" s="33">
        <v>16</v>
      </c>
      <c r="B22" s="33" t="s">
        <v>2161</v>
      </c>
      <c r="C22" s="34" t="s">
        <v>801</v>
      </c>
      <c r="D22" s="51" t="s">
        <v>90</v>
      </c>
      <c r="E22" s="61" t="str">
        <f>IFERROR(VLOOKUP(D22,'Master List'!D:H,2,FALSE),"NA")</f>
        <v>510904</v>
      </c>
      <c r="F22" s="62" t="str">
        <f>IFERROR(VLOOKUP(D22,'Master List'!D:H,3,FALSE),"NA")</f>
        <v>510904</v>
      </c>
      <c r="G22" s="58" t="str">
        <f>IFERROR(VLOOKUP(D22,'Master List'!D:H,4,FALSE),"NA")</f>
        <v>510904</v>
      </c>
      <c r="H22" s="39" t="str">
        <f>IFERROR(VLOOKUP(D22,'Master List'!D:H,5,FALSE),"NA")</f>
        <v>Emergency Medical Technology/Technician (EMT Paramedic).</v>
      </c>
      <c r="I22" s="19"/>
      <c r="J22" s="20"/>
      <c r="K22" s="20"/>
      <c r="L22" s="21"/>
    </row>
    <row r="23" spans="1:12" x14ac:dyDescent="0.3">
      <c r="A23" s="33">
        <v>16</v>
      </c>
      <c r="B23" s="33" t="s">
        <v>2161</v>
      </c>
      <c r="C23" s="34" t="s">
        <v>801</v>
      </c>
      <c r="D23" s="51" t="s">
        <v>101</v>
      </c>
      <c r="E23" s="61" t="str">
        <f>IFERROR(VLOOKUP(D23,'Master List'!D:H,2,FALSE),"NA")</f>
        <v>513801</v>
      </c>
      <c r="F23" s="62" t="str">
        <f>IFERROR(VLOOKUP(D23,'Master List'!D:H,3,FALSE),"NA")</f>
        <v>513801</v>
      </c>
      <c r="G23" s="58" t="str">
        <f>IFERROR(VLOOKUP(D23,'Master List'!D:H,4,FALSE),"NA")</f>
        <v>513801</v>
      </c>
      <c r="H23" s="39" t="str">
        <f>IFERROR(VLOOKUP(D23,'Master List'!D:H,5,FALSE),"NA")</f>
        <v>Registered Nursing/Registered Nurse.</v>
      </c>
      <c r="I23" s="19"/>
      <c r="J23" s="20"/>
      <c r="K23" s="20"/>
      <c r="L23" s="21"/>
    </row>
    <row r="24" spans="1:12" x14ac:dyDescent="0.3">
      <c r="A24" s="33">
        <v>16</v>
      </c>
      <c r="B24" s="33" t="s">
        <v>2161</v>
      </c>
      <c r="C24" s="34" t="s">
        <v>801</v>
      </c>
      <c r="D24" s="51" t="s">
        <v>107</v>
      </c>
      <c r="E24" s="61" t="str">
        <f>IFERROR(VLOOKUP(D24,'Master List'!D:H,2,FALSE),"NA")</f>
        <v>520201</v>
      </c>
      <c r="F24" s="62" t="str">
        <f>IFERROR(VLOOKUP(D24,'Master List'!D:H,3,FALSE),"NA")</f>
        <v>520201</v>
      </c>
      <c r="G24" s="58" t="str">
        <f>IFERROR(VLOOKUP(D24,'Master List'!D:H,4,FALSE),"NA")</f>
        <v>520201</v>
      </c>
      <c r="H24" s="39" t="str">
        <f>IFERROR(VLOOKUP(D24,'Master List'!D:H,5,FALSE),"NA")</f>
        <v>Business Administration and Management, General.</v>
      </c>
      <c r="I24" s="19"/>
      <c r="J24" s="20"/>
      <c r="K24" s="20"/>
      <c r="L24" s="21"/>
    </row>
    <row r="25" spans="1:12" x14ac:dyDescent="0.3">
      <c r="A25" s="33">
        <v>16</v>
      </c>
      <c r="B25" s="33" t="s">
        <v>2161</v>
      </c>
      <c r="C25" s="34" t="s">
        <v>801</v>
      </c>
      <c r="D25" s="51" t="s">
        <v>110</v>
      </c>
      <c r="E25" s="61" t="str">
        <f>IFERROR(VLOOKUP(D25,'Master List'!D:H,2,FALSE),"NA")</f>
        <v>520302</v>
      </c>
      <c r="F25" s="62" t="str">
        <f>IFERROR(VLOOKUP(D25,'Master List'!D:H,3,FALSE),"NA")</f>
        <v>520302</v>
      </c>
      <c r="G25" s="58" t="str">
        <f>IFERROR(VLOOKUP(D25,'Master List'!D:H,4,FALSE),"NA")</f>
        <v>520302</v>
      </c>
      <c r="H25" s="39" t="str">
        <f>IFERROR(VLOOKUP(D25,'Master List'!D:H,5,FALSE),"NA")</f>
        <v>Accounting Technology/Technician and Bookkeeping.</v>
      </c>
      <c r="I25" s="19"/>
      <c r="J25" s="20"/>
      <c r="K25" s="20"/>
      <c r="L25" s="21"/>
    </row>
    <row r="26" spans="1:12" x14ac:dyDescent="0.3">
      <c r="A26" s="33">
        <v>16</v>
      </c>
      <c r="B26" s="33" t="s">
        <v>2161</v>
      </c>
      <c r="C26" s="34" t="s">
        <v>801</v>
      </c>
      <c r="D26" s="51" t="s">
        <v>120</v>
      </c>
      <c r="E26" s="61" t="str">
        <f>IFERROR(VLOOKUP(D26,'Master List'!D:H,2,FALSE),"NA")</f>
        <v>150000</v>
      </c>
      <c r="F26" s="62" t="str">
        <f>IFERROR(VLOOKUP(D26,'Master List'!D:H,3,FALSE),"NA")</f>
        <v>150000</v>
      </c>
      <c r="G26" s="58" t="str">
        <f>IFERROR(VLOOKUP(D26,'Master List'!D:H,4,FALSE),"NA")</f>
        <v>150000</v>
      </c>
      <c r="H26" s="39" t="str">
        <f>IFERROR(VLOOKUP(D26,'Master List'!D:H,5,FALSE),"NA")</f>
        <v>Engineering Technologies/Technicians, General.</v>
      </c>
      <c r="I26" s="19"/>
      <c r="J26" s="20"/>
      <c r="K26" s="20"/>
      <c r="L26" s="21"/>
    </row>
    <row r="27" spans="1:12" x14ac:dyDescent="0.3">
      <c r="A27" s="33">
        <v>16</v>
      </c>
      <c r="B27" s="33" t="s">
        <v>2161</v>
      </c>
      <c r="C27" s="34" t="s">
        <v>801</v>
      </c>
      <c r="D27" s="51" t="s">
        <v>128</v>
      </c>
      <c r="E27" s="61" t="str">
        <f>IFERROR(VLOOKUP(D27,'Master List'!D:H,2,FALSE),"NA")</f>
        <v>430103</v>
      </c>
      <c r="F27" s="62" t="str">
        <f>IFERROR(VLOOKUP(D27,'Master List'!D:H,3,FALSE),"NA")</f>
        <v>430103</v>
      </c>
      <c r="G27" s="58" t="str">
        <f>IFERROR(VLOOKUP(D27,'Master List'!D:H,4,FALSE),"NA")</f>
        <v>430103</v>
      </c>
      <c r="H27" s="39" t="str">
        <f>IFERROR(VLOOKUP(D27,'Master List'!D:H,5,FALSE),"NA")</f>
        <v>Criminal Justice/Law Enforcement Administration.</v>
      </c>
      <c r="I27" s="19"/>
      <c r="J27" s="20"/>
      <c r="K27" s="20"/>
      <c r="L27" s="21"/>
    </row>
  </sheetData>
  <sheetProtection algorithmName="SHA-512" hashValue="c6EY/eW1i+q+NxkVERiUI580R3TRF6G/hk9Iq6kF1bKYfivOEeunh9982e2Ci0w5CJFZKRZ0mEmKQQwPTLZdSw==" saltValue="kvDYtChiwxNzaTttflRWdA==" spinCount="100000" sheet="1" objects="1" scenarios="1" sort="0" autoFilter="0"/>
  <autoFilter ref="A2:L27"/>
  <mergeCells count="3">
    <mergeCell ref="A1:D1"/>
    <mergeCell ref="E1:H1"/>
    <mergeCell ref="I1:L1"/>
  </mergeCells>
  <dataValidations count="1">
    <dataValidation type="list" allowBlank="1" showInputMessage="1" showErrorMessage="1" sqref="I3:I27">
      <formula1>"Agree,Disagree"</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1.33203125" style="17" customWidth="1"/>
    <col min="5" max="5" width="14.88671875" style="54" customWidth="1"/>
    <col min="6" max="7" width="12.5546875" style="54" customWidth="1"/>
    <col min="8" max="8" width="70.44140625" style="25" customWidth="1"/>
    <col min="9" max="9" width="14.33203125" style="17" customWidth="1"/>
    <col min="10" max="10" width="12.5546875" style="17" customWidth="1"/>
    <col min="11" max="11" width="34.88671875" style="17" customWidth="1"/>
    <col min="12" max="12" width="35.5546875" style="17" customWidth="1"/>
    <col min="13" max="16384" width="8.88671875" style="17"/>
  </cols>
  <sheetData>
    <row r="1" spans="1:12" s="27" customFormat="1" ht="79.95" customHeight="1" x14ac:dyDescent="0.3">
      <c r="A1" s="95"/>
      <c r="B1" s="95"/>
      <c r="C1" s="95"/>
      <c r="D1" s="95"/>
      <c r="E1" s="96" t="s">
        <v>2145</v>
      </c>
      <c r="F1" s="96"/>
      <c r="G1" s="96"/>
      <c r="H1" s="96"/>
      <c r="I1" s="97" t="s">
        <v>0</v>
      </c>
      <c r="J1" s="98"/>
      <c r="K1" s="98"/>
      <c r="L1" s="99"/>
    </row>
    <row r="2" spans="1:12" s="27" customFormat="1" ht="115.2"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17</v>
      </c>
      <c r="B3" s="33" t="s">
        <v>2178</v>
      </c>
      <c r="C3" s="34" t="s">
        <v>797</v>
      </c>
      <c r="D3" s="51" t="s">
        <v>146</v>
      </c>
      <c r="E3" s="61" t="str">
        <f>IFERROR(VLOOKUP(D3,'Master List'!D:H,2,FALSE),"NA")</f>
        <v>520904</v>
      </c>
      <c r="F3" s="62" t="str">
        <f>IFERROR(VLOOKUP(D3,'Master List'!D:H,3,FALSE),"NA")</f>
        <v>520904</v>
      </c>
      <c r="G3" s="58" t="str">
        <f>IFERROR(VLOOKUP(D3,'Master List'!D:H,4,FALSE),"NA")</f>
        <v>520904</v>
      </c>
      <c r="H3" s="39" t="str">
        <f>IFERROR(VLOOKUP(D3,'Master List'!D:H,5,FALSE),"NA")</f>
        <v>Hotel/Motel Administration/Management.</v>
      </c>
      <c r="I3" s="19"/>
      <c r="J3" s="20"/>
      <c r="K3" s="18"/>
      <c r="L3" s="22"/>
    </row>
    <row r="4" spans="1:12" x14ac:dyDescent="0.3">
      <c r="A4" s="33">
        <v>17</v>
      </c>
      <c r="B4" s="33" t="s">
        <v>2178</v>
      </c>
      <c r="C4" s="34" t="s">
        <v>797</v>
      </c>
      <c r="D4" s="51" t="s">
        <v>149</v>
      </c>
      <c r="E4" s="61" t="str">
        <f>IFERROR(VLOOKUP(D4,'Master List'!D:H,2,FALSE),"NA")</f>
        <v>520904</v>
      </c>
      <c r="F4" s="62" t="str">
        <f>IFERROR(VLOOKUP(D4,'Master List'!D:H,3,FALSE),"NA")</f>
        <v>520904</v>
      </c>
      <c r="G4" s="58" t="str">
        <f>IFERROR(VLOOKUP(D4,'Master List'!D:H,4,FALSE),"NA")</f>
        <v>520904</v>
      </c>
      <c r="H4" s="39" t="str">
        <f>IFERROR(VLOOKUP(D4,'Master List'!D:H,5,FALSE),"NA")</f>
        <v>Hotel/Motel Administration/Management.</v>
      </c>
      <c r="I4" s="19"/>
      <c r="J4" s="20"/>
      <c r="K4" s="18"/>
      <c r="L4" s="22"/>
    </row>
    <row r="5" spans="1:12" x14ac:dyDescent="0.3">
      <c r="A5" s="33">
        <v>17</v>
      </c>
      <c r="B5" s="33" t="s">
        <v>2178</v>
      </c>
      <c r="C5" s="34" t="s">
        <v>797</v>
      </c>
      <c r="D5" s="51" t="s">
        <v>176</v>
      </c>
      <c r="E5" s="61" t="str">
        <f>IFERROR(VLOOKUP(D5,'Master List'!D:H,2,FALSE),"NA")</f>
        <v>520905</v>
      </c>
      <c r="F5" s="62" t="str">
        <f>IFERROR(VLOOKUP(D5,'Master List'!D:H,3,FALSE),"NA")</f>
        <v>520905</v>
      </c>
      <c r="G5" s="58" t="str">
        <f>IFERROR(VLOOKUP(D5,'Master List'!D:H,4,FALSE),"NA")</f>
        <v>520905</v>
      </c>
      <c r="H5" s="39" t="str">
        <f>IFERROR(VLOOKUP(D5,'Master List'!D:H,5,FALSE),"NA")</f>
        <v>Restaurant/Food Services Management.</v>
      </c>
      <c r="I5" s="19"/>
      <c r="J5" s="20"/>
      <c r="K5" s="18"/>
      <c r="L5" s="22"/>
    </row>
    <row r="6" spans="1:12" x14ac:dyDescent="0.3">
      <c r="A6" s="33">
        <v>17</v>
      </c>
      <c r="B6" s="33" t="s">
        <v>2178</v>
      </c>
      <c r="C6" s="34" t="s">
        <v>797</v>
      </c>
      <c r="D6" s="51" t="s">
        <v>663</v>
      </c>
      <c r="E6" s="61" t="str">
        <f>IFERROR(VLOOKUP(D6,'Master List'!D:H,2,FALSE),"NA")</f>
        <v>520905</v>
      </c>
      <c r="F6" s="62" t="str">
        <f>IFERROR(VLOOKUP(D6,'Master List'!D:H,3,FALSE),"NA")</f>
        <v>520905</v>
      </c>
      <c r="G6" s="58" t="str">
        <f>IFERROR(VLOOKUP(D6,'Master List'!D:H,4,FALSE),"NA")</f>
        <v>520905</v>
      </c>
      <c r="H6" s="39" t="str">
        <f>IFERROR(VLOOKUP(D6,'Master List'!D:H,5,FALSE),"NA")</f>
        <v>Restaurant/Food Services Management.</v>
      </c>
      <c r="I6" s="19"/>
      <c r="J6" s="20"/>
      <c r="K6" s="18"/>
      <c r="L6" s="22"/>
    </row>
    <row r="7" spans="1:12" x14ac:dyDescent="0.3">
      <c r="A7" s="33">
        <v>17</v>
      </c>
      <c r="B7" s="33" t="s">
        <v>2178</v>
      </c>
      <c r="C7" s="34" t="s">
        <v>797</v>
      </c>
      <c r="D7" s="51" t="s">
        <v>535</v>
      </c>
      <c r="E7" s="61" t="str">
        <f>IFERROR(VLOOKUP(D7,'Master List'!D:H,2,FALSE),"NA")</f>
        <v>520905</v>
      </c>
      <c r="F7" s="62" t="str">
        <f>IFERROR(VLOOKUP(D7,'Master List'!D:H,3,FALSE),"NA")</f>
        <v>520905</v>
      </c>
      <c r="G7" s="58" t="str">
        <f>IFERROR(VLOOKUP(D7,'Master List'!D:H,4,FALSE),"NA")</f>
        <v>520905</v>
      </c>
      <c r="H7" s="39" t="str">
        <f>IFERROR(VLOOKUP(D7,'Master List'!D:H,5,FALSE),"NA")</f>
        <v>Restaurant/Food Services Management.</v>
      </c>
      <c r="I7" s="19"/>
      <c r="J7" s="20"/>
      <c r="K7" s="18"/>
      <c r="L7" s="22"/>
    </row>
    <row r="8" spans="1:12" x14ac:dyDescent="0.3">
      <c r="A8" s="33">
        <v>17</v>
      </c>
      <c r="B8" s="33" t="s">
        <v>2178</v>
      </c>
      <c r="C8" s="34" t="s">
        <v>797</v>
      </c>
      <c r="D8" s="51" t="s">
        <v>536</v>
      </c>
      <c r="E8" s="61" t="str">
        <f>IFERROR(VLOOKUP(D8,'Master List'!D:H,2,FALSE),"NA")</f>
        <v>520909</v>
      </c>
      <c r="F8" s="62" t="str">
        <f>IFERROR(VLOOKUP(D8,'Master List'!D:H,3,FALSE),"NA")</f>
        <v>520909</v>
      </c>
      <c r="G8" s="58" t="str">
        <f>IFERROR(VLOOKUP(D8,'Master List'!D:H,4,FALSE),"NA")</f>
        <v>520909</v>
      </c>
      <c r="H8" s="39" t="str">
        <f>IFERROR(VLOOKUP(D8,'Master List'!D:H,5,FALSE),"NA")</f>
        <v>Hotel, Motel, and Restaurant Management.</v>
      </c>
      <c r="I8" s="19"/>
      <c r="J8" s="20"/>
      <c r="K8" s="18"/>
      <c r="L8" s="22"/>
    </row>
    <row r="9" spans="1:12" x14ac:dyDescent="0.3">
      <c r="A9" s="33">
        <v>17</v>
      </c>
      <c r="B9" s="33" t="s">
        <v>2178</v>
      </c>
      <c r="C9" s="34" t="s">
        <v>797</v>
      </c>
      <c r="D9" s="51" t="s">
        <v>10</v>
      </c>
      <c r="E9" s="61" t="str">
        <f>IFERROR(VLOOKUP(D9,'Master List'!D:H,2,FALSE),"NA")</f>
        <v>510601</v>
      </c>
      <c r="F9" s="62" t="str">
        <f>IFERROR(VLOOKUP(D9,'Master List'!D:H,3,FALSE),"NA")</f>
        <v>510601</v>
      </c>
      <c r="G9" s="58" t="str">
        <f>IFERROR(VLOOKUP(D9,'Master List'!D:H,4,FALSE),"NA")</f>
        <v>510601</v>
      </c>
      <c r="H9" s="39" t="str">
        <f>IFERROR(VLOOKUP(D9,'Master List'!D:H,5,FALSE),"NA")</f>
        <v>Dental Assisting/Assistant.</v>
      </c>
      <c r="I9" s="19"/>
      <c r="J9" s="20"/>
      <c r="K9" s="18"/>
      <c r="L9" s="22"/>
    </row>
    <row r="10" spans="1:12" x14ac:dyDescent="0.3">
      <c r="A10" s="33">
        <v>17</v>
      </c>
      <c r="B10" s="33" t="s">
        <v>2178</v>
      </c>
      <c r="C10" s="34" t="s">
        <v>797</v>
      </c>
      <c r="D10" s="51" t="s">
        <v>198</v>
      </c>
      <c r="E10" s="61" t="str">
        <f>IFERROR(VLOOKUP(D10,'Master List'!D:H,2,FALSE),"NA")</f>
        <v>510707</v>
      </c>
      <c r="F10" s="62" t="str">
        <f>IFERROR(VLOOKUP(D10,'Master List'!D:H,3,FALSE),"NA")</f>
        <v>510707</v>
      </c>
      <c r="G10" s="58">
        <f>IFERROR(VLOOKUP(D10,'Master List'!D:H,4,FALSE),"NA")</f>
        <v>510714</v>
      </c>
      <c r="H10" s="39" t="str">
        <f>IFERROR(VLOOKUP(D10,'Master List'!D:H,5,FALSE),"NA")</f>
        <v>Medical Insurance Specialist/Medical Biller</v>
      </c>
      <c r="I10" s="19"/>
      <c r="J10" s="20"/>
      <c r="K10" s="18"/>
      <c r="L10" s="22"/>
    </row>
    <row r="11" spans="1:12" x14ac:dyDescent="0.3">
      <c r="A11" s="33">
        <v>17</v>
      </c>
      <c r="B11" s="33" t="s">
        <v>2178</v>
      </c>
      <c r="C11" s="34" t="s">
        <v>797</v>
      </c>
      <c r="D11" s="51" t="s">
        <v>798</v>
      </c>
      <c r="E11" s="61" t="str">
        <f>IFERROR(VLOOKUP(D11,'Master List'!D:H,2,FALSE),"NA")</f>
        <v>NA</v>
      </c>
      <c r="F11" s="62" t="str">
        <f>IFERROR(VLOOKUP(D11,'Master List'!D:H,3,FALSE),"NA")</f>
        <v>NA</v>
      </c>
      <c r="G11" s="58" t="str">
        <f>IFERROR(VLOOKUP(D11,'Master List'!D:H,4,FALSE),"NA")</f>
        <v>NA</v>
      </c>
      <c r="H11" s="39" t="str">
        <f>IFERROR(VLOOKUP(D11,'Master List'!D:H,5,FALSE),"NA")</f>
        <v>NA</v>
      </c>
      <c r="I11" s="19"/>
      <c r="J11" s="20"/>
      <c r="K11" s="18"/>
      <c r="L11" s="22"/>
    </row>
    <row r="12" spans="1:12" x14ac:dyDescent="0.3">
      <c r="A12" s="33">
        <v>17</v>
      </c>
      <c r="B12" s="33" t="s">
        <v>2178</v>
      </c>
      <c r="C12" s="34" t="s">
        <v>797</v>
      </c>
      <c r="D12" s="51" t="s">
        <v>14</v>
      </c>
      <c r="E12" s="61" t="str">
        <f>IFERROR(VLOOKUP(D12,'Master List'!D:H,2,FALSE),"NA")</f>
        <v>510904</v>
      </c>
      <c r="F12" s="62" t="str">
        <f>IFERROR(VLOOKUP(D12,'Master List'!D:H,3,FALSE),"NA")</f>
        <v>510904</v>
      </c>
      <c r="G12" s="58" t="str">
        <f>IFERROR(VLOOKUP(D12,'Master List'!D:H,4,FALSE),"NA")</f>
        <v>510904</v>
      </c>
      <c r="H12" s="39" t="str">
        <f>IFERROR(VLOOKUP(D12,'Master List'!D:H,5,FALSE),"NA")</f>
        <v>Emergency Medical Technology/Technician (EMT Paramedic).</v>
      </c>
      <c r="I12" s="19"/>
      <c r="J12" s="20"/>
      <c r="K12" s="18"/>
      <c r="L12" s="22"/>
    </row>
    <row r="13" spans="1:12" x14ac:dyDescent="0.3">
      <c r="A13" s="33">
        <v>17</v>
      </c>
      <c r="B13" s="33" t="s">
        <v>2178</v>
      </c>
      <c r="C13" s="34" t="s">
        <v>797</v>
      </c>
      <c r="D13" s="51" t="s">
        <v>204</v>
      </c>
      <c r="E13" s="61" t="str">
        <f>IFERROR(VLOOKUP(D13,'Master List'!D:H,2,FALSE),"NA")</f>
        <v>510904</v>
      </c>
      <c r="F13" s="62" t="str">
        <f>IFERROR(VLOOKUP(D13,'Master List'!D:H,3,FALSE),"NA")</f>
        <v>510904</v>
      </c>
      <c r="G13" s="58" t="str">
        <f>IFERROR(VLOOKUP(D13,'Master List'!D:H,4,FALSE),"NA")</f>
        <v>510904</v>
      </c>
      <c r="H13" s="39" t="str">
        <f>IFERROR(VLOOKUP(D13,'Master List'!D:H,5,FALSE),"NA")</f>
        <v>Emergency Medical Technology/Technician (EMT Paramedic).</v>
      </c>
      <c r="I13" s="19"/>
      <c r="J13" s="20"/>
      <c r="K13" s="18"/>
      <c r="L13" s="22"/>
    </row>
    <row r="14" spans="1:12" x14ac:dyDescent="0.3">
      <c r="A14" s="33">
        <v>17</v>
      </c>
      <c r="B14" s="33" t="s">
        <v>2178</v>
      </c>
      <c r="C14" s="34" t="s">
        <v>797</v>
      </c>
      <c r="D14" s="51" t="s">
        <v>28</v>
      </c>
      <c r="E14" s="61" t="str">
        <f>IFERROR(VLOOKUP(D14,'Master List'!D:H,2,FALSE),"NA")</f>
        <v>190709</v>
      </c>
      <c r="F14" s="62" t="str">
        <f>IFERROR(VLOOKUP(D14,'Master List'!D:H,3,FALSE),"NA")</f>
        <v>190709</v>
      </c>
      <c r="G14" s="58" t="str">
        <f>IFERROR(VLOOKUP(D14,'Master List'!D:H,4,FALSE),"NA")</f>
        <v>190709</v>
      </c>
      <c r="H14" s="39" t="str">
        <f>IFERROR(VLOOKUP(D14,'Master List'!D:H,5,FALSE),"NA")</f>
        <v>Child Care Provider/Assistant.</v>
      </c>
      <c r="I14" s="19"/>
      <c r="J14" s="20"/>
      <c r="K14" s="18"/>
      <c r="L14" s="22"/>
    </row>
    <row r="15" spans="1:12" x14ac:dyDescent="0.3">
      <c r="A15" s="33">
        <v>17</v>
      </c>
      <c r="B15" s="33" t="s">
        <v>2178</v>
      </c>
      <c r="C15" s="34" t="s">
        <v>797</v>
      </c>
      <c r="D15" s="51" t="s">
        <v>483</v>
      </c>
      <c r="E15" s="61" t="str">
        <f>IFERROR(VLOOKUP(D15,'Master List'!D:H,2,FALSE),"NA")</f>
        <v>190709</v>
      </c>
      <c r="F15" s="62" t="str">
        <f>IFERROR(VLOOKUP(D15,'Master List'!D:H,3,FALSE),"NA")</f>
        <v>190709</v>
      </c>
      <c r="G15" s="58" t="str">
        <f>IFERROR(VLOOKUP(D15,'Master List'!D:H,4,FALSE),"NA")</f>
        <v>190709</v>
      </c>
      <c r="H15" s="39" t="str">
        <f>IFERROR(VLOOKUP(D15,'Master List'!D:H,5,FALSE),"NA")</f>
        <v>Child Care Provider/Assistant.</v>
      </c>
      <c r="I15" s="19"/>
      <c r="J15" s="20"/>
      <c r="K15" s="18"/>
      <c r="L15" s="22"/>
    </row>
    <row r="16" spans="1:12" x14ac:dyDescent="0.3">
      <c r="A16" s="33">
        <v>17</v>
      </c>
      <c r="B16" s="33" t="s">
        <v>2178</v>
      </c>
      <c r="C16" s="34" t="s">
        <v>797</v>
      </c>
      <c r="D16" s="51" t="s">
        <v>588</v>
      </c>
      <c r="E16" s="61" t="str">
        <f>IFERROR(VLOOKUP(D16,'Master List'!D:H,2,FALSE),"NA")</f>
        <v>190709</v>
      </c>
      <c r="F16" s="62" t="str">
        <f>IFERROR(VLOOKUP(D16,'Master List'!D:H,3,FALSE),"NA")</f>
        <v>190709</v>
      </c>
      <c r="G16" s="58" t="str">
        <f>IFERROR(VLOOKUP(D16,'Master List'!D:H,4,FALSE),"NA")</f>
        <v>190709</v>
      </c>
      <c r="H16" s="39" t="str">
        <f>IFERROR(VLOOKUP(D16,'Master List'!D:H,5,FALSE),"NA")</f>
        <v>Child Care Provider/Assistant.</v>
      </c>
      <c r="I16" s="19"/>
      <c r="J16" s="20"/>
      <c r="K16" s="18"/>
      <c r="L16" s="22"/>
    </row>
    <row r="17" spans="1:12" x14ac:dyDescent="0.3">
      <c r="A17" s="33">
        <v>17</v>
      </c>
      <c r="B17" s="33" t="s">
        <v>2178</v>
      </c>
      <c r="C17" s="34" t="s">
        <v>797</v>
      </c>
      <c r="D17" s="51" t="s">
        <v>589</v>
      </c>
      <c r="E17" s="61" t="str">
        <f>IFERROR(VLOOKUP(D17,'Master List'!D:H,2,FALSE),"NA")</f>
        <v>190709</v>
      </c>
      <c r="F17" s="62" t="str">
        <f>IFERROR(VLOOKUP(D17,'Master List'!D:H,3,FALSE),"NA")</f>
        <v>190709</v>
      </c>
      <c r="G17" s="58" t="str">
        <f>IFERROR(VLOOKUP(D17,'Master List'!D:H,4,FALSE),"NA")</f>
        <v>190709</v>
      </c>
      <c r="H17" s="39" t="str">
        <f>IFERROR(VLOOKUP(D17,'Master List'!D:H,5,FALSE),"NA")</f>
        <v>Child Care Provider/Assistant.</v>
      </c>
      <c r="I17" s="19"/>
      <c r="J17" s="20"/>
      <c r="K17" s="18"/>
      <c r="L17" s="22"/>
    </row>
    <row r="18" spans="1:12" x14ac:dyDescent="0.3">
      <c r="A18" s="33">
        <v>17</v>
      </c>
      <c r="B18" s="33" t="s">
        <v>2178</v>
      </c>
      <c r="C18" s="34" t="s">
        <v>797</v>
      </c>
      <c r="D18" s="51" t="s">
        <v>389</v>
      </c>
      <c r="E18" s="61" t="str">
        <f>IFERROR(VLOOKUP(D18,'Master List'!D:H,2,FALSE),"NA")</f>
        <v>110201</v>
      </c>
      <c r="F18" s="62" t="str">
        <f>IFERROR(VLOOKUP(D18,'Master List'!D:H,3,FALSE),"NA")</f>
        <v>110201</v>
      </c>
      <c r="G18" s="58" t="str">
        <f>IFERROR(VLOOKUP(D18,'Master List'!D:H,4,FALSE),"NA")</f>
        <v>110201</v>
      </c>
      <c r="H18" s="39" t="str">
        <f>IFERROR(VLOOKUP(D18,'Master List'!D:H,5,FALSE),"NA")</f>
        <v>Computer Programming/Programmer, General.</v>
      </c>
      <c r="I18" s="19"/>
      <c r="J18" s="20"/>
      <c r="K18" s="18"/>
      <c r="L18" s="22"/>
    </row>
    <row r="19" spans="1:12" x14ac:dyDescent="0.3">
      <c r="A19" s="33">
        <v>17</v>
      </c>
      <c r="B19" s="33" t="s">
        <v>2178</v>
      </c>
      <c r="C19" s="34" t="s">
        <v>797</v>
      </c>
      <c r="D19" s="51" t="s">
        <v>390</v>
      </c>
      <c r="E19" s="61" t="str">
        <f>IFERROR(VLOOKUP(D19,'Master List'!D:H,2,FALSE),"NA")</f>
        <v>110202</v>
      </c>
      <c r="F19" s="62" t="str">
        <f>IFERROR(VLOOKUP(D19,'Master List'!D:H,3,FALSE),"NA")</f>
        <v>110202</v>
      </c>
      <c r="G19" s="58" t="str">
        <f>IFERROR(VLOOKUP(D19,'Master List'!D:H,4,FALSE),"NA")</f>
        <v>110202</v>
      </c>
      <c r="H19" s="39" t="str">
        <f>IFERROR(VLOOKUP(D19,'Master List'!D:H,5,FALSE),"NA")</f>
        <v>Computer Programming, Specific Applications.</v>
      </c>
      <c r="I19" s="19"/>
      <c r="J19" s="20"/>
      <c r="K19" s="18"/>
      <c r="L19" s="22"/>
    </row>
    <row r="20" spans="1:12" x14ac:dyDescent="0.3">
      <c r="A20" s="33">
        <v>17</v>
      </c>
      <c r="B20" s="33" t="s">
        <v>2178</v>
      </c>
      <c r="C20" s="34" t="s">
        <v>797</v>
      </c>
      <c r="D20" s="51" t="s">
        <v>35</v>
      </c>
      <c r="E20" s="61" t="str">
        <f>IFERROR(VLOOKUP(D20,'Master List'!D:H,2,FALSE),"NA")</f>
        <v>111001</v>
      </c>
      <c r="F20" s="62" t="str">
        <f>IFERROR(VLOOKUP(D20,'Master List'!D:H,3,FALSE),"NA")</f>
        <v>111001</v>
      </c>
      <c r="G20" s="58" t="str">
        <f>IFERROR(VLOOKUP(D20,'Master List'!D:H,4,FALSE),"NA")</f>
        <v>111001</v>
      </c>
      <c r="H20" s="39" t="str">
        <f>IFERROR(VLOOKUP(D20,'Master List'!D:H,5,FALSE),"NA")</f>
        <v>Network and System Administration/Administrator.</v>
      </c>
      <c r="I20" s="19"/>
      <c r="J20" s="20"/>
      <c r="K20" s="18"/>
      <c r="L20" s="22"/>
    </row>
    <row r="21" spans="1:12" x14ac:dyDescent="0.3">
      <c r="A21" s="33">
        <v>17</v>
      </c>
      <c r="B21" s="33" t="s">
        <v>2178</v>
      </c>
      <c r="C21" s="34" t="s">
        <v>797</v>
      </c>
      <c r="D21" s="51" t="s">
        <v>221</v>
      </c>
      <c r="E21" s="61" t="str">
        <f>IFERROR(VLOOKUP(D21,'Master List'!D:H,2,FALSE),"NA")</f>
        <v>111001</v>
      </c>
      <c r="F21" s="62" t="str">
        <f>IFERROR(VLOOKUP(D21,'Master List'!D:H,3,FALSE),"NA")</f>
        <v>111001</v>
      </c>
      <c r="G21" s="58" t="str">
        <f>IFERROR(VLOOKUP(D21,'Master List'!D:H,4,FALSE),"NA")</f>
        <v>111001</v>
      </c>
      <c r="H21" s="39" t="str">
        <f>IFERROR(VLOOKUP(D21,'Master List'!D:H,5,FALSE),"NA")</f>
        <v>Network and System Administration/Administrator.</v>
      </c>
      <c r="I21" s="19"/>
      <c r="J21" s="20"/>
      <c r="K21" s="18"/>
      <c r="L21" s="22"/>
    </row>
    <row r="22" spans="1:12" x14ac:dyDescent="0.3">
      <c r="A22" s="33">
        <v>17</v>
      </c>
      <c r="B22" s="33" t="s">
        <v>2178</v>
      </c>
      <c r="C22" s="34" t="s">
        <v>797</v>
      </c>
      <c r="D22" s="51" t="s">
        <v>503</v>
      </c>
      <c r="E22" s="61" t="str">
        <f>IFERROR(VLOOKUP(D22,'Master List'!D:H,2,FALSE),"NA")</f>
        <v>111003</v>
      </c>
      <c r="F22" s="62" t="str">
        <f>IFERROR(VLOOKUP(D22,'Master List'!D:H,3,FALSE),"NA")</f>
        <v>111003</v>
      </c>
      <c r="G22" s="58" t="str">
        <f>IFERROR(VLOOKUP(D22,'Master List'!D:H,4,FALSE),"NA")</f>
        <v>111003</v>
      </c>
      <c r="H22" s="39" t="str">
        <f>IFERROR(VLOOKUP(D22,'Master List'!D:H,5,FALSE),"NA")</f>
        <v>Computer and Information Systems Security/Auditing/Information Assurance.</v>
      </c>
      <c r="I22" s="19"/>
      <c r="J22" s="20"/>
      <c r="K22" s="18"/>
      <c r="L22" s="22"/>
    </row>
    <row r="23" spans="1:12" x14ac:dyDescent="0.3">
      <c r="A23" s="33">
        <v>17</v>
      </c>
      <c r="B23" s="33" t="s">
        <v>2178</v>
      </c>
      <c r="C23" s="34" t="s">
        <v>797</v>
      </c>
      <c r="D23" s="51" t="s">
        <v>422</v>
      </c>
      <c r="E23" s="61" t="str">
        <f>IFERROR(VLOOKUP(D23,'Master List'!D:H,2,FALSE),"NA")</f>
        <v>510716</v>
      </c>
      <c r="F23" s="62" t="str">
        <f>IFERROR(VLOOKUP(D23,'Master List'!D:H,3,FALSE),"NA")</f>
        <v>510716</v>
      </c>
      <c r="G23" s="58">
        <f>IFERROR(VLOOKUP(D23,'Master List'!D:H,4,FALSE),"NA")</f>
        <v>510705</v>
      </c>
      <c r="H23" s="39" t="str">
        <f>IFERROR(VLOOKUP(D23,'Master List'!D:H,5,FALSE),"NA")</f>
        <v>Medical Office Management/Administration</v>
      </c>
      <c r="I23" s="19"/>
      <c r="J23" s="20"/>
      <c r="K23" s="18"/>
      <c r="L23" s="22"/>
    </row>
    <row r="24" spans="1:12" x14ac:dyDescent="0.3">
      <c r="A24" s="33">
        <v>17</v>
      </c>
      <c r="B24" s="33" t="s">
        <v>2178</v>
      </c>
      <c r="C24" s="34" t="s">
        <v>797</v>
      </c>
      <c r="D24" s="51" t="s">
        <v>153</v>
      </c>
      <c r="E24" s="61" t="str">
        <f>IFERROR(VLOOKUP(D24,'Master List'!D:H,2,FALSE),"NA")</f>
        <v>520201</v>
      </c>
      <c r="F24" s="62" t="str">
        <f>IFERROR(VLOOKUP(D24,'Master List'!D:H,3,FALSE),"NA")</f>
        <v>520201</v>
      </c>
      <c r="G24" s="58" t="str">
        <f>IFERROR(VLOOKUP(D24,'Master List'!D:H,4,FALSE),"NA")</f>
        <v>520201</v>
      </c>
      <c r="H24" s="39" t="str">
        <f>IFERROR(VLOOKUP(D24,'Master List'!D:H,5,FALSE),"NA")</f>
        <v>Business Administration and Management, General.</v>
      </c>
      <c r="I24" s="19"/>
      <c r="J24" s="20"/>
      <c r="K24" s="18"/>
      <c r="L24" s="22"/>
    </row>
    <row r="25" spans="1:12" x14ac:dyDescent="0.3">
      <c r="A25" s="33">
        <v>17</v>
      </c>
      <c r="B25" s="33" t="s">
        <v>2178</v>
      </c>
      <c r="C25" s="34" t="s">
        <v>797</v>
      </c>
      <c r="D25" s="51" t="s">
        <v>696</v>
      </c>
      <c r="E25" s="61" t="str">
        <f>IFERROR(VLOOKUP(D25,'Master List'!D:H,2,FALSE),"NA")</f>
        <v>520201</v>
      </c>
      <c r="F25" s="62" t="str">
        <f>IFERROR(VLOOKUP(D25,'Master List'!D:H,3,FALSE),"NA")</f>
        <v>520201</v>
      </c>
      <c r="G25" s="58" t="str">
        <f>IFERROR(VLOOKUP(D25,'Master List'!D:H,4,FALSE),"NA")</f>
        <v>520201</v>
      </c>
      <c r="H25" s="39" t="str">
        <f>IFERROR(VLOOKUP(D25,'Master List'!D:H,5,FALSE),"NA")</f>
        <v>Business Administration and Management, General.</v>
      </c>
      <c r="I25" s="19"/>
      <c r="J25" s="20"/>
      <c r="K25" s="18"/>
      <c r="L25" s="22"/>
    </row>
    <row r="26" spans="1:12" x14ac:dyDescent="0.3">
      <c r="A26" s="33">
        <v>17</v>
      </c>
      <c r="B26" s="33" t="s">
        <v>2178</v>
      </c>
      <c r="C26" s="34" t="s">
        <v>797</v>
      </c>
      <c r="D26" s="51" t="s">
        <v>37</v>
      </c>
      <c r="E26" s="61" t="str">
        <f>IFERROR(VLOOKUP(D26,'Master List'!D:H,2,FALSE),"NA")</f>
        <v>520204</v>
      </c>
      <c r="F26" s="62" t="str">
        <f>IFERROR(VLOOKUP(D26,'Master List'!D:H,3,FALSE),"NA")</f>
        <v>520204</v>
      </c>
      <c r="G26" s="58" t="str">
        <f>IFERROR(VLOOKUP(D26,'Master List'!D:H,4,FALSE),"NA")</f>
        <v>520204</v>
      </c>
      <c r="H26" s="39" t="str">
        <f>IFERROR(VLOOKUP(D26,'Master List'!D:H,5,FALSE),"NA")</f>
        <v>Office Management and Supervision.</v>
      </c>
      <c r="I26" s="19"/>
      <c r="J26" s="20"/>
      <c r="K26" s="18"/>
      <c r="L26" s="22"/>
    </row>
    <row r="27" spans="1:12" x14ac:dyDescent="0.3">
      <c r="A27" s="33">
        <v>17</v>
      </c>
      <c r="B27" s="33" t="s">
        <v>2178</v>
      </c>
      <c r="C27" s="34" t="s">
        <v>797</v>
      </c>
      <c r="D27" s="51" t="s">
        <v>40</v>
      </c>
      <c r="E27" s="61" t="str">
        <f>IFERROR(VLOOKUP(D27,'Master List'!D:H,2,FALSE),"NA")</f>
        <v>520302</v>
      </c>
      <c r="F27" s="62" t="str">
        <f>IFERROR(VLOOKUP(D27,'Master List'!D:H,3,FALSE),"NA")</f>
        <v>520302</v>
      </c>
      <c r="G27" s="58" t="str">
        <f>IFERROR(VLOOKUP(D27,'Master List'!D:H,4,FALSE),"NA")</f>
        <v>520302</v>
      </c>
      <c r="H27" s="39" t="str">
        <f>IFERROR(VLOOKUP(D27,'Master List'!D:H,5,FALSE),"NA")</f>
        <v>Accounting Technology/Technician and Bookkeeping.</v>
      </c>
      <c r="I27" s="19"/>
      <c r="J27" s="20"/>
      <c r="K27" s="18"/>
      <c r="L27" s="22"/>
    </row>
    <row r="28" spans="1:12" x14ac:dyDescent="0.3">
      <c r="A28" s="33">
        <v>17</v>
      </c>
      <c r="B28" s="33" t="s">
        <v>2178</v>
      </c>
      <c r="C28" s="34" t="s">
        <v>797</v>
      </c>
      <c r="D28" s="51" t="s">
        <v>229</v>
      </c>
      <c r="E28" s="61" t="str">
        <f>IFERROR(VLOOKUP(D28,'Master List'!D:H,2,FALSE),"NA")</f>
        <v>520407</v>
      </c>
      <c r="F28" s="62" t="str">
        <f>IFERROR(VLOOKUP(D28,'Master List'!D:H,3,FALSE),"NA")</f>
        <v>520407</v>
      </c>
      <c r="G28" s="58" t="str">
        <f>IFERROR(VLOOKUP(D28,'Master List'!D:H,4,FALSE),"NA")</f>
        <v>520407</v>
      </c>
      <c r="H28" s="39" t="str">
        <f>IFERROR(VLOOKUP(D28,'Master List'!D:H,5,FALSE),"NA")</f>
        <v>Business/Office Automation/Technology/Data Entry.</v>
      </c>
      <c r="I28" s="19"/>
      <c r="J28" s="20"/>
      <c r="K28" s="18"/>
      <c r="L28" s="22"/>
    </row>
    <row r="29" spans="1:12" x14ac:dyDescent="0.3">
      <c r="A29" s="33">
        <v>17</v>
      </c>
      <c r="B29" s="33" t="s">
        <v>2178</v>
      </c>
      <c r="C29" s="34" t="s">
        <v>797</v>
      </c>
      <c r="D29" s="51" t="s">
        <v>232</v>
      </c>
      <c r="E29" s="61" t="str">
        <f>IFERROR(VLOOKUP(D29,'Master List'!D:H,2,FALSE),"NA")</f>
        <v>520701</v>
      </c>
      <c r="F29" s="62" t="str">
        <f>IFERROR(VLOOKUP(D29,'Master List'!D:H,3,FALSE),"NA")</f>
        <v>520701</v>
      </c>
      <c r="G29" s="58" t="str">
        <f>IFERROR(VLOOKUP(D29,'Master List'!D:H,4,FALSE),"NA")</f>
        <v>520701</v>
      </c>
      <c r="H29" s="39" t="str">
        <f>IFERROR(VLOOKUP(D29,'Master List'!D:H,5,FALSE),"NA")</f>
        <v>Entrepreneurship/Entrepreneurial Studies.</v>
      </c>
      <c r="I29" s="19"/>
      <c r="J29" s="20"/>
      <c r="K29" s="18"/>
      <c r="L29" s="22"/>
    </row>
    <row r="30" spans="1:12" x14ac:dyDescent="0.3">
      <c r="A30" s="33">
        <v>17</v>
      </c>
      <c r="B30" s="33" t="s">
        <v>2178</v>
      </c>
      <c r="C30" s="34" t="s">
        <v>797</v>
      </c>
      <c r="D30" s="51" t="s">
        <v>394</v>
      </c>
      <c r="E30" s="61" t="str">
        <f>IFERROR(VLOOKUP(D30,'Master List'!D:H,2,FALSE),"NA")</f>
        <v>520703</v>
      </c>
      <c r="F30" s="62" t="str">
        <f>IFERROR(VLOOKUP(D30,'Master List'!D:H,3,FALSE),"NA")</f>
        <v>520703</v>
      </c>
      <c r="G30" s="58" t="str">
        <f>IFERROR(VLOOKUP(D30,'Master List'!D:H,4,FALSE),"NA")</f>
        <v>520703</v>
      </c>
      <c r="H30" s="39" t="str">
        <f>IFERROR(VLOOKUP(D30,'Master List'!D:H,5,FALSE),"NA")</f>
        <v>Small Business Administration/Management.</v>
      </c>
      <c r="I30" s="19"/>
      <c r="J30" s="20"/>
      <c r="K30" s="18"/>
      <c r="L30" s="22"/>
    </row>
    <row r="31" spans="1:12" x14ac:dyDescent="0.3">
      <c r="A31" s="33">
        <v>17</v>
      </c>
      <c r="B31" s="33" t="s">
        <v>2178</v>
      </c>
      <c r="C31" s="34" t="s">
        <v>797</v>
      </c>
      <c r="D31" s="51" t="s">
        <v>511</v>
      </c>
      <c r="E31" s="61" t="str">
        <f>IFERROR(VLOOKUP(D31,'Master List'!D:H,2,FALSE),"NA")</f>
        <v>090702</v>
      </c>
      <c r="F31" s="62" t="str">
        <f>IFERROR(VLOOKUP(D31,'Master List'!D:H,3,FALSE),"NA")</f>
        <v>090702</v>
      </c>
      <c r="G31" s="58" t="str">
        <f>IFERROR(VLOOKUP(D31,'Master List'!D:H,4,FALSE),"NA")</f>
        <v>090702</v>
      </c>
      <c r="H31" s="39" t="str">
        <f>IFERROR(VLOOKUP(D31,'Master List'!D:H,5,FALSE),"NA")</f>
        <v>Digital Communication and Media/Multimedia.</v>
      </c>
      <c r="I31" s="19"/>
      <c r="J31" s="20"/>
      <c r="K31" s="18"/>
      <c r="L31" s="22"/>
    </row>
    <row r="32" spans="1:12" x14ac:dyDescent="0.3">
      <c r="A32" s="33">
        <v>17</v>
      </c>
      <c r="B32" s="33" t="s">
        <v>2178</v>
      </c>
      <c r="C32" s="34" t="s">
        <v>797</v>
      </c>
      <c r="D32" s="51" t="s">
        <v>591</v>
      </c>
      <c r="E32" s="61" t="str">
        <f>IFERROR(VLOOKUP(D32,'Master List'!D:H,2,FALSE),"NA")</f>
        <v>090702</v>
      </c>
      <c r="F32" s="62" t="str">
        <f>IFERROR(VLOOKUP(D32,'Master List'!D:H,3,FALSE),"NA")</f>
        <v>090702</v>
      </c>
      <c r="G32" s="58" t="str">
        <f>IFERROR(VLOOKUP(D32,'Master List'!D:H,4,FALSE),"NA")</f>
        <v>090702</v>
      </c>
      <c r="H32" s="39" t="str">
        <f>IFERROR(VLOOKUP(D32,'Master List'!D:H,5,FALSE),"NA")</f>
        <v>Digital Communication and Media/Multimedia.</v>
      </c>
      <c r="I32" s="19"/>
      <c r="J32" s="20"/>
      <c r="K32" s="18"/>
      <c r="L32" s="22"/>
    </row>
    <row r="33" spans="1:12" x14ac:dyDescent="0.3">
      <c r="A33" s="33">
        <v>17</v>
      </c>
      <c r="B33" s="33" t="s">
        <v>2178</v>
      </c>
      <c r="C33" s="34" t="s">
        <v>797</v>
      </c>
      <c r="D33" s="51" t="s">
        <v>515</v>
      </c>
      <c r="E33" s="61" t="str">
        <f>IFERROR(VLOOKUP(D33,'Master List'!D:H,2,FALSE),"NA")</f>
        <v>110803</v>
      </c>
      <c r="F33" s="62" t="str">
        <f>IFERROR(VLOOKUP(D33,'Master List'!D:H,3,FALSE),"NA")</f>
        <v>110803</v>
      </c>
      <c r="G33" s="58" t="str">
        <f>IFERROR(VLOOKUP(D33,'Master List'!D:H,4,FALSE),"NA")</f>
        <v>110803</v>
      </c>
      <c r="H33" s="39" t="str">
        <f>IFERROR(VLOOKUP(D33,'Master List'!D:H,5,FALSE),"NA")</f>
        <v>Computer Graphics.</v>
      </c>
      <c r="I33" s="19"/>
      <c r="J33" s="20"/>
      <c r="K33" s="18"/>
      <c r="L33" s="22"/>
    </row>
    <row r="34" spans="1:12" x14ac:dyDescent="0.3">
      <c r="A34" s="33">
        <v>17</v>
      </c>
      <c r="B34" s="33" t="s">
        <v>2178</v>
      </c>
      <c r="C34" s="34" t="s">
        <v>797</v>
      </c>
      <c r="D34" s="51" t="s">
        <v>237</v>
      </c>
      <c r="E34" s="61" t="str">
        <f>IFERROR(VLOOKUP(D34,'Master List'!D:H,2,FALSE),"NA")</f>
        <v>110803</v>
      </c>
      <c r="F34" s="62" t="str">
        <f>IFERROR(VLOOKUP(D34,'Master List'!D:H,3,FALSE),"NA")</f>
        <v>110803</v>
      </c>
      <c r="G34" s="58" t="str">
        <f>IFERROR(VLOOKUP(D34,'Master List'!D:H,4,FALSE),"NA")</f>
        <v>110803</v>
      </c>
      <c r="H34" s="39" t="str">
        <f>IFERROR(VLOOKUP(D34,'Master List'!D:H,5,FALSE),"NA")</f>
        <v>Computer Graphics.</v>
      </c>
      <c r="I34" s="19"/>
      <c r="J34" s="20"/>
      <c r="K34" s="18"/>
      <c r="L34" s="22"/>
    </row>
    <row r="35" spans="1:12" x14ac:dyDescent="0.3">
      <c r="A35" s="33">
        <v>17</v>
      </c>
      <c r="B35" s="33" t="s">
        <v>2178</v>
      </c>
      <c r="C35" s="34" t="s">
        <v>797</v>
      </c>
      <c r="D35" s="51" t="s">
        <v>46</v>
      </c>
      <c r="E35" s="61" t="str">
        <f>IFERROR(VLOOKUP(D35,'Master List'!D:H,2,FALSE),"NA")</f>
        <v>120503</v>
      </c>
      <c r="F35" s="62" t="str">
        <f>IFERROR(VLOOKUP(D35,'Master List'!D:H,3,FALSE),"NA")</f>
        <v>120503</v>
      </c>
      <c r="G35" s="58" t="str">
        <f>IFERROR(VLOOKUP(D35,'Master List'!D:H,4,FALSE),"NA")</f>
        <v>120503</v>
      </c>
      <c r="H35" s="39" t="str">
        <f>IFERROR(VLOOKUP(D35,'Master List'!D:H,5,FALSE),"NA")</f>
        <v>Culinary Arts/Chef Training.</v>
      </c>
      <c r="I35" s="19"/>
      <c r="J35" s="20"/>
      <c r="K35" s="18"/>
      <c r="L35" s="22"/>
    </row>
    <row r="36" spans="1:12" x14ac:dyDescent="0.3">
      <c r="A36" s="33">
        <v>17</v>
      </c>
      <c r="B36" s="33" t="s">
        <v>2178</v>
      </c>
      <c r="C36" s="34" t="s">
        <v>797</v>
      </c>
      <c r="D36" s="51" t="s">
        <v>49</v>
      </c>
      <c r="E36" s="61" t="str">
        <f>IFERROR(VLOOKUP(D36,'Master List'!D:H,2,FALSE),"NA")</f>
        <v>120503</v>
      </c>
      <c r="F36" s="62" t="str">
        <f>IFERROR(VLOOKUP(D36,'Master List'!D:H,3,FALSE),"NA")</f>
        <v>120503</v>
      </c>
      <c r="G36" s="58" t="str">
        <f>IFERROR(VLOOKUP(D36,'Master List'!D:H,4,FALSE),"NA")</f>
        <v>120503</v>
      </c>
      <c r="H36" s="39" t="str">
        <f>IFERROR(VLOOKUP(D36,'Master List'!D:H,5,FALSE),"NA")</f>
        <v>Culinary Arts/Chef Training.</v>
      </c>
      <c r="I36" s="19"/>
      <c r="J36" s="20"/>
      <c r="K36" s="18"/>
      <c r="L36" s="22"/>
    </row>
    <row r="37" spans="1:12" x14ac:dyDescent="0.3">
      <c r="A37" s="33">
        <v>17</v>
      </c>
      <c r="B37" s="33" t="s">
        <v>2178</v>
      </c>
      <c r="C37" s="34" t="s">
        <v>797</v>
      </c>
      <c r="D37" s="51" t="s">
        <v>155</v>
      </c>
      <c r="E37" s="61" t="str">
        <f>IFERROR(VLOOKUP(D37,'Master List'!D:H,2,FALSE),"NA")</f>
        <v>120504</v>
      </c>
      <c r="F37" s="62" t="str">
        <f>IFERROR(VLOOKUP(D37,'Master List'!D:H,3,FALSE),"NA")</f>
        <v>120504</v>
      </c>
      <c r="G37" s="58" t="str">
        <f>IFERROR(VLOOKUP(D37,'Master List'!D:H,4,FALSE),"NA")</f>
        <v>120504</v>
      </c>
      <c r="H37" s="39" t="str">
        <f>IFERROR(VLOOKUP(D37,'Master List'!D:H,5,FALSE),"NA")</f>
        <v>Restaurant, Culinary, and Catering Management/Manager.</v>
      </c>
      <c r="I37" s="19"/>
      <c r="J37" s="20"/>
      <c r="K37" s="18"/>
      <c r="L37" s="22"/>
    </row>
    <row r="38" spans="1:12" x14ac:dyDescent="0.3">
      <c r="A38" s="33">
        <v>17</v>
      </c>
      <c r="B38" s="33" t="s">
        <v>2178</v>
      </c>
      <c r="C38" s="34" t="s">
        <v>797</v>
      </c>
      <c r="D38" s="51" t="s">
        <v>246</v>
      </c>
      <c r="E38" s="61" t="str">
        <f>IFERROR(VLOOKUP(D38,'Master List'!D:H,2,FALSE),"NA")</f>
        <v>150000</v>
      </c>
      <c r="F38" s="62" t="str">
        <f>IFERROR(VLOOKUP(D38,'Master List'!D:H,3,FALSE),"NA")</f>
        <v>150000</v>
      </c>
      <c r="G38" s="58" t="str">
        <f>IFERROR(VLOOKUP(D38,'Master List'!D:H,4,FALSE),"NA")</f>
        <v>150000</v>
      </c>
      <c r="H38" s="39" t="str">
        <f>IFERROR(VLOOKUP(D38,'Master List'!D:H,5,FALSE),"NA")</f>
        <v>Engineering Technologies/Technicians, General.</v>
      </c>
      <c r="I38" s="19"/>
      <c r="J38" s="20"/>
      <c r="K38" s="18"/>
      <c r="L38" s="22"/>
    </row>
    <row r="39" spans="1:12" x14ac:dyDescent="0.3">
      <c r="A39" s="33">
        <v>17</v>
      </c>
      <c r="B39" s="33" t="s">
        <v>2178</v>
      </c>
      <c r="C39" s="34" t="s">
        <v>797</v>
      </c>
      <c r="D39" s="51" t="s">
        <v>799</v>
      </c>
      <c r="E39" s="61" t="str">
        <f>IFERROR(VLOOKUP(D39,'Master List'!D:H,2,FALSE),"NA")</f>
        <v>150000</v>
      </c>
      <c r="F39" s="62" t="str">
        <f>IFERROR(VLOOKUP(D39,'Master List'!D:H,3,FALSE),"NA")</f>
        <v>150000</v>
      </c>
      <c r="G39" s="58" t="str">
        <f>IFERROR(VLOOKUP(D39,'Master List'!D:H,4,FALSE),"NA")</f>
        <v>150000</v>
      </c>
      <c r="H39" s="39" t="str">
        <f>IFERROR(VLOOKUP(D39,'Master List'!D:H,5,FALSE),"NA")</f>
        <v>Engineering Technologies/Technicians, General.</v>
      </c>
      <c r="I39" s="19"/>
      <c r="J39" s="20"/>
      <c r="K39" s="18"/>
      <c r="L39" s="22"/>
    </row>
    <row r="40" spans="1:12" x14ac:dyDescent="0.3">
      <c r="A40" s="33">
        <v>17</v>
      </c>
      <c r="B40" s="33" t="s">
        <v>2178</v>
      </c>
      <c r="C40" s="34" t="s">
        <v>797</v>
      </c>
      <c r="D40" s="51" t="s">
        <v>262</v>
      </c>
      <c r="E40" s="61" t="str">
        <f>IFERROR(VLOOKUP(D40,'Master List'!D:H,2,FALSE),"NA")</f>
        <v>151302</v>
      </c>
      <c r="F40" s="62" t="str">
        <f>IFERROR(VLOOKUP(D40,'Master List'!D:H,3,FALSE),"NA")</f>
        <v>151302</v>
      </c>
      <c r="G40" s="58" t="str">
        <f>IFERROR(VLOOKUP(D40,'Master List'!D:H,4,FALSE),"NA")</f>
        <v>151302</v>
      </c>
      <c r="H40" s="39" t="str">
        <f>IFERROR(VLOOKUP(D40,'Master List'!D:H,5,FALSE),"NA")</f>
        <v>CAD/CADD Drafting and/or Design Technology/Technician.</v>
      </c>
      <c r="I40" s="19"/>
      <c r="J40" s="20"/>
      <c r="K40" s="18"/>
      <c r="L40" s="22"/>
    </row>
    <row r="41" spans="1:12" x14ac:dyDescent="0.3">
      <c r="A41" s="33">
        <v>17</v>
      </c>
      <c r="B41" s="33" t="s">
        <v>2178</v>
      </c>
      <c r="C41" s="34" t="s">
        <v>797</v>
      </c>
      <c r="D41" s="51" t="s">
        <v>443</v>
      </c>
      <c r="E41" s="61" t="str">
        <f>IFERROR(VLOOKUP(D41,'Master List'!D:H,2,FALSE),"NA")</f>
        <v>470104</v>
      </c>
      <c r="F41" s="62" t="str">
        <f>IFERROR(VLOOKUP(D41,'Master List'!D:H,3,FALSE),"NA")</f>
        <v>470104</v>
      </c>
      <c r="G41" s="58" t="str">
        <f>IFERROR(VLOOKUP(D41,'Master List'!D:H,4,FALSE),"NA")</f>
        <v>470104</v>
      </c>
      <c r="H41" s="39" t="str">
        <f>IFERROR(VLOOKUP(D41,'Master List'!D:H,5,FALSE),"NA")</f>
        <v>Computer Installation and Repair Technology/Technician.</v>
      </c>
      <c r="I41" s="19"/>
      <c r="J41" s="20"/>
      <c r="K41" s="18"/>
      <c r="L41" s="22"/>
    </row>
    <row r="42" spans="1:12" x14ac:dyDescent="0.3">
      <c r="A42" s="33">
        <v>17</v>
      </c>
      <c r="B42" s="33" t="s">
        <v>2178</v>
      </c>
      <c r="C42" s="34" t="s">
        <v>797</v>
      </c>
      <c r="D42" s="51" t="s">
        <v>291</v>
      </c>
      <c r="E42" s="61" t="str">
        <f>IFERROR(VLOOKUP(D42,'Master List'!D:H,2,FALSE),"NA")</f>
        <v>480508</v>
      </c>
      <c r="F42" s="62" t="str">
        <f>IFERROR(VLOOKUP(D42,'Master List'!D:H,3,FALSE),"NA")</f>
        <v>480508</v>
      </c>
      <c r="G42" s="58" t="str">
        <f>IFERROR(VLOOKUP(D42,'Master List'!D:H,4,FALSE),"NA")</f>
        <v>480508</v>
      </c>
      <c r="H42" s="39" t="str">
        <f>IFERROR(VLOOKUP(D42,'Master List'!D:H,5,FALSE),"NA")</f>
        <v>Welding Technology/Welder.</v>
      </c>
      <c r="I42" s="19"/>
      <c r="J42" s="20"/>
      <c r="K42" s="18"/>
      <c r="L42" s="22"/>
    </row>
    <row r="43" spans="1:12" x14ac:dyDescent="0.3">
      <c r="A43" s="33">
        <v>17</v>
      </c>
      <c r="B43" s="33" t="s">
        <v>2178</v>
      </c>
      <c r="C43" s="34" t="s">
        <v>797</v>
      </c>
      <c r="D43" s="51" t="s">
        <v>456</v>
      </c>
      <c r="E43" s="61" t="str">
        <f>IFERROR(VLOOKUP(D43,'Master List'!D:H,2,FALSE),"NA")</f>
        <v>480508</v>
      </c>
      <c r="F43" s="62" t="str">
        <f>IFERROR(VLOOKUP(D43,'Master List'!D:H,3,FALSE),"NA")</f>
        <v>480508</v>
      </c>
      <c r="G43" s="58" t="str">
        <f>IFERROR(VLOOKUP(D43,'Master List'!D:H,4,FALSE),"NA")</f>
        <v>480508</v>
      </c>
      <c r="H43" s="39" t="str">
        <f>IFERROR(VLOOKUP(D43,'Master List'!D:H,5,FALSE),"NA")</f>
        <v>Welding Technology/Welder.</v>
      </c>
      <c r="I43" s="19"/>
      <c r="J43" s="20"/>
      <c r="K43" s="18"/>
      <c r="L43" s="22"/>
    </row>
    <row r="44" spans="1:12" x14ac:dyDescent="0.3">
      <c r="A44" s="33">
        <v>17</v>
      </c>
      <c r="B44" s="33" t="s">
        <v>2178</v>
      </c>
      <c r="C44" s="34" t="s">
        <v>797</v>
      </c>
      <c r="D44" s="51" t="s">
        <v>294</v>
      </c>
      <c r="E44" s="61" t="str">
        <f>IFERROR(VLOOKUP(D44,'Master List'!D:H,2,FALSE),"NA")</f>
        <v>480510</v>
      </c>
      <c r="F44" s="62" t="str">
        <f>IFERROR(VLOOKUP(D44,'Master List'!D:H,3,FALSE),"NA")</f>
        <v>480510</v>
      </c>
      <c r="G44" s="58" t="str">
        <f>IFERROR(VLOOKUP(D44,'Master List'!D:H,4,FALSE),"NA")</f>
        <v>480510</v>
      </c>
      <c r="H44" s="39" t="str">
        <f>IFERROR(VLOOKUP(D44,'Master List'!D:H,5,FALSE),"NA")</f>
        <v>Computer Numerically Controlled (CNC) Machinist Technology/CNC Machinist.</v>
      </c>
      <c r="I44" s="19"/>
      <c r="J44" s="20"/>
      <c r="K44" s="18"/>
      <c r="L44" s="22"/>
    </row>
    <row r="45" spans="1:12" x14ac:dyDescent="0.3">
      <c r="A45" s="33">
        <v>17</v>
      </c>
      <c r="B45" s="33" t="s">
        <v>2178</v>
      </c>
      <c r="C45" s="34" t="s">
        <v>797</v>
      </c>
      <c r="D45" s="51" t="s">
        <v>62</v>
      </c>
      <c r="E45" s="61" t="str">
        <f>IFERROR(VLOOKUP(D45,'Master List'!D:H,2,FALSE),"NA")</f>
        <v>500602</v>
      </c>
      <c r="F45" s="62" t="str">
        <f>IFERROR(VLOOKUP(D45,'Master List'!D:H,3,FALSE),"NA")</f>
        <v>500602</v>
      </c>
      <c r="G45" s="58">
        <f>IFERROR(VLOOKUP(D45,'Master List'!D:H,4,FALSE),"NA")</f>
        <v>100203</v>
      </c>
      <c r="H45" s="39" t="str">
        <f>IFERROR(VLOOKUP(D45,'Master List'!D:H,5,FALSE),"NA")</f>
        <v>Recording Arts Technology/Technician</v>
      </c>
      <c r="I45" s="19"/>
      <c r="J45" s="20"/>
      <c r="K45" s="18"/>
      <c r="L45" s="22"/>
    </row>
    <row r="46" spans="1:12" x14ac:dyDescent="0.3">
      <c r="A46" s="33">
        <v>17</v>
      </c>
      <c r="B46" s="33" t="s">
        <v>2178</v>
      </c>
      <c r="C46" s="34" t="s">
        <v>797</v>
      </c>
      <c r="D46" s="51" t="s">
        <v>68</v>
      </c>
      <c r="E46" s="61" t="str">
        <f>IFERROR(VLOOKUP(D46,'Master List'!D:H,2,FALSE),"NA")</f>
        <v>430102</v>
      </c>
      <c r="F46" s="62" t="str">
        <f>IFERROR(VLOOKUP(D46,'Master List'!D:H,3,FALSE),"NA")</f>
        <v>430102</v>
      </c>
      <c r="G46" s="58" t="str">
        <f>IFERROR(VLOOKUP(D46,'Master List'!D:H,4,FALSE),"NA")</f>
        <v>430102</v>
      </c>
      <c r="H46" s="39" t="str">
        <f>IFERROR(VLOOKUP(D46,'Master List'!D:H,5,FALSE),"NA")</f>
        <v>Corrections.</v>
      </c>
      <c r="I46" s="19"/>
      <c r="J46" s="20"/>
      <c r="K46" s="18"/>
      <c r="L46" s="22"/>
    </row>
    <row r="47" spans="1:12" x14ac:dyDescent="0.3">
      <c r="A47" s="33">
        <v>17</v>
      </c>
      <c r="B47" s="33" t="s">
        <v>2178</v>
      </c>
      <c r="C47" s="34" t="s">
        <v>797</v>
      </c>
      <c r="D47" s="51" t="s">
        <v>71</v>
      </c>
      <c r="E47" s="61" t="str">
        <f>IFERROR(VLOOKUP(D47,'Master List'!D:H,2,FALSE),"NA")</f>
        <v>430107</v>
      </c>
      <c r="F47" s="62" t="str">
        <f>IFERROR(VLOOKUP(D47,'Master List'!D:H,3,FALSE),"NA")</f>
        <v>430107</v>
      </c>
      <c r="G47" s="58" t="str">
        <f>IFERROR(VLOOKUP(D47,'Master List'!D:H,4,FALSE),"NA")</f>
        <v>430107</v>
      </c>
      <c r="H47" s="39" t="str">
        <f>IFERROR(VLOOKUP(D47,'Master List'!D:H,5,FALSE),"NA")</f>
        <v>Criminal Justice/Police Science.</v>
      </c>
      <c r="I47" s="19"/>
      <c r="J47" s="20"/>
      <c r="K47" s="18"/>
      <c r="L47" s="22"/>
    </row>
    <row r="48" spans="1:12" x14ac:dyDescent="0.3">
      <c r="A48" s="33">
        <v>17</v>
      </c>
      <c r="B48" s="33" t="s">
        <v>2178</v>
      </c>
      <c r="C48" s="34" t="s">
        <v>797</v>
      </c>
      <c r="D48" s="51" t="s">
        <v>578</v>
      </c>
      <c r="E48" s="61" t="str">
        <f>IFERROR(VLOOKUP(D48,'Master List'!D:H,2,FALSE),"NA")</f>
        <v>430201</v>
      </c>
      <c r="F48" s="62" t="str">
        <f>IFERROR(VLOOKUP(D48,'Master List'!D:H,3,FALSE),"NA")</f>
        <v>430201</v>
      </c>
      <c r="G48" s="58" t="str">
        <f>IFERROR(VLOOKUP(D48,'Master List'!D:H,4,FALSE),"NA")</f>
        <v>430201</v>
      </c>
      <c r="H48" s="39" t="str">
        <f>IFERROR(VLOOKUP(D48,'Master List'!D:H,5,FALSE),"NA")</f>
        <v>Fire Prevention and Safety Technology/Technician.</v>
      </c>
      <c r="I48" s="19"/>
      <c r="J48" s="20"/>
      <c r="K48" s="18"/>
      <c r="L48" s="22"/>
    </row>
    <row r="49" spans="1:12" x14ac:dyDescent="0.3">
      <c r="A49" s="33">
        <v>17</v>
      </c>
      <c r="B49" s="33" t="s">
        <v>2178</v>
      </c>
      <c r="C49" s="34" t="s">
        <v>797</v>
      </c>
      <c r="D49" s="51" t="s">
        <v>318</v>
      </c>
      <c r="E49" s="61" t="str">
        <f>IFERROR(VLOOKUP(D49,'Master List'!D:H,2,FALSE),"NA")</f>
        <v>430203</v>
      </c>
      <c r="F49" s="62" t="str">
        <f>IFERROR(VLOOKUP(D49,'Master List'!D:H,3,FALSE),"NA")</f>
        <v>430203</v>
      </c>
      <c r="G49" s="58" t="str">
        <f>IFERROR(VLOOKUP(D49,'Master List'!D:H,4,FALSE),"NA")</f>
        <v>430203</v>
      </c>
      <c r="H49" s="39" t="str">
        <f>IFERROR(VLOOKUP(D49,'Master List'!D:H,5,FALSE),"NA")</f>
        <v>Fire Science/Fire-fighting.</v>
      </c>
      <c r="I49" s="19"/>
      <c r="J49" s="20"/>
      <c r="K49" s="18"/>
      <c r="L49" s="22"/>
    </row>
    <row r="50" spans="1:12" x14ac:dyDescent="0.3">
      <c r="A50" s="33">
        <v>17</v>
      </c>
      <c r="B50" s="33" t="s">
        <v>2178</v>
      </c>
      <c r="C50" s="34" t="s">
        <v>797</v>
      </c>
      <c r="D50" s="51" t="s">
        <v>485</v>
      </c>
      <c r="E50" s="61" t="str">
        <f>IFERROR(VLOOKUP(D50,'Master List'!D:H,2,FALSE),"NA")</f>
        <v>430203</v>
      </c>
      <c r="F50" s="62" t="str">
        <f>IFERROR(VLOOKUP(D50,'Master List'!D:H,3,FALSE),"NA")</f>
        <v>430203</v>
      </c>
      <c r="G50" s="58" t="str">
        <f>IFERROR(VLOOKUP(D50,'Master List'!D:H,4,FALSE),"NA")</f>
        <v>430203</v>
      </c>
      <c r="H50" s="39" t="str">
        <f>IFERROR(VLOOKUP(D50,'Master List'!D:H,5,FALSE),"NA")</f>
        <v>Fire Science/Fire-fighting.</v>
      </c>
      <c r="I50" s="19"/>
      <c r="J50" s="20"/>
      <c r="K50" s="18"/>
      <c r="L50" s="22"/>
    </row>
    <row r="51" spans="1:12" x14ac:dyDescent="0.3">
      <c r="A51" s="33">
        <v>17</v>
      </c>
      <c r="B51" s="33" t="s">
        <v>2178</v>
      </c>
      <c r="C51" s="34" t="s">
        <v>797</v>
      </c>
      <c r="D51" s="51" t="s">
        <v>319</v>
      </c>
      <c r="E51" s="61" t="str">
        <f>IFERROR(VLOOKUP(D51,'Master List'!D:H,2,FALSE),"NA")</f>
        <v>430302</v>
      </c>
      <c r="F51" s="62" t="str">
        <f>IFERROR(VLOOKUP(D51,'Master List'!D:H,3,FALSE),"NA")</f>
        <v>430302</v>
      </c>
      <c r="G51" s="58" t="str">
        <f>IFERROR(VLOOKUP(D51,'Master List'!D:H,4,FALSE),"NA")</f>
        <v>430302</v>
      </c>
      <c r="H51" s="39" t="str">
        <f>IFERROR(VLOOKUP(D51,'Master List'!D:H,5,FALSE),"NA")</f>
        <v>Crisis/Emergency/Disaster Management.</v>
      </c>
      <c r="I51" s="19"/>
      <c r="J51" s="20"/>
      <c r="K51" s="18"/>
      <c r="L51" s="22"/>
    </row>
    <row r="52" spans="1:12" x14ac:dyDescent="0.3">
      <c r="A52" s="33">
        <v>17</v>
      </c>
      <c r="B52" s="33" t="s">
        <v>2178</v>
      </c>
      <c r="C52" s="34" t="s">
        <v>797</v>
      </c>
      <c r="D52" s="51" t="s">
        <v>322</v>
      </c>
      <c r="E52" s="61" t="str">
        <f>IFERROR(VLOOKUP(D52,'Master List'!D:H,2,FALSE),"NA")</f>
        <v>430302</v>
      </c>
      <c r="F52" s="62" t="str">
        <f>IFERROR(VLOOKUP(D52,'Master List'!D:H,3,FALSE),"NA")</f>
        <v>430302</v>
      </c>
      <c r="G52" s="58" t="str">
        <f>IFERROR(VLOOKUP(D52,'Master List'!D:H,4,FALSE),"NA")</f>
        <v>430302</v>
      </c>
      <c r="H52" s="39" t="str">
        <f>IFERROR(VLOOKUP(D52,'Master List'!D:H,5,FALSE),"NA")</f>
        <v>Crisis/Emergency/Disaster Management.</v>
      </c>
      <c r="I52" s="19"/>
      <c r="J52" s="20"/>
      <c r="K52" s="18"/>
      <c r="L52" s="22"/>
    </row>
    <row r="53" spans="1:12" x14ac:dyDescent="0.3">
      <c r="A53" s="33">
        <v>17</v>
      </c>
      <c r="B53" s="33" t="s">
        <v>2178</v>
      </c>
      <c r="C53" s="34" t="s">
        <v>797</v>
      </c>
      <c r="D53" s="51" t="s">
        <v>800</v>
      </c>
      <c r="E53" s="61" t="str">
        <f>IFERROR(VLOOKUP(D53,'Master List'!D:H,2,FALSE),"NA")</f>
        <v>NA</v>
      </c>
      <c r="F53" s="62" t="str">
        <f>IFERROR(VLOOKUP(D53,'Master List'!D:H,3,FALSE),"NA")</f>
        <v>NA</v>
      </c>
      <c r="G53" s="58" t="str">
        <f>IFERROR(VLOOKUP(D53,'Master List'!D:H,4,FALSE),"NA")</f>
        <v>NA</v>
      </c>
      <c r="H53" s="39" t="str">
        <f>IFERROR(VLOOKUP(D53,'Master List'!D:H,5,FALSE),"NA")</f>
        <v>NA</v>
      </c>
      <c r="I53" s="19"/>
      <c r="J53" s="20"/>
      <c r="K53" s="18"/>
      <c r="L53" s="22"/>
    </row>
    <row r="54" spans="1:12" x14ac:dyDescent="0.3">
      <c r="A54" s="33">
        <v>17</v>
      </c>
      <c r="B54" s="33" t="s">
        <v>2178</v>
      </c>
      <c r="C54" s="34" t="s">
        <v>797</v>
      </c>
      <c r="D54" s="51" t="s">
        <v>79</v>
      </c>
      <c r="E54" s="61" t="str">
        <f>IFERROR(VLOOKUP(D54,'Master List'!D:H,2,FALSE),"NA")</f>
        <v>520901</v>
      </c>
      <c r="F54" s="62" t="str">
        <f>IFERROR(VLOOKUP(D54,'Master List'!D:H,3,FALSE),"NA")</f>
        <v>520901</v>
      </c>
      <c r="G54" s="58" t="str">
        <f>IFERROR(VLOOKUP(D54,'Master List'!D:H,4,FALSE),"NA")</f>
        <v>520901</v>
      </c>
      <c r="H54" s="39" t="str">
        <f>IFERROR(VLOOKUP(D54,'Master List'!D:H,5,FALSE),"NA")</f>
        <v>Hospitality Administration/Management, General.</v>
      </c>
      <c r="I54" s="19"/>
      <c r="J54" s="20"/>
      <c r="K54" s="18"/>
      <c r="L54" s="22"/>
    </row>
    <row r="55" spans="1:12" x14ac:dyDescent="0.3">
      <c r="A55" s="33">
        <v>17</v>
      </c>
      <c r="B55" s="33" t="s">
        <v>2178</v>
      </c>
      <c r="C55" s="34" t="s">
        <v>797</v>
      </c>
      <c r="D55" s="51" t="s">
        <v>612</v>
      </c>
      <c r="E55" s="61" t="str">
        <f>IFERROR(VLOOKUP(D55,'Master List'!D:H,2,FALSE),"NA")</f>
        <v>510701</v>
      </c>
      <c r="F55" s="62" t="str">
        <f>IFERROR(VLOOKUP(D55,'Master List'!D:H,3,FALSE),"NA")</f>
        <v>510701</v>
      </c>
      <c r="G55" s="58" t="str">
        <f>IFERROR(VLOOKUP(D55,'Master List'!D:H,4,FALSE),"NA")</f>
        <v>510701</v>
      </c>
      <c r="H55" s="39" t="str">
        <f>IFERROR(VLOOKUP(D55,'Master List'!D:H,5,FALSE),"NA")</f>
        <v>Health/Health Care Administration/Management.</v>
      </c>
      <c r="I55" s="19"/>
      <c r="J55" s="20"/>
      <c r="K55" s="18"/>
      <c r="L55" s="22"/>
    </row>
    <row r="56" spans="1:12" x14ac:dyDescent="0.3">
      <c r="A56" s="33">
        <v>17</v>
      </c>
      <c r="B56" s="33" t="s">
        <v>2178</v>
      </c>
      <c r="C56" s="34" t="s">
        <v>797</v>
      </c>
      <c r="D56" s="51" t="s">
        <v>90</v>
      </c>
      <c r="E56" s="61" t="str">
        <f>IFERROR(VLOOKUP(D56,'Master List'!D:H,2,FALSE),"NA")</f>
        <v>510904</v>
      </c>
      <c r="F56" s="62" t="str">
        <f>IFERROR(VLOOKUP(D56,'Master List'!D:H,3,FALSE),"NA")</f>
        <v>510904</v>
      </c>
      <c r="G56" s="58" t="str">
        <f>IFERROR(VLOOKUP(D56,'Master List'!D:H,4,FALSE),"NA")</f>
        <v>510904</v>
      </c>
      <c r="H56" s="39" t="str">
        <f>IFERROR(VLOOKUP(D56,'Master List'!D:H,5,FALSE),"NA")</f>
        <v>Emergency Medical Technology/Technician (EMT Paramedic).</v>
      </c>
      <c r="I56" s="19"/>
      <c r="J56" s="20"/>
      <c r="K56" s="18"/>
      <c r="L56" s="22"/>
    </row>
    <row r="57" spans="1:12" x14ac:dyDescent="0.3">
      <c r="A57" s="33">
        <v>17</v>
      </c>
      <c r="B57" s="33" t="s">
        <v>2178</v>
      </c>
      <c r="C57" s="34" t="s">
        <v>797</v>
      </c>
      <c r="D57" s="51" t="s">
        <v>91</v>
      </c>
      <c r="E57" s="61" t="str">
        <f>IFERROR(VLOOKUP(D57,'Master List'!D:H,2,FALSE),"NA")</f>
        <v>510907</v>
      </c>
      <c r="F57" s="62" t="str">
        <f>IFERROR(VLOOKUP(D57,'Master List'!D:H,3,FALSE),"NA")</f>
        <v>510907</v>
      </c>
      <c r="G57" s="58">
        <f>IFERROR(VLOOKUP(D57,'Master List'!D:H,4,FALSE),"NA")</f>
        <v>510911</v>
      </c>
      <c r="H57" s="39" t="str">
        <f>IFERROR(VLOOKUP(D57,'Master List'!D:H,5,FALSE),"NA")</f>
        <v>Radiologic Technology/Science - Radiographer</v>
      </c>
      <c r="I57" s="19"/>
      <c r="J57" s="20"/>
      <c r="K57" s="18"/>
      <c r="L57" s="22"/>
    </row>
    <row r="58" spans="1:12" x14ac:dyDescent="0.3">
      <c r="A58" s="33">
        <v>17</v>
      </c>
      <c r="B58" s="33" t="s">
        <v>2178</v>
      </c>
      <c r="C58" s="34" t="s">
        <v>797</v>
      </c>
      <c r="D58" s="51" t="s">
        <v>101</v>
      </c>
      <c r="E58" s="61" t="str">
        <f>IFERROR(VLOOKUP(D58,'Master List'!D:H,2,FALSE),"NA")</f>
        <v>513801</v>
      </c>
      <c r="F58" s="62" t="str">
        <f>IFERROR(VLOOKUP(D58,'Master List'!D:H,3,FALSE),"NA")</f>
        <v>513801</v>
      </c>
      <c r="G58" s="58" t="str">
        <f>IFERROR(VLOOKUP(D58,'Master List'!D:H,4,FALSE),"NA")</f>
        <v>513801</v>
      </c>
      <c r="H58" s="39" t="str">
        <f>IFERROR(VLOOKUP(D58,'Master List'!D:H,5,FALSE),"NA")</f>
        <v>Registered Nursing/Registered Nurse.</v>
      </c>
      <c r="I58" s="19"/>
      <c r="J58" s="20"/>
      <c r="K58" s="18"/>
      <c r="L58" s="22"/>
    </row>
    <row r="59" spans="1:12" x14ac:dyDescent="0.3">
      <c r="A59" s="33">
        <v>17</v>
      </c>
      <c r="B59" s="33" t="s">
        <v>2178</v>
      </c>
      <c r="C59" s="34" t="s">
        <v>797</v>
      </c>
      <c r="D59" s="51" t="s">
        <v>400</v>
      </c>
      <c r="E59" s="61" t="str">
        <f>IFERROR(VLOOKUP(D59,'Master List'!D:H,2,FALSE),"NA")</f>
        <v>131210</v>
      </c>
      <c r="F59" s="62" t="str">
        <f>IFERROR(VLOOKUP(D59,'Master List'!D:H,3,FALSE),"NA")</f>
        <v>131210</v>
      </c>
      <c r="G59" s="58" t="str">
        <f>IFERROR(VLOOKUP(D59,'Master List'!D:H,4,FALSE),"NA")</f>
        <v>131210</v>
      </c>
      <c r="H59" s="39" t="str">
        <f>IFERROR(VLOOKUP(D59,'Master List'!D:H,5,FALSE),"NA")</f>
        <v>Early Childhood Education and Teaching.</v>
      </c>
      <c r="I59" s="19"/>
      <c r="J59" s="20"/>
      <c r="K59" s="18"/>
      <c r="L59" s="22"/>
    </row>
    <row r="60" spans="1:12" x14ac:dyDescent="0.3">
      <c r="A60" s="33">
        <v>17</v>
      </c>
      <c r="B60" s="33" t="s">
        <v>2178</v>
      </c>
      <c r="C60" s="34" t="s">
        <v>797</v>
      </c>
      <c r="D60" s="51" t="s">
        <v>167</v>
      </c>
      <c r="E60" s="61" t="str">
        <f>IFERROR(VLOOKUP(D60,'Master List'!D:H,2,FALSE),"NA")</f>
        <v>110103</v>
      </c>
      <c r="F60" s="62" t="str">
        <f>IFERROR(VLOOKUP(D60,'Master List'!D:H,3,FALSE),"NA")</f>
        <v>110103</v>
      </c>
      <c r="G60" s="58" t="str">
        <f>IFERROR(VLOOKUP(D60,'Master List'!D:H,4,FALSE),"NA")</f>
        <v>110103</v>
      </c>
      <c r="H60" s="39" t="str">
        <f>IFERROR(VLOOKUP(D60,'Master List'!D:H,5,FALSE),"NA")</f>
        <v>Information Technology.</v>
      </c>
      <c r="I60" s="19"/>
      <c r="J60" s="20"/>
      <c r="K60" s="18"/>
      <c r="L60" s="22"/>
    </row>
    <row r="61" spans="1:12" x14ac:dyDescent="0.3">
      <c r="A61" s="33">
        <v>17</v>
      </c>
      <c r="B61" s="33" t="s">
        <v>2178</v>
      </c>
      <c r="C61" s="34" t="s">
        <v>797</v>
      </c>
      <c r="D61" s="51" t="s">
        <v>170</v>
      </c>
      <c r="E61" s="61" t="str">
        <f>IFERROR(VLOOKUP(D61,'Master List'!D:H,2,FALSE),"NA")</f>
        <v>110201</v>
      </c>
      <c r="F61" s="62" t="str">
        <f>IFERROR(VLOOKUP(D61,'Master List'!D:H,3,FALSE),"NA")</f>
        <v>110201</v>
      </c>
      <c r="G61" s="58" t="str">
        <f>IFERROR(VLOOKUP(D61,'Master List'!D:H,4,FALSE),"NA")</f>
        <v>110201</v>
      </c>
      <c r="H61" s="39" t="str">
        <f>IFERROR(VLOOKUP(D61,'Master List'!D:H,5,FALSE),"NA")</f>
        <v>Computer Programming/Programmer, General.</v>
      </c>
      <c r="I61" s="19"/>
      <c r="J61" s="20"/>
      <c r="K61" s="18"/>
      <c r="L61" s="22"/>
    </row>
    <row r="62" spans="1:12" x14ac:dyDescent="0.3">
      <c r="A62" s="33">
        <v>17</v>
      </c>
      <c r="B62" s="33" t="s">
        <v>2178</v>
      </c>
      <c r="C62" s="34" t="s">
        <v>797</v>
      </c>
      <c r="D62" s="51" t="s">
        <v>686</v>
      </c>
      <c r="E62" s="61" t="str">
        <f>IFERROR(VLOOKUP(D62,'Master List'!D:H,2,FALSE),"NA")</f>
        <v>110801</v>
      </c>
      <c r="F62" s="62" t="str">
        <f>IFERROR(VLOOKUP(D62,'Master List'!D:H,3,FALSE),"NA")</f>
        <v>110801</v>
      </c>
      <c r="G62" s="58">
        <f>IFERROR(VLOOKUP(D62,'Master List'!D:H,4,FALSE),"NA")</f>
        <v>111004</v>
      </c>
      <c r="H62" s="39" t="str">
        <f>IFERROR(VLOOKUP(D62,'Master List'!D:H,5,FALSE),"NA")</f>
        <v xml:space="preserve">Web/Multimedia Management and Webmaster. </v>
      </c>
      <c r="I62" s="19"/>
      <c r="J62" s="20"/>
      <c r="K62" s="18"/>
      <c r="L62" s="22"/>
    </row>
    <row r="63" spans="1:12" x14ac:dyDescent="0.3">
      <c r="A63" s="33">
        <v>17</v>
      </c>
      <c r="B63" s="33" t="s">
        <v>2178</v>
      </c>
      <c r="C63" s="34" t="s">
        <v>797</v>
      </c>
      <c r="D63" s="51" t="s">
        <v>106</v>
      </c>
      <c r="E63" s="61" t="str">
        <f>IFERROR(VLOOKUP(D63,'Master List'!D:H,2,FALSE),"NA")</f>
        <v>111001</v>
      </c>
      <c r="F63" s="62" t="str">
        <f>IFERROR(VLOOKUP(D63,'Master List'!D:H,3,FALSE),"NA")</f>
        <v>111001</v>
      </c>
      <c r="G63" s="58" t="str">
        <f>IFERROR(VLOOKUP(D63,'Master List'!D:H,4,FALSE),"NA")</f>
        <v>111001</v>
      </c>
      <c r="H63" s="39" t="str">
        <f>IFERROR(VLOOKUP(D63,'Master List'!D:H,5,FALSE),"NA")</f>
        <v>Network and System Administration/Administrator.</v>
      </c>
      <c r="I63" s="19"/>
      <c r="J63" s="20"/>
      <c r="K63" s="18"/>
      <c r="L63" s="22"/>
    </row>
    <row r="64" spans="1:12" x14ac:dyDescent="0.3">
      <c r="A64" s="33">
        <v>17</v>
      </c>
      <c r="B64" s="33" t="s">
        <v>2178</v>
      </c>
      <c r="C64" s="34" t="s">
        <v>797</v>
      </c>
      <c r="D64" s="51" t="s">
        <v>656</v>
      </c>
      <c r="E64" s="61" t="str">
        <f>IFERROR(VLOOKUP(D64,'Master List'!D:H,2,FALSE),"NA")</f>
        <v>111003</v>
      </c>
      <c r="F64" s="62" t="str">
        <f>IFERROR(VLOOKUP(D64,'Master List'!D:H,3,FALSE),"NA")</f>
        <v>111003</v>
      </c>
      <c r="G64" s="58" t="str">
        <f>IFERROR(VLOOKUP(D64,'Master List'!D:H,4,FALSE),"NA")</f>
        <v>111003</v>
      </c>
      <c r="H64" s="39" t="str">
        <f>IFERROR(VLOOKUP(D64,'Master List'!D:H,5,FALSE),"NA")</f>
        <v>Computer and Information Systems Security/Auditing/Information Assurance.</v>
      </c>
      <c r="I64" s="19"/>
      <c r="J64" s="20"/>
      <c r="K64" s="18"/>
      <c r="L64" s="22"/>
    </row>
    <row r="65" spans="1:12" x14ac:dyDescent="0.3">
      <c r="A65" s="33">
        <v>17</v>
      </c>
      <c r="B65" s="33" t="s">
        <v>2178</v>
      </c>
      <c r="C65" s="34" t="s">
        <v>797</v>
      </c>
      <c r="D65" s="51" t="s">
        <v>725</v>
      </c>
      <c r="E65" s="61" t="str">
        <f>IFERROR(VLOOKUP(D65,'Master List'!D:H,2,FALSE),"NA")</f>
        <v>111003</v>
      </c>
      <c r="F65" s="62" t="str">
        <f>IFERROR(VLOOKUP(D65,'Master List'!D:H,3,FALSE),"NA")</f>
        <v>111003</v>
      </c>
      <c r="G65" s="58" t="str">
        <f>IFERROR(VLOOKUP(D65,'Master List'!D:H,4,FALSE),"NA")</f>
        <v>111003</v>
      </c>
      <c r="H65" s="39" t="str">
        <f>IFERROR(VLOOKUP(D65,'Master List'!D:H,5,FALSE),"NA")</f>
        <v>Computer and Information Systems Security/Auditing/Information Assurance.</v>
      </c>
      <c r="I65" s="19"/>
      <c r="J65" s="20"/>
      <c r="K65" s="18"/>
      <c r="L65" s="22"/>
    </row>
    <row r="66" spans="1:12" x14ac:dyDescent="0.3">
      <c r="A66" s="33">
        <v>17</v>
      </c>
      <c r="B66" s="33" t="s">
        <v>2178</v>
      </c>
      <c r="C66" s="34" t="s">
        <v>797</v>
      </c>
      <c r="D66" s="51" t="s">
        <v>107</v>
      </c>
      <c r="E66" s="61" t="str">
        <f>IFERROR(VLOOKUP(D66,'Master List'!D:H,2,FALSE),"NA")</f>
        <v>520201</v>
      </c>
      <c r="F66" s="62" t="str">
        <f>IFERROR(VLOOKUP(D66,'Master List'!D:H,3,FALSE),"NA")</f>
        <v>520201</v>
      </c>
      <c r="G66" s="58" t="str">
        <f>IFERROR(VLOOKUP(D66,'Master List'!D:H,4,FALSE),"NA")</f>
        <v>520201</v>
      </c>
      <c r="H66" s="39" t="str">
        <f>IFERROR(VLOOKUP(D66,'Master List'!D:H,5,FALSE),"NA")</f>
        <v>Business Administration and Management, General.</v>
      </c>
      <c r="I66" s="19"/>
      <c r="J66" s="20"/>
      <c r="K66" s="18"/>
      <c r="L66" s="22"/>
    </row>
    <row r="67" spans="1:12" x14ac:dyDescent="0.3">
      <c r="A67" s="33">
        <v>17</v>
      </c>
      <c r="B67" s="33" t="s">
        <v>2178</v>
      </c>
      <c r="C67" s="34" t="s">
        <v>797</v>
      </c>
      <c r="D67" s="51" t="s">
        <v>351</v>
      </c>
      <c r="E67" s="61" t="str">
        <f>IFERROR(VLOOKUP(D67,'Master List'!D:H,2,FALSE),"NA")</f>
        <v>520204</v>
      </c>
      <c r="F67" s="62" t="str">
        <f>IFERROR(VLOOKUP(D67,'Master List'!D:H,3,FALSE),"NA")</f>
        <v>520204</v>
      </c>
      <c r="G67" s="58" t="str">
        <f>IFERROR(VLOOKUP(D67,'Master List'!D:H,4,FALSE),"NA")</f>
        <v>520204</v>
      </c>
      <c r="H67" s="39" t="str">
        <f>IFERROR(VLOOKUP(D67,'Master List'!D:H,5,FALSE),"NA")</f>
        <v>Office Management and Supervision.</v>
      </c>
      <c r="I67" s="19"/>
      <c r="J67" s="20"/>
      <c r="K67" s="18"/>
      <c r="L67" s="22"/>
    </row>
    <row r="68" spans="1:12" x14ac:dyDescent="0.3">
      <c r="A68" s="33">
        <v>17</v>
      </c>
      <c r="B68" s="33" t="s">
        <v>2178</v>
      </c>
      <c r="C68" s="34" t="s">
        <v>797</v>
      </c>
      <c r="D68" s="51" t="s">
        <v>110</v>
      </c>
      <c r="E68" s="61" t="str">
        <f>IFERROR(VLOOKUP(D68,'Master List'!D:H,2,FALSE),"NA")</f>
        <v>520302</v>
      </c>
      <c r="F68" s="62" t="str">
        <f>IFERROR(VLOOKUP(D68,'Master List'!D:H,3,FALSE),"NA")</f>
        <v>520302</v>
      </c>
      <c r="G68" s="58" t="str">
        <f>IFERROR(VLOOKUP(D68,'Master List'!D:H,4,FALSE),"NA")</f>
        <v>520302</v>
      </c>
      <c r="H68" s="39" t="str">
        <f>IFERROR(VLOOKUP(D68,'Master List'!D:H,5,FALSE),"NA")</f>
        <v>Accounting Technology/Technician and Bookkeeping.</v>
      </c>
      <c r="I68" s="19"/>
      <c r="J68" s="20"/>
      <c r="K68" s="18"/>
      <c r="L68" s="22"/>
    </row>
    <row r="69" spans="1:12" x14ac:dyDescent="0.3">
      <c r="A69" s="33">
        <v>17</v>
      </c>
      <c r="B69" s="33" t="s">
        <v>2178</v>
      </c>
      <c r="C69" s="34" t="s">
        <v>797</v>
      </c>
      <c r="D69" s="51" t="s">
        <v>353</v>
      </c>
      <c r="E69" s="61" t="str">
        <f>IFERROR(VLOOKUP(D69,'Master List'!D:H,2,FALSE),"NA")</f>
        <v>040901</v>
      </c>
      <c r="F69" s="62" t="str">
        <f>IFERROR(VLOOKUP(D69,'Master List'!D:H,3,FALSE),"NA")</f>
        <v>040901</v>
      </c>
      <c r="G69" s="58" t="str">
        <f>IFERROR(VLOOKUP(D69,'Master List'!D:H,4,FALSE),"NA")</f>
        <v>040901</v>
      </c>
      <c r="H69" s="39" t="str">
        <f>IFERROR(VLOOKUP(D69,'Master List'!D:H,5,FALSE),"NA")</f>
        <v>Architectural Technology/Technician.</v>
      </c>
      <c r="I69" s="19"/>
      <c r="J69" s="20"/>
      <c r="K69" s="18"/>
      <c r="L69" s="22"/>
    </row>
    <row r="70" spans="1:12" x14ac:dyDescent="0.3">
      <c r="A70" s="33">
        <v>17</v>
      </c>
      <c r="B70" s="33" t="s">
        <v>2178</v>
      </c>
      <c r="C70" s="34" t="s">
        <v>797</v>
      </c>
      <c r="D70" s="51" t="s">
        <v>114</v>
      </c>
      <c r="E70" s="61" t="str">
        <f>IFERROR(VLOOKUP(D70,'Master List'!D:H,2,FALSE),"NA")</f>
        <v>110801</v>
      </c>
      <c r="F70" s="62" t="str">
        <f>IFERROR(VLOOKUP(D70,'Master List'!D:H,3,FALSE),"NA")</f>
        <v>110801</v>
      </c>
      <c r="G70" s="58" t="str">
        <f>IFERROR(VLOOKUP(D70,'Master List'!D:H,4,FALSE),"NA")</f>
        <v>110801</v>
      </c>
      <c r="H70" s="39" t="str">
        <f>IFERROR(VLOOKUP(D70,'Master List'!D:H,5,FALSE),"NA")</f>
        <v>Web Page, Digital/Multimedia and Information Resources Design.</v>
      </c>
      <c r="I70" s="19"/>
      <c r="J70" s="20"/>
      <c r="K70" s="18"/>
      <c r="L70" s="22"/>
    </row>
    <row r="71" spans="1:12" x14ac:dyDescent="0.3">
      <c r="A71" s="33">
        <v>17</v>
      </c>
      <c r="B71" s="33" t="s">
        <v>2178</v>
      </c>
      <c r="C71" s="34" t="s">
        <v>797</v>
      </c>
      <c r="D71" s="51" t="s">
        <v>583</v>
      </c>
      <c r="E71" s="61" t="str">
        <f>IFERROR(VLOOKUP(D71,'Master List'!D:H,2,FALSE),"NA")</f>
        <v>110803</v>
      </c>
      <c r="F71" s="62" t="str">
        <f>IFERROR(VLOOKUP(D71,'Master List'!D:H,3,FALSE),"NA")</f>
        <v>110803</v>
      </c>
      <c r="G71" s="58" t="str">
        <f>IFERROR(VLOOKUP(D71,'Master List'!D:H,4,FALSE),"NA")</f>
        <v>110803</v>
      </c>
      <c r="H71" s="39" t="str">
        <f>IFERROR(VLOOKUP(D71,'Master List'!D:H,5,FALSE),"NA")</f>
        <v>Computer Graphics.</v>
      </c>
      <c r="I71" s="19"/>
      <c r="J71" s="20"/>
      <c r="K71" s="18"/>
      <c r="L71" s="22"/>
    </row>
    <row r="72" spans="1:12" x14ac:dyDescent="0.3">
      <c r="A72" s="33">
        <v>17</v>
      </c>
      <c r="B72" s="33" t="s">
        <v>2178</v>
      </c>
      <c r="C72" s="34" t="s">
        <v>797</v>
      </c>
      <c r="D72" s="51" t="s">
        <v>120</v>
      </c>
      <c r="E72" s="61" t="str">
        <f>IFERROR(VLOOKUP(D72,'Master List'!D:H,2,FALSE),"NA")</f>
        <v>150000</v>
      </c>
      <c r="F72" s="62" t="str">
        <f>IFERROR(VLOOKUP(D72,'Master List'!D:H,3,FALSE),"NA")</f>
        <v>150000</v>
      </c>
      <c r="G72" s="58" t="str">
        <f>IFERROR(VLOOKUP(D72,'Master List'!D:H,4,FALSE),"NA")</f>
        <v>150000</v>
      </c>
      <c r="H72" s="39" t="str">
        <f>IFERROR(VLOOKUP(D72,'Master List'!D:H,5,FALSE),"NA")</f>
        <v>Engineering Technologies/Technicians, General.</v>
      </c>
      <c r="I72" s="19"/>
      <c r="J72" s="20"/>
      <c r="K72" s="18"/>
      <c r="L72" s="22"/>
    </row>
    <row r="73" spans="1:12" x14ac:dyDescent="0.3">
      <c r="A73" s="33">
        <v>17</v>
      </c>
      <c r="B73" s="33" t="s">
        <v>2178</v>
      </c>
      <c r="C73" s="34" t="s">
        <v>797</v>
      </c>
      <c r="D73" s="51" t="s">
        <v>769</v>
      </c>
      <c r="E73" s="61" t="str">
        <f>IFERROR(VLOOKUP(D73,'Master List'!D:H,2,FALSE),"NA")</f>
        <v>150801</v>
      </c>
      <c r="F73" s="62" t="str">
        <f>IFERROR(VLOOKUP(D73,'Master List'!D:H,3,FALSE),"NA")</f>
        <v>150801</v>
      </c>
      <c r="G73" s="58" t="str">
        <f>IFERROR(VLOOKUP(D73,'Master List'!D:H,4,FALSE),"NA")</f>
        <v>150801</v>
      </c>
      <c r="H73" s="39" t="str">
        <f>IFERROR(VLOOKUP(D73,'Master List'!D:H,5,FALSE),"NA")</f>
        <v>Aeronautical/Aerospace Engineering Technology/Technician.</v>
      </c>
      <c r="I73" s="19"/>
      <c r="J73" s="20"/>
      <c r="K73" s="18"/>
      <c r="L73" s="22"/>
    </row>
    <row r="74" spans="1:12" x14ac:dyDescent="0.3">
      <c r="A74" s="33">
        <v>17</v>
      </c>
      <c r="B74" s="33" t="s">
        <v>2178</v>
      </c>
      <c r="C74" s="34" t="s">
        <v>797</v>
      </c>
      <c r="D74" s="51" t="s">
        <v>472</v>
      </c>
      <c r="E74" s="61" t="str">
        <f>IFERROR(VLOOKUP(D74,'Master List'!D:H,2,FALSE),"NA")</f>
        <v>151201</v>
      </c>
      <c r="F74" s="62" t="str">
        <f>IFERROR(VLOOKUP(D74,'Master List'!D:H,3,FALSE),"NA")</f>
        <v>151201</v>
      </c>
      <c r="G74" s="58" t="str">
        <f>IFERROR(VLOOKUP(D74,'Master List'!D:H,4,FALSE),"NA")</f>
        <v>151201</v>
      </c>
      <c r="H74" s="39" t="str">
        <f>IFERROR(VLOOKUP(D74,'Master List'!D:H,5,FALSE),"NA")</f>
        <v>Computer Engineering Technology/Technician.</v>
      </c>
      <c r="I74" s="19"/>
      <c r="J74" s="20"/>
      <c r="K74" s="18"/>
      <c r="L74" s="22"/>
    </row>
    <row r="75" spans="1:12" x14ac:dyDescent="0.3">
      <c r="A75" s="33">
        <v>17</v>
      </c>
      <c r="B75" s="33" t="s">
        <v>2178</v>
      </c>
      <c r="C75" s="34" t="s">
        <v>797</v>
      </c>
      <c r="D75" s="51" t="s">
        <v>405</v>
      </c>
      <c r="E75" s="61" t="str">
        <f>IFERROR(VLOOKUP(D75,'Master List'!D:H,2,FALSE),"NA")</f>
        <v>151301</v>
      </c>
      <c r="F75" s="62" t="str">
        <f>IFERROR(VLOOKUP(D75,'Master List'!D:H,3,FALSE),"NA")</f>
        <v>151301</v>
      </c>
      <c r="G75" s="58">
        <f>IFERROR(VLOOKUP(D75,'Master List'!D:H,4,FALSE),"NA")</f>
        <v>151302</v>
      </c>
      <c r="H75" s="39" t="str">
        <f>IFERROR(VLOOKUP(D75,'Master List'!D:H,5,FALSE),"NA")</f>
        <v>CAD/CADD Drafting and/or Design Technology/Technician</v>
      </c>
      <c r="I75" s="19"/>
      <c r="J75" s="20"/>
      <c r="K75" s="18"/>
      <c r="L75" s="22"/>
    </row>
    <row r="76" spans="1:12" x14ac:dyDescent="0.3">
      <c r="A76" s="33">
        <v>17</v>
      </c>
      <c r="B76" s="33" t="s">
        <v>2178</v>
      </c>
      <c r="C76" s="34" t="s">
        <v>797</v>
      </c>
      <c r="D76" s="51" t="s">
        <v>121</v>
      </c>
      <c r="E76" s="61" t="str">
        <f>IFERROR(VLOOKUP(D76,'Master List'!D:H,2,FALSE),"NA")</f>
        <v>500502</v>
      </c>
      <c r="F76" s="62" t="str">
        <f>IFERROR(VLOOKUP(D76,'Master List'!D:H,3,FALSE),"NA")</f>
        <v>500502</v>
      </c>
      <c r="G76" s="58" t="str">
        <f>IFERROR(VLOOKUP(D76,'Master List'!D:H,4,FALSE),"NA")</f>
        <v>500502</v>
      </c>
      <c r="H76" s="39" t="str">
        <f>IFERROR(VLOOKUP(D76,'Master List'!D:H,5,FALSE),"NA")</f>
        <v>Technical Theatre/Theatre Design and Technology.</v>
      </c>
      <c r="I76" s="19"/>
      <c r="J76" s="20"/>
      <c r="K76" s="18"/>
      <c r="L76" s="22"/>
    </row>
    <row r="77" spans="1:12" x14ac:dyDescent="0.3">
      <c r="A77" s="33">
        <v>17</v>
      </c>
      <c r="B77" s="33" t="s">
        <v>2178</v>
      </c>
      <c r="C77" s="34" t="s">
        <v>797</v>
      </c>
      <c r="D77" s="51" t="s">
        <v>478</v>
      </c>
      <c r="E77" s="61" t="str">
        <f>IFERROR(VLOOKUP(D77,'Master List'!D:H,2,FALSE),"NA")</f>
        <v>500913</v>
      </c>
      <c r="F77" s="62" t="str">
        <f>IFERROR(VLOOKUP(D77,'Master List'!D:H,3,FALSE),"NA")</f>
        <v>500913</v>
      </c>
      <c r="G77" s="58" t="str">
        <f>IFERROR(VLOOKUP(D77,'Master List'!D:H,4,FALSE),"NA")</f>
        <v>500913</v>
      </c>
      <c r="H77" s="39" t="str">
        <f>IFERROR(VLOOKUP(D77,'Master List'!D:H,5,FALSE),"NA")</f>
        <v>Music Technology.</v>
      </c>
      <c r="I77" s="19"/>
      <c r="J77" s="20"/>
      <c r="K77" s="18"/>
      <c r="L77" s="22"/>
    </row>
    <row r="78" spans="1:12" x14ac:dyDescent="0.3">
      <c r="A78" s="33">
        <v>17</v>
      </c>
      <c r="B78" s="33" t="s">
        <v>2178</v>
      </c>
      <c r="C78" s="34" t="s">
        <v>797</v>
      </c>
      <c r="D78" s="51" t="s">
        <v>367</v>
      </c>
      <c r="E78" s="61" t="str">
        <f>IFERROR(VLOOKUP(D78,'Master List'!D:H,2,FALSE),"NA")</f>
        <v>520205</v>
      </c>
      <c r="F78" s="62" t="str">
        <f>IFERROR(VLOOKUP(D78,'Master List'!D:H,3,FALSE),"NA")</f>
        <v>520205</v>
      </c>
      <c r="G78" s="58" t="str">
        <f>IFERROR(VLOOKUP(D78,'Master List'!D:H,4,FALSE),"NA")</f>
        <v>520205</v>
      </c>
      <c r="H78" s="39" t="str">
        <f>IFERROR(VLOOKUP(D78,'Master List'!D:H,5,FALSE),"NA")</f>
        <v>Operations Management and Supervision.</v>
      </c>
      <c r="I78" s="19"/>
      <c r="J78" s="20"/>
      <c r="K78" s="18"/>
      <c r="L78" s="22"/>
    </row>
    <row r="79" spans="1:12" x14ac:dyDescent="0.3">
      <c r="A79" s="33">
        <v>17</v>
      </c>
      <c r="B79" s="33" t="s">
        <v>2178</v>
      </c>
      <c r="C79" s="34" t="s">
        <v>797</v>
      </c>
      <c r="D79" s="51" t="s">
        <v>125</v>
      </c>
      <c r="E79" s="61" t="str">
        <f>IFERROR(VLOOKUP(D79,'Master List'!D:H,2,FALSE),"NA")</f>
        <v>220302</v>
      </c>
      <c r="F79" s="62" t="str">
        <f>IFERROR(VLOOKUP(D79,'Master List'!D:H,3,FALSE),"NA")</f>
        <v>220302</v>
      </c>
      <c r="G79" s="58" t="str">
        <f>IFERROR(VLOOKUP(D79,'Master List'!D:H,4,FALSE),"NA")</f>
        <v>220302</v>
      </c>
      <c r="H79" s="39" t="str">
        <f>IFERROR(VLOOKUP(D79,'Master List'!D:H,5,FALSE),"NA")</f>
        <v>Legal Assistant/Paralegal.</v>
      </c>
      <c r="I79" s="19"/>
      <c r="J79" s="20"/>
      <c r="K79" s="18"/>
      <c r="L79" s="22"/>
    </row>
    <row r="80" spans="1:12" x14ac:dyDescent="0.3">
      <c r="A80" s="33">
        <v>17</v>
      </c>
      <c r="B80" s="33" t="s">
        <v>2178</v>
      </c>
      <c r="C80" s="34" t="s">
        <v>797</v>
      </c>
      <c r="D80" s="51" t="s">
        <v>486</v>
      </c>
      <c r="E80" s="61" t="str">
        <f>IFERROR(VLOOKUP(D80,'Master List'!D:H,2,FALSE),"NA")</f>
        <v>310507</v>
      </c>
      <c r="F80" s="62" t="str">
        <f>IFERROR(VLOOKUP(D80,'Master List'!D:H,3,FALSE),"NA")</f>
        <v>310507</v>
      </c>
      <c r="G80" s="58" t="str">
        <f>IFERROR(VLOOKUP(D80,'Master List'!D:H,4,FALSE),"NA")</f>
        <v>310507</v>
      </c>
      <c r="H80" s="39" t="str">
        <f>IFERROR(VLOOKUP(D80,'Master List'!D:H,5,FALSE),"NA")</f>
        <v>Physical Fitness Technician.</v>
      </c>
      <c r="I80" s="19"/>
      <c r="J80" s="20"/>
      <c r="K80" s="18"/>
      <c r="L80" s="22"/>
    </row>
    <row r="81" spans="1:12" x14ac:dyDescent="0.3">
      <c r="A81" s="33">
        <v>17</v>
      </c>
      <c r="B81" s="33" t="s">
        <v>2178</v>
      </c>
      <c r="C81" s="34" t="s">
        <v>797</v>
      </c>
      <c r="D81" s="51" t="s">
        <v>128</v>
      </c>
      <c r="E81" s="61" t="str">
        <f>IFERROR(VLOOKUP(D81,'Master List'!D:H,2,FALSE),"NA")</f>
        <v>430103</v>
      </c>
      <c r="F81" s="62" t="str">
        <f>IFERROR(VLOOKUP(D81,'Master List'!D:H,3,FALSE),"NA")</f>
        <v>430103</v>
      </c>
      <c r="G81" s="58" t="str">
        <f>IFERROR(VLOOKUP(D81,'Master List'!D:H,4,FALSE),"NA")</f>
        <v>430103</v>
      </c>
      <c r="H81" s="39" t="str">
        <f>IFERROR(VLOOKUP(D81,'Master List'!D:H,5,FALSE),"NA")</f>
        <v>Criminal Justice/Law Enforcement Administration.</v>
      </c>
      <c r="I81" s="19"/>
      <c r="J81" s="20"/>
      <c r="K81" s="18"/>
      <c r="L81" s="22"/>
    </row>
    <row r="82" spans="1:12" x14ac:dyDescent="0.3">
      <c r="A82" s="33">
        <v>17</v>
      </c>
      <c r="B82" s="33" t="s">
        <v>2178</v>
      </c>
      <c r="C82" s="34" t="s">
        <v>797</v>
      </c>
      <c r="D82" s="51" t="s">
        <v>375</v>
      </c>
      <c r="E82" s="61" t="str">
        <f>IFERROR(VLOOKUP(D82,'Master List'!D:H,2,FALSE),"NA")</f>
        <v>430201</v>
      </c>
      <c r="F82" s="62" t="str">
        <f>IFERROR(VLOOKUP(D82,'Master List'!D:H,3,FALSE),"NA")</f>
        <v>430201</v>
      </c>
      <c r="G82" s="58" t="str">
        <f>IFERROR(VLOOKUP(D82,'Master List'!D:H,4,FALSE),"NA")</f>
        <v>430201</v>
      </c>
      <c r="H82" s="39" t="str">
        <f>IFERROR(VLOOKUP(D82,'Master List'!D:H,5,FALSE),"NA")</f>
        <v>Fire Prevention and Safety Technology/Technician.</v>
      </c>
      <c r="I82" s="19"/>
      <c r="J82" s="20"/>
      <c r="K82" s="18"/>
      <c r="L82" s="22"/>
    </row>
    <row r="83" spans="1:12" x14ac:dyDescent="0.3">
      <c r="A83" s="33">
        <v>17</v>
      </c>
      <c r="B83" s="33" t="s">
        <v>2178</v>
      </c>
      <c r="C83" s="34" t="s">
        <v>797</v>
      </c>
      <c r="D83" s="51" t="s">
        <v>378</v>
      </c>
      <c r="E83" s="61" t="str">
        <f>IFERROR(VLOOKUP(D83,'Master List'!D:H,2,FALSE),"NA")</f>
        <v>430302</v>
      </c>
      <c r="F83" s="62" t="str">
        <f>IFERROR(VLOOKUP(D83,'Master List'!D:H,3,FALSE),"NA")</f>
        <v>430302</v>
      </c>
      <c r="G83" s="58" t="str">
        <f>IFERROR(VLOOKUP(D83,'Master List'!D:H,4,FALSE),"NA")</f>
        <v>430302</v>
      </c>
      <c r="H83" s="39" t="str">
        <f>IFERROR(VLOOKUP(D83,'Master List'!D:H,5,FALSE),"NA")</f>
        <v>Crisis/Emergency/Disaster Management.</v>
      </c>
      <c r="I83" s="19"/>
      <c r="J83" s="20"/>
      <c r="K83" s="18"/>
      <c r="L83" s="22"/>
    </row>
    <row r="84" spans="1:12" x14ac:dyDescent="0.3">
      <c r="K84" s="26"/>
      <c r="L84" s="26"/>
    </row>
    <row r="85" spans="1:12" x14ac:dyDescent="0.3">
      <c r="K85" s="26"/>
      <c r="L85" s="26"/>
    </row>
    <row r="86" spans="1:12" x14ac:dyDescent="0.3">
      <c r="K86" s="26"/>
      <c r="L86" s="26"/>
    </row>
    <row r="87" spans="1:12" x14ac:dyDescent="0.3">
      <c r="K87" s="26"/>
      <c r="L87" s="26"/>
    </row>
    <row r="88" spans="1:12" x14ac:dyDescent="0.3">
      <c r="K88" s="26"/>
      <c r="L88" s="26"/>
    </row>
    <row r="89" spans="1:12" x14ac:dyDescent="0.3">
      <c r="K89" s="26"/>
      <c r="L89" s="26"/>
    </row>
    <row r="90" spans="1:12" x14ac:dyDescent="0.3">
      <c r="K90" s="26"/>
      <c r="L90" s="26"/>
    </row>
    <row r="91" spans="1:12" x14ac:dyDescent="0.3">
      <c r="K91" s="26"/>
      <c r="L91" s="26"/>
    </row>
    <row r="92" spans="1:12" x14ac:dyDescent="0.3">
      <c r="K92" s="26"/>
      <c r="L92" s="26"/>
    </row>
    <row r="93" spans="1:12" x14ac:dyDescent="0.3">
      <c r="K93" s="26"/>
      <c r="L93" s="26"/>
    </row>
    <row r="94" spans="1:12" x14ac:dyDescent="0.3">
      <c r="K94" s="26"/>
      <c r="L94" s="26"/>
    </row>
    <row r="95" spans="1:12" x14ac:dyDescent="0.3">
      <c r="K95" s="26"/>
      <c r="L95" s="26"/>
    </row>
    <row r="96" spans="1:12" x14ac:dyDescent="0.3">
      <c r="K96" s="26"/>
      <c r="L96" s="26"/>
    </row>
    <row r="97" spans="11:12" x14ac:dyDescent="0.3">
      <c r="K97" s="26"/>
      <c r="L97" s="26"/>
    </row>
    <row r="98" spans="11:12" x14ac:dyDescent="0.3">
      <c r="K98" s="26"/>
      <c r="L98" s="26"/>
    </row>
    <row r="99" spans="11:12" x14ac:dyDescent="0.3">
      <c r="K99" s="26"/>
      <c r="L99" s="26"/>
    </row>
    <row r="100" spans="11:12" x14ac:dyDescent="0.3">
      <c r="K100" s="26"/>
      <c r="L100" s="26"/>
    </row>
    <row r="101" spans="11:12" x14ac:dyDescent="0.3">
      <c r="K101" s="26"/>
      <c r="L101" s="26"/>
    </row>
    <row r="102" spans="11:12" x14ac:dyDescent="0.3">
      <c r="K102" s="26"/>
      <c r="L102" s="26"/>
    </row>
    <row r="103" spans="11:12" x14ac:dyDescent="0.3">
      <c r="K103" s="26"/>
      <c r="L103" s="26"/>
    </row>
    <row r="104" spans="11:12" x14ac:dyDescent="0.3">
      <c r="K104" s="26"/>
      <c r="L104" s="26"/>
    </row>
    <row r="105" spans="11:12" x14ac:dyDescent="0.3">
      <c r="K105" s="26"/>
      <c r="L105" s="26"/>
    </row>
    <row r="106" spans="11:12" x14ac:dyDescent="0.3">
      <c r="K106" s="26"/>
      <c r="L106" s="26"/>
    </row>
    <row r="107" spans="11:12" x14ac:dyDescent="0.3">
      <c r="K107" s="26"/>
      <c r="L107" s="26"/>
    </row>
    <row r="108" spans="11:12" x14ac:dyDescent="0.3">
      <c r="K108" s="26"/>
      <c r="L108" s="26"/>
    </row>
    <row r="109" spans="11:12" x14ac:dyDescent="0.3">
      <c r="K109" s="26"/>
      <c r="L109" s="26"/>
    </row>
    <row r="110" spans="11:12" x14ac:dyDescent="0.3">
      <c r="K110" s="26"/>
      <c r="L110" s="26"/>
    </row>
    <row r="111" spans="11:12" x14ac:dyDescent="0.3">
      <c r="K111" s="26"/>
      <c r="L111" s="26"/>
    </row>
    <row r="112" spans="11:12" x14ac:dyDescent="0.3">
      <c r="K112" s="26"/>
      <c r="L112" s="26"/>
    </row>
    <row r="113" spans="11:12" x14ac:dyDescent="0.3">
      <c r="K113" s="26"/>
      <c r="L113" s="26"/>
    </row>
    <row r="114" spans="11:12" x14ac:dyDescent="0.3">
      <c r="K114" s="26"/>
      <c r="L114" s="26"/>
    </row>
    <row r="115" spans="11:12" x14ac:dyDescent="0.3">
      <c r="K115" s="26"/>
      <c r="L115" s="26"/>
    </row>
    <row r="116" spans="11:12" x14ac:dyDescent="0.3">
      <c r="K116" s="26"/>
      <c r="L116" s="26"/>
    </row>
    <row r="117" spans="11:12" x14ac:dyDescent="0.3">
      <c r="K117" s="26"/>
      <c r="L117" s="26"/>
    </row>
    <row r="118" spans="11:12" x14ac:dyDescent="0.3">
      <c r="L118" s="26"/>
    </row>
    <row r="119" spans="11:12" x14ac:dyDescent="0.3">
      <c r="L119" s="26"/>
    </row>
    <row r="120" spans="11:12" x14ac:dyDescent="0.3">
      <c r="L120" s="26"/>
    </row>
    <row r="121" spans="11:12" x14ac:dyDescent="0.3">
      <c r="L121" s="26"/>
    </row>
    <row r="122" spans="11:12" x14ac:dyDescent="0.3">
      <c r="L122" s="26"/>
    </row>
    <row r="123" spans="11:12" x14ac:dyDescent="0.3">
      <c r="L123" s="26"/>
    </row>
    <row r="124" spans="11:12" x14ac:dyDescent="0.3">
      <c r="L124" s="26"/>
    </row>
  </sheetData>
  <sheetProtection algorithmName="SHA-512" hashValue="HPX4/4RA8TLBUJHGuGhCdNqGLJHUrpD9fuTuC+TfN8o7O+HGk/peYcminqlXWPN+Q3puMSb+c8F8SXLpFnESug==" saltValue="x36io4susisRPjE9/LzurQ==" spinCount="100000" sheet="1" objects="1" scenarios="1" sort="0" autoFilter="0"/>
  <autoFilter ref="A2:L83"/>
  <mergeCells count="3">
    <mergeCell ref="A1:D1"/>
    <mergeCell ref="E1:H1"/>
    <mergeCell ref="I1:L1"/>
  </mergeCells>
  <dataValidations count="1">
    <dataValidation type="list" allowBlank="1" showInputMessage="1" showErrorMessage="1" sqref="I3:I83">
      <formula1>"Agree,Disagree"</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2"/>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1.33203125" style="17" customWidth="1"/>
    <col min="5" max="5" width="14.88671875" style="54" customWidth="1"/>
    <col min="6" max="7" width="12.5546875" style="54" customWidth="1"/>
    <col min="8" max="8" width="78" style="25" bestFit="1" customWidth="1"/>
    <col min="9" max="9" width="14.33203125" style="17" customWidth="1"/>
    <col min="10" max="10" width="12.5546875" style="17" customWidth="1"/>
    <col min="11" max="11" width="34.88671875" style="17" customWidth="1"/>
    <col min="12" max="12" width="27.6640625" style="26" customWidth="1"/>
    <col min="13" max="16384" width="8.88671875" style="17"/>
  </cols>
  <sheetData>
    <row r="1" spans="1:12" s="27" customFormat="1" ht="79.2" customHeight="1" x14ac:dyDescent="0.3">
      <c r="A1" s="95"/>
      <c r="B1" s="95"/>
      <c r="C1" s="95"/>
      <c r="D1" s="95"/>
      <c r="E1" s="96" t="s">
        <v>2145</v>
      </c>
      <c r="F1" s="96"/>
      <c r="G1" s="96"/>
      <c r="H1" s="96"/>
      <c r="I1" s="97" t="s">
        <v>0</v>
      </c>
      <c r="J1" s="98"/>
      <c r="K1" s="98"/>
      <c r="L1" s="99"/>
    </row>
    <row r="2" spans="1:12" s="27" customFormat="1" ht="115.2" x14ac:dyDescent="0.3">
      <c r="A2" s="28" t="s">
        <v>1</v>
      </c>
      <c r="B2" s="28" t="s">
        <v>2146</v>
      </c>
      <c r="C2" s="28" t="s">
        <v>2147</v>
      </c>
      <c r="D2" s="28" t="s">
        <v>2148</v>
      </c>
      <c r="E2" s="59" t="s">
        <v>3</v>
      </c>
      <c r="F2" s="60" t="s">
        <v>4</v>
      </c>
      <c r="G2" s="57" t="s">
        <v>2149</v>
      </c>
      <c r="H2" s="50" t="s">
        <v>2217</v>
      </c>
      <c r="I2" s="15" t="s">
        <v>2151</v>
      </c>
      <c r="J2" s="15" t="s">
        <v>2152</v>
      </c>
      <c r="K2" s="15" t="s">
        <v>5</v>
      </c>
      <c r="L2" s="15" t="s">
        <v>2153</v>
      </c>
    </row>
    <row r="3" spans="1:12" x14ac:dyDescent="0.3">
      <c r="A3" s="33">
        <v>18</v>
      </c>
      <c r="B3" s="33" t="s">
        <v>2162</v>
      </c>
      <c r="C3" s="34" t="s">
        <v>770</v>
      </c>
      <c r="D3" s="51" t="s">
        <v>530</v>
      </c>
      <c r="E3" s="61" t="str">
        <f>IFERROR(VLOOKUP(D3,'Master List'!D:H,2,FALSE),"NA")</f>
        <v>010605</v>
      </c>
      <c r="F3" s="62" t="str">
        <f>IFERROR(VLOOKUP(D3,'Master List'!D:H,3,FALSE),"NA")</f>
        <v>010605</v>
      </c>
      <c r="G3" s="58" t="str">
        <f>IFERROR(VLOOKUP(D3,'Master List'!D:H,4,FALSE),"NA")</f>
        <v>010605</v>
      </c>
      <c r="H3" s="39" t="str">
        <f>IFERROR(VLOOKUP(D3,'Master List'!D:H,5,FALSE),"NA")</f>
        <v>Landscaping and Groundskeeping.</v>
      </c>
      <c r="I3" s="19"/>
      <c r="J3" s="20"/>
      <c r="K3" s="20"/>
      <c r="L3" s="22"/>
    </row>
    <row r="4" spans="1:12" x14ac:dyDescent="0.3">
      <c r="A4" s="33">
        <v>18</v>
      </c>
      <c r="B4" s="33" t="s">
        <v>2162</v>
      </c>
      <c r="C4" s="34" t="s">
        <v>770</v>
      </c>
      <c r="D4" s="51" t="s">
        <v>533</v>
      </c>
      <c r="E4" s="61" t="str">
        <f>IFERROR(VLOOKUP(D4,'Master List'!D:H,2,FALSE),"NA")</f>
        <v>010605</v>
      </c>
      <c r="F4" s="62" t="str">
        <f>IFERROR(VLOOKUP(D4,'Master List'!D:H,3,FALSE),"NA")</f>
        <v>010605</v>
      </c>
      <c r="G4" s="58" t="str">
        <f>IFERROR(VLOOKUP(D4,'Master List'!D:H,4,FALSE),"NA")</f>
        <v>010605</v>
      </c>
      <c r="H4" s="39" t="str">
        <f>IFERROR(VLOOKUP(D4,'Master List'!D:H,5,FALSE),"NA")</f>
        <v>Landscaping and Groundskeeping.</v>
      </c>
      <c r="I4" s="19"/>
      <c r="J4" s="20"/>
      <c r="K4" s="20"/>
      <c r="L4" s="22"/>
    </row>
    <row r="5" spans="1:12" x14ac:dyDescent="0.3">
      <c r="A5" s="33">
        <v>18</v>
      </c>
      <c r="B5" s="33" t="s">
        <v>2162</v>
      </c>
      <c r="C5" s="34" t="s">
        <v>770</v>
      </c>
      <c r="D5" s="51" t="s">
        <v>534</v>
      </c>
      <c r="E5" s="61" t="str">
        <f>IFERROR(VLOOKUP(D5,'Master List'!D:H,2,FALSE),"NA")</f>
        <v>010605</v>
      </c>
      <c r="F5" s="62" t="str">
        <f>IFERROR(VLOOKUP(D5,'Master List'!D:H,3,FALSE),"NA")</f>
        <v>010605</v>
      </c>
      <c r="G5" s="58" t="str">
        <f>IFERROR(VLOOKUP(D5,'Master List'!D:H,4,FALSE),"NA")</f>
        <v>010605</v>
      </c>
      <c r="H5" s="39" t="str">
        <f>IFERROR(VLOOKUP(D5,'Master List'!D:H,5,FALSE),"NA")</f>
        <v>Landscaping and Groundskeeping.</v>
      </c>
      <c r="I5" s="19"/>
      <c r="J5" s="20"/>
      <c r="K5" s="20"/>
      <c r="L5" s="22"/>
    </row>
    <row r="6" spans="1:12" x14ac:dyDescent="0.3">
      <c r="A6" s="33">
        <v>18</v>
      </c>
      <c r="B6" s="33" t="s">
        <v>2162</v>
      </c>
      <c r="C6" s="34" t="s">
        <v>770</v>
      </c>
      <c r="D6" s="51" t="s">
        <v>143</v>
      </c>
      <c r="E6" s="61" t="str">
        <f>IFERROR(VLOOKUP(D6,'Master List'!D:H,2,FALSE),"NA")</f>
        <v>520701</v>
      </c>
      <c r="F6" s="62" t="str">
        <f>IFERROR(VLOOKUP(D6,'Master List'!D:H,3,FALSE),"NA")</f>
        <v>520701</v>
      </c>
      <c r="G6" s="58" t="str">
        <f>IFERROR(VLOOKUP(D6,'Master List'!D:H,4,FALSE),"NA")</f>
        <v>520701</v>
      </c>
      <c r="H6" s="39" t="str">
        <f>IFERROR(VLOOKUP(D6,'Master List'!D:H,5,FALSE),"NA")</f>
        <v>Entrepreneurship/Entrepreneurial Studies.</v>
      </c>
      <c r="I6" s="19"/>
      <c r="J6" s="20"/>
      <c r="K6" s="20"/>
      <c r="L6" s="22"/>
    </row>
    <row r="7" spans="1:12" x14ac:dyDescent="0.3">
      <c r="A7" s="33">
        <v>18</v>
      </c>
      <c r="B7" s="33" t="s">
        <v>2162</v>
      </c>
      <c r="C7" s="34" t="s">
        <v>770</v>
      </c>
      <c r="D7" s="51" t="s">
        <v>771</v>
      </c>
      <c r="E7" s="61" t="str">
        <f>IFERROR(VLOOKUP(D7,'Master List'!D:H,2,FALSE),"NA")</f>
        <v>520803</v>
      </c>
      <c r="F7" s="62" t="str">
        <f>IFERROR(VLOOKUP(D7,'Master List'!D:H,3,FALSE),"NA")</f>
        <v>520803</v>
      </c>
      <c r="G7" s="58" t="str">
        <f>IFERROR(VLOOKUP(D7,'Master List'!D:H,4,FALSE),"NA")</f>
        <v>520803</v>
      </c>
      <c r="H7" s="39" t="str">
        <f>IFERROR(VLOOKUP(D7,'Master List'!D:H,5,FALSE),"NA")</f>
        <v>Banking and Financial Support Services.</v>
      </c>
      <c r="I7" s="19"/>
      <c r="J7" s="20"/>
      <c r="K7" s="20"/>
      <c r="L7" s="22"/>
    </row>
    <row r="8" spans="1:12" x14ac:dyDescent="0.3">
      <c r="A8" s="33">
        <v>18</v>
      </c>
      <c r="B8" s="33" t="s">
        <v>2162</v>
      </c>
      <c r="C8" s="34" t="s">
        <v>770</v>
      </c>
      <c r="D8" s="51" t="s">
        <v>146</v>
      </c>
      <c r="E8" s="61" t="str">
        <f>IFERROR(VLOOKUP(D8,'Master List'!D:H,2,FALSE),"NA")</f>
        <v>520904</v>
      </c>
      <c r="F8" s="62" t="str">
        <f>IFERROR(VLOOKUP(D8,'Master List'!D:H,3,FALSE),"NA")</f>
        <v>520904</v>
      </c>
      <c r="G8" s="58" t="str">
        <f>IFERROR(VLOOKUP(D8,'Master List'!D:H,4,FALSE),"NA")</f>
        <v>520904</v>
      </c>
      <c r="H8" s="39" t="str">
        <f>IFERROR(VLOOKUP(D8,'Master List'!D:H,5,FALSE),"NA")</f>
        <v>Hotel/Motel Administration/Management.</v>
      </c>
      <c r="I8" s="19"/>
      <c r="J8" s="20"/>
      <c r="K8" s="20"/>
      <c r="L8" s="22"/>
    </row>
    <row r="9" spans="1:12" x14ac:dyDescent="0.3">
      <c r="A9" s="33">
        <v>18</v>
      </c>
      <c r="B9" s="33" t="s">
        <v>2162</v>
      </c>
      <c r="C9" s="34" t="s">
        <v>770</v>
      </c>
      <c r="D9" s="51" t="s">
        <v>176</v>
      </c>
      <c r="E9" s="61" t="str">
        <f>IFERROR(VLOOKUP(D9,'Master List'!D:H,2,FALSE),"NA")</f>
        <v>520905</v>
      </c>
      <c r="F9" s="62" t="str">
        <f>IFERROR(VLOOKUP(D9,'Master List'!D:H,3,FALSE),"NA")</f>
        <v>520905</v>
      </c>
      <c r="G9" s="58" t="str">
        <f>IFERROR(VLOOKUP(D9,'Master List'!D:H,4,FALSE),"NA")</f>
        <v>520905</v>
      </c>
      <c r="H9" s="39" t="str">
        <f>IFERROR(VLOOKUP(D9,'Master List'!D:H,5,FALSE),"NA")</f>
        <v>Restaurant/Food Services Management.</v>
      </c>
      <c r="I9" s="19"/>
      <c r="J9" s="20"/>
      <c r="K9" s="20"/>
      <c r="L9" s="22"/>
    </row>
    <row r="10" spans="1:12" x14ac:dyDescent="0.3">
      <c r="A10" s="33">
        <v>18</v>
      </c>
      <c r="B10" s="33" t="s">
        <v>2162</v>
      </c>
      <c r="C10" s="34" t="s">
        <v>770</v>
      </c>
      <c r="D10" s="51" t="s">
        <v>772</v>
      </c>
      <c r="E10" s="61" t="str">
        <f>IFERROR(VLOOKUP(D10,'Master List'!D:H,2,FALSE),"NA")</f>
        <v>521501</v>
      </c>
      <c r="F10" s="62" t="str">
        <f>IFERROR(VLOOKUP(D10,'Master List'!D:H,3,FALSE),"NA")</f>
        <v>521501</v>
      </c>
      <c r="G10" s="58" t="str">
        <f>IFERROR(VLOOKUP(D10,'Master List'!D:H,4,FALSE),"NA")</f>
        <v>521501</v>
      </c>
      <c r="H10" s="39" t="str">
        <f>IFERROR(VLOOKUP(D10,'Master List'!D:H,5,FALSE),"NA")</f>
        <v>Real Estate.</v>
      </c>
      <c r="I10" s="19"/>
      <c r="J10" s="20"/>
      <c r="K10" s="20"/>
      <c r="L10" s="22"/>
    </row>
    <row r="11" spans="1:12" x14ac:dyDescent="0.3">
      <c r="A11" s="33">
        <v>18</v>
      </c>
      <c r="B11" s="33" t="s">
        <v>2162</v>
      </c>
      <c r="C11" s="34" t="s">
        <v>770</v>
      </c>
      <c r="D11" s="51" t="s">
        <v>185</v>
      </c>
      <c r="E11" s="61" t="str">
        <f>IFERROR(VLOOKUP(D11,'Master List'!D:H,2,FALSE),"NA")</f>
        <v>521908</v>
      </c>
      <c r="F11" s="62" t="str">
        <f>IFERROR(VLOOKUP(D11,'Master List'!D:H,3,FALSE),"NA")</f>
        <v>521908</v>
      </c>
      <c r="G11" s="58" t="str">
        <f>IFERROR(VLOOKUP(D11,'Master List'!D:H,4,FALSE),"NA")</f>
        <v>521908</v>
      </c>
      <c r="H11" s="39" t="str">
        <f>IFERROR(VLOOKUP(D11,'Master List'!D:H,5,FALSE),"NA")</f>
        <v>Business and Personal/Financial Services Marketing Operations.</v>
      </c>
      <c r="I11" s="19"/>
      <c r="J11" s="20"/>
      <c r="K11" s="20"/>
      <c r="L11" s="22"/>
    </row>
    <row r="12" spans="1:12" x14ac:dyDescent="0.3">
      <c r="A12" s="33">
        <v>18</v>
      </c>
      <c r="B12" s="33" t="s">
        <v>2162</v>
      </c>
      <c r="C12" s="34" t="s">
        <v>770</v>
      </c>
      <c r="D12" s="51" t="s">
        <v>186</v>
      </c>
      <c r="E12" s="61" t="str">
        <f>IFERROR(VLOOKUP(D12,'Master List'!D:H,2,FALSE),"NA")</f>
        <v>521908</v>
      </c>
      <c r="F12" s="62" t="str">
        <f>IFERROR(VLOOKUP(D12,'Master List'!D:H,3,FALSE),"NA")</f>
        <v>521908</v>
      </c>
      <c r="G12" s="58" t="str">
        <f>IFERROR(VLOOKUP(D12,'Master List'!D:H,4,FALSE),"NA")</f>
        <v>521908</v>
      </c>
      <c r="H12" s="39" t="str">
        <f>IFERROR(VLOOKUP(D12,'Master List'!D:H,5,FALSE),"NA")</f>
        <v>Business and Personal/Financial Services Marketing Operations.</v>
      </c>
      <c r="I12" s="19"/>
      <c r="J12" s="20"/>
      <c r="K12" s="20"/>
      <c r="L12" s="22"/>
    </row>
    <row r="13" spans="1:12" x14ac:dyDescent="0.3">
      <c r="A13" s="33">
        <v>18</v>
      </c>
      <c r="B13" s="33" t="s">
        <v>2162</v>
      </c>
      <c r="C13" s="34" t="s">
        <v>770</v>
      </c>
      <c r="D13" s="51" t="s">
        <v>773</v>
      </c>
      <c r="E13" s="61" t="str">
        <f>IFERROR(VLOOKUP(D13,'Master List'!D:H,2,FALSE),"NA")</f>
        <v>521908</v>
      </c>
      <c r="F13" s="62" t="str">
        <f>IFERROR(VLOOKUP(D13,'Master List'!D:H,3,FALSE),"NA")</f>
        <v>521908</v>
      </c>
      <c r="G13" s="58" t="str">
        <f>IFERROR(VLOOKUP(D13,'Master List'!D:H,4,FALSE),"NA")</f>
        <v>521908</v>
      </c>
      <c r="H13" s="39" t="str">
        <f>IFERROR(VLOOKUP(D13,'Master List'!D:H,5,FALSE),"NA")</f>
        <v>Business and Personal/Financial Services Marketing Operations.</v>
      </c>
      <c r="I13" s="19"/>
      <c r="J13" s="20"/>
      <c r="K13" s="20"/>
      <c r="L13" s="22"/>
    </row>
    <row r="14" spans="1:12" x14ac:dyDescent="0.3">
      <c r="A14" s="33">
        <v>18</v>
      </c>
      <c r="B14" s="33" t="s">
        <v>2162</v>
      </c>
      <c r="C14" s="34" t="s">
        <v>770</v>
      </c>
      <c r="D14" s="51" t="s">
        <v>192</v>
      </c>
      <c r="E14" s="61" t="str">
        <f>IFERROR(VLOOKUP(D14,'Master List'!D:H,2,FALSE),"NA")</f>
        <v>410101</v>
      </c>
      <c r="F14" s="62" t="str">
        <f>IFERROR(VLOOKUP(D14,'Master List'!D:H,3,FALSE),"NA")</f>
        <v>410101</v>
      </c>
      <c r="G14" s="58" t="str">
        <f>IFERROR(VLOOKUP(D14,'Master List'!D:H,4,FALSE),"NA")</f>
        <v>410101</v>
      </c>
      <c r="H14" s="39" t="str">
        <f>IFERROR(VLOOKUP(D14,'Master List'!D:H,5,FALSE),"NA")</f>
        <v>Biology/Biotechnology Technology/Technician.</v>
      </c>
      <c r="I14" s="19"/>
      <c r="J14" s="20"/>
      <c r="K14" s="20"/>
      <c r="L14" s="22"/>
    </row>
    <row r="15" spans="1:12" x14ac:dyDescent="0.3">
      <c r="A15" s="33">
        <v>18</v>
      </c>
      <c r="B15" s="33" t="s">
        <v>2162</v>
      </c>
      <c r="C15" s="34" t="s">
        <v>770</v>
      </c>
      <c r="D15" s="51" t="s">
        <v>10</v>
      </c>
      <c r="E15" s="61" t="str">
        <f>IFERROR(VLOOKUP(D15,'Master List'!D:H,2,FALSE),"NA")</f>
        <v>510601</v>
      </c>
      <c r="F15" s="62" t="str">
        <f>IFERROR(VLOOKUP(D15,'Master List'!D:H,3,FALSE),"NA")</f>
        <v>510601</v>
      </c>
      <c r="G15" s="58" t="str">
        <f>IFERROR(VLOOKUP(D15,'Master List'!D:H,4,FALSE),"NA")</f>
        <v>510601</v>
      </c>
      <c r="H15" s="39" t="str">
        <f>IFERROR(VLOOKUP(D15,'Master List'!D:H,5,FALSE),"NA")</f>
        <v>Dental Assisting/Assistant.</v>
      </c>
      <c r="I15" s="19"/>
      <c r="J15" s="20"/>
      <c r="K15" s="20"/>
      <c r="L15" s="22"/>
    </row>
    <row r="16" spans="1:12" x14ac:dyDescent="0.3">
      <c r="A16" s="33">
        <v>18</v>
      </c>
      <c r="B16" s="33" t="s">
        <v>2162</v>
      </c>
      <c r="C16" s="34" t="s">
        <v>770</v>
      </c>
      <c r="D16" s="51" t="s">
        <v>774</v>
      </c>
      <c r="E16" s="61" t="str">
        <f>IFERROR(VLOOKUP(D16,'Master List'!D:H,2,FALSE),"NA")</f>
        <v>510707</v>
      </c>
      <c r="F16" s="62" t="str">
        <f>IFERROR(VLOOKUP(D16,'Master List'!D:H,3,FALSE),"NA")</f>
        <v>510707</v>
      </c>
      <c r="G16" s="58" t="str">
        <f>IFERROR(VLOOKUP(D16,'Master List'!D:H,4,FALSE),"NA")</f>
        <v>510707</v>
      </c>
      <c r="H16" s="39" t="str">
        <f>IFERROR(VLOOKUP(D16,'Master List'!D:H,5,FALSE),"NA")</f>
        <v>Health Information/Medical Records Technology/Technician.</v>
      </c>
      <c r="I16" s="19"/>
      <c r="J16" s="20"/>
      <c r="K16" s="20"/>
      <c r="L16" s="22"/>
    </row>
    <row r="17" spans="1:12" x14ac:dyDescent="0.3">
      <c r="A17" s="33">
        <v>18</v>
      </c>
      <c r="B17" s="33" t="s">
        <v>2162</v>
      </c>
      <c r="C17" s="34" t="s">
        <v>770</v>
      </c>
      <c r="D17" s="51" t="s">
        <v>195</v>
      </c>
      <c r="E17" s="61" t="str">
        <f>IFERROR(VLOOKUP(D17,'Master List'!D:H,2,FALSE),"NA")</f>
        <v>510707</v>
      </c>
      <c r="F17" s="62" t="str">
        <f>IFERROR(VLOOKUP(D17,'Master List'!D:H,3,FALSE),"NA")</f>
        <v>510707</v>
      </c>
      <c r="G17" s="58" t="str">
        <f>IFERROR(VLOOKUP(D17,'Master List'!D:H,4,FALSE),"NA")</f>
        <v>510707</v>
      </c>
      <c r="H17" s="39" t="str">
        <f>IFERROR(VLOOKUP(D17,'Master List'!D:H,5,FALSE),"NA")</f>
        <v>Health Information/Medical Records Technology/Technician.</v>
      </c>
      <c r="I17" s="19"/>
      <c r="J17" s="20"/>
      <c r="K17" s="20"/>
      <c r="L17" s="22"/>
    </row>
    <row r="18" spans="1:12" x14ac:dyDescent="0.3">
      <c r="A18" s="33">
        <v>18</v>
      </c>
      <c r="B18" s="33" t="s">
        <v>2162</v>
      </c>
      <c r="C18" s="34" t="s">
        <v>770</v>
      </c>
      <c r="D18" s="51" t="s">
        <v>198</v>
      </c>
      <c r="E18" s="61" t="str">
        <f>IFERROR(VLOOKUP(D18,'Master List'!D:H,2,FALSE),"NA")</f>
        <v>510707</v>
      </c>
      <c r="F18" s="62" t="str">
        <f>IFERROR(VLOOKUP(D18,'Master List'!D:H,3,FALSE),"NA")</f>
        <v>510707</v>
      </c>
      <c r="G18" s="58">
        <f>IFERROR(VLOOKUP(D18,'Master List'!D:H,4,FALSE),"NA")</f>
        <v>510714</v>
      </c>
      <c r="H18" s="39" t="str">
        <f>IFERROR(VLOOKUP(D18,'Master List'!D:H,5,FALSE),"NA")</f>
        <v>Medical Insurance Specialist/Medical Biller</v>
      </c>
      <c r="I18" s="19"/>
      <c r="J18" s="20"/>
      <c r="K18" s="20"/>
      <c r="L18" s="22"/>
    </row>
    <row r="19" spans="1:12" x14ac:dyDescent="0.3">
      <c r="A19" s="33">
        <v>18</v>
      </c>
      <c r="B19" s="33" t="s">
        <v>2162</v>
      </c>
      <c r="C19" s="34" t="s">
        <v>770</v>
      </c>
      <c r="D19" s="51" t="s">
        <v>199</v>
      </c>
      <c r="E19" s="61" t="str">
        <f>IFERROR(VLOOKUP(D19,'Master List'!D:H,2,FALSE),"NA")</f>
        <v>510801</v>
      </c>
      <c r="F19" s="62" t="str">
        <f>IFERROR(VLOOKUP(D19,'Master List'!D:H,3,FALSE),"NA")</f>
        <v>510801</v>
      </c>
      <c r="G19" s="58" t="str">
        <f>IFERROR(VLOOKUP(D19,'Master List'!D:H,4,FALSE),"NA")</f>
        <v>510801</v>
      </c>
      <c r="H19" s="39" t="str">
        <f>IFERROR(VLOOKUP(D19,'Master List'!D:H,5,FALSE),"NA")</f>
        <v>Medical/Clinical Assistant.</v>
      </c>
      <c r="I19" s="19"/>
      <c r="J19" s="20"/>
      <c r="K19" s="20"/>
      <c r="L19" s="22"/>
    </row>
    <row r="20" spans="1:12" x14ac:dyDescent="0.3">
      <c r="A20" s="33">
        <v>18</v>
      </c>
      <c r="B20" s="33" t="s">
        <v>2162</v>
      </c>
      <c r="C20" s="34" t="s">
        <v>770</v>
      </c>
      <c r="D20" s="51" t="s">
        <v>666</v>
      </c>
      <c r="E20" s="61" t="str">
        <f>IFERROR(VLOOKUP(D20,'Master List'!D:H,2,FALSE),"NA")</f>
        <v>NA</v>
      </c>
      <c r="F20" s="62" t="str">
        <f>IFERROR(VLOOKUP(D20,'Master List'!D:H,3,FALSE),"NA")</f>
        <v>NA</v>
      </c>
      <c r="G20" s="58" t="str">
        <f>IFERROR(VLOOKUP(D20,'Master List'!D:H,4,FALSE),"NA")</f>
        <v>NA</v>
      </c>
      <c r="H20" s="39" t="str">
        <f>IFERROR(VLOOKUP(D20,'Master List'!D:H,5,FALSE),"NA")</f>
        <v>NA</v>
      </c>
      <c r="I20" s="19"/>
      <c r="J20" s="20"/>
      <c r="K20" s="20"/>
      <c r="L20" s="22"/>
    </row>
    <row r="21" spans="1:12" x14ac:dyDescent="0.3">
      <c r="A21" s="33">
        <v>18</v>
      </c>
      <c r="B21" s="33" t="s">
        <v>2162</v>
      </c>
      <c r="C21" s="34" t="s">
        <v>770</v>
      </c>
      <c r="D21" s="51" t="s">
        <v>14</v>
      </c>
      <c r="E21" s="61" t="str">
        <f>IFERROR(VLOOKUP(D21,'Master List'!D:H,2,FALSE),"NA")</f>
        <v>510904</v>
      </c>
      <c r="F21" s="62" t="str">
        <f>IFERROR(VLOOKUP(D21,'Master List'!D:H,3,FALSE),"NA")</f>
        <v>510904</v>
      </c>
      <c r="G21" s="58" t="str">
        <f>IFERROR(VLOOKUP(D21,'Master List'!D:H,4,FALSE),"NA")</f>
        <v>510904</v>
      </c>
      <c r="H21" s="39" t="str">
        <f>IFERROR(VLOOKUP(D21,'Master List'!D:H,5,FALSE),"NA")</f>
        <v>Emergency Medical Technology/Technician (EMT Paramedic).</v>
      </c>
      <c r="I21" s="19"/>
      <c r="J21" s="20"/>
      <c r="K21" s="20"/>
      <c r="L21" s="22"/>
    </row>
    <row r="22" spans="1:12" x14ac:dyDescent="0.3">
      <c r="A22" s="33">
        <v>18</v>
      </c>
      <c r="B22" s="33" t="s">
        <v>2162</v>
      </c>
      <c r="C22" s="34" t="s">
        <v>770</v>
      </c>
      <c r="D22" s="51" t="s">
        <v>204</v>
      </c>
      <c r="E22" s="61" t="str">
        <f>IFERROR(VLOOKUP(D22,'Master List'!D:H,2,FALSE),"NA")</f>
        <v>510904</v>
      </c>
      <c r="F22" s="62" t="str">
        <f>IFERROR(VLOOKUP(D22,'Master List'!D:H,3,FALSE),"NA")</f>
        <v>510904</v>
      </c>
      <c r="G22" s="58" t="str">
        <f>IFERROR(VLOOKUP(D22,'Master List'!D:H,4,FALSE),"NA")</f>
        <v>510904</v>
      </c>
      <c r="H22" s="39" t="str">
        <f>IFERROR(VLOOKUP(D22,'Master List'!D:H,5,FALSE),"NA")</f>
        <v>Emergency Medical Technology/Technician (EMT Paramedic).</v>
      </c>
      <c r="I22" s="19"/>
      <c r="J22" s="20"/>
      <c r="K22" s="20"/>
      <c r="L22" s="22"/>
    </row>
    <row r="23" spans="1:12" x14ac:dyDescent="0.3">
      <c r="A23" s="33">
        <v>18</v>
      </c>
      <c r="B23" s="33" t="s">
        <v>2162</v>
      </c>
      <c r="C23" s="34" t="s">
        <v>770</v>
      </c>
      <c r="D23" s="51" t="s">
        <v>207</v>
      </c>
      <c r="E23" s="61" t="str">
        <f>IFERROR(VLOOKUP(D23,'Master List'!D:H,2,FALSE),"NA")</f>
        <v>510909</v>
      </c>
      <c r="F23" s="62" t="str">
        <f>IFERROR(VLOOKUP(D23,'Master List'!D:H,3,FALSE),"NA")</f>
        <v>510909</v>
      </c>
      <c r="G23" s="58" t="str">
        <f>IFERROR(VLOOKUP(D23,'Master List'!D:H,4,FALSE),"NA")</f>
        <v>510909</v>
      </c>
      <c r="H23" s="39" t="str">
        <f>IFERROR(VLOOKUP(D23,'Master List'!D:H,5,FALSE),"NA")</f>
        <v>Surgical Technology/Technologist.</v>
      </c>
      <c r="I23" s="19"/>
      <c r="J23" s="20"/>
      <c r="K23" s="20"/>
      <c r="L23" s="22"/>
    </row>
    <row r="24" spans="1:12" x14ac:dyDescent="0.3">
      <c r="A24" s="33">
        <v>18</v>
      </c>
      <c r="B24" s="33" t="s">
        <v>2162</v>
      </c>
      <c r="C24" s="34" t="s">
        <v>770</v>
      </c>
      <c r="D24" s="51" t="s">
        <v>776</v>
      </c>
      <c r="E24" s="61" t="str">
        <f>IFERROR(VLOOKUP(D24,'Master List'!D:H,2,FALSE),"NA")</f>
        <v>510910</v>
      </c>
      <c r="F24" s="62" t="str">
        <f>IFERROR(VLOOKUP(D24,'Master List'!D:H,3,FALSE),"NA")</f>
        <v>510910</v>
      </c>
      <c r="G24" s="58" t="str">
        <f>IFERROR(VLOOKUP(D24,'Master List'!D:H,4,FALSE),"NA")</f>
        <v>510910</v>
      </c>
      <c r="H24" s="39" t="str">
        <f>IFERROR(VLOOKUP(D24,'Master List'!D:H,5,FALSE),"NA")</f>
        <v>Diagnostic Medical Sonography/Sonographer and Ultrasound Technician.</v>
      </c>
      <c r="I24" s="19"/>
      <c r="J24" s="20"/>
      <c r="K24" s="20"/>
      <c r="L24" s="22"/>
    </row>
    <row r="25" spans="1:12" x14ac:dyDescent="0.3">
      <c r="A25" s="33">
        <v>18</v>
      </c>
      <c r="B25" s="33" t="s">
        <v>2162</v>
      </c>
      <c r="C25" s="34" t="s">
        <v>770</v>
      </c>
      <c r="D25" s="51" t="s">
        <v>211</v>
      </c>
      <c r="E25" s="61" t="str">
        <f>IFERROR(VLOOKUP(D25,'Master List'!D:H,2,FALSE),"NA")</f>
        <v>513501</v>
      </c>
      <c r="F25" s="62" t="str">
        <f>IFERROR(VLOOKUP(D25,'Master List'!D:H,3,FALSE),"NA")</f>
        <v>513501</v>
      </c>
      <c r="G25" s="58" t="str">
        <f>IFERROR(VLOOKUP(D25,'Master List'!D:H,4,FALSE),"NA")</f>
        <v>513501</v>
      </c>
      <c r="H25" s="39" t="str">
        <f>IFERROR(VLOOKUP(D25,'Master List'!D:H,5,FALSE),"NA")</f>
        <v>Massage Therapy/Therapeutic Massage.</v>
      </c>
      <c r="I25" s="19"/>
      <c r="J25" s="20"/>
      <c r="K25" s="20"/>
      <c r="L25" s="22"/>
    </row>
    <row r="26" spans="1:12" x14ac:dyDescent="0.3">
      <c r="A26" s="33">
        <v>18</v>
      </c>
      <c r="B26" s="33" t="s">
        <v>2162</v>
      </c>
      <c r="C26" s="34" t="s">
        <v>770</v>
      </c>
      <c r="D26" s="51" t="s">
        <v>413</v>
      </c>
      <c r="E26" s="61" t="str">
        <f>IFERROR(VLOOKUP(D26,'Master List'!D:H,2,FALSE),"NA")</f>
        <v>513901</v>
      </c>
      <c r="F26" s="62" t="str">
        <f>IFERROR(VLOOKUP(D26,'Master List'!D:H,3,FALSE),"NA")</f>
        <v>513901</v>
      </c>
      <c r="G26" s="58" t="str">
        <f>IFERROR(VLOOKUP(D26,'Master List'!D:H,4,FALSE),"NA")</f>
        <v>513901</v>
      </c>
      <c r="H26" s="39" t="str">
        <f>IFERROR(VLOOKUP(D26,'Master List'!D:H,5,FALSE),"NA")</f>
        <v>Licensed Practical/Vocational Nurse Training.</v>
      </c>
      <c r="I26" s="19"/>
      <c r="J26" s="20"/>
      <c r="K26" s="20"/>
      <c r="L26" s="22"/>
    </row>
    <row r="27" spans="1:12" x14ac:dyDescent="0.3">
      <c r="A27" s="33">
        <v>18</v>
      </c>
      <c r="B27" s="33" t="s">
        <v>2162</v>
      </c>
      <c r="C27" s="34" t="s">
        <v>770</v>
      </c>
      <c r="D27" s="51" t="s">
        <v>777</v>
      </c>
      <c r="E27" s="61" t="str">
        <f>IFERROR(VLOOKUP(D27,'Master List'!D:H,2,FALSE),"NA")</f>
        <v>513902</v>
      </c>
      <c r="F27" s="62" t="str">
        <f>IFERROR(VLOOKUP(D27,'Master List'!D:H,3,FALSE),"NA")</f>
        <v>513902</v>
      </c>
      <c r="G27" s="58" t="str">
        <f>IFERROR(VLOOKUP(D27,'Master List'!D:H,4,FALSE),"NA")</f>
        <v>513902</v>
      </c>
      <c r="H27" s="39" t="str">
        <f>IFERROR(VLOOKUP(D27,'Master List'!D:H,5,FALSE),"NA")</f>
        <v>Nursing Assistant/Aide and Patient Care Assistant/Aide.</v>
      </c>
      <c r="I27" s="19"/>
      <c r="J27" s="20"/>
      <c r="K27" s="20"/>
      <c r="L27" s="22"/>
    </row>
    <row r="28" spans="1:12" x14ac:dyDescent="0.3">
      <c r="A28" s="33">
        <v>18</v>
      </c>
      <c r="B28" s="33" t="s">
        <v>2162</v>
      </c>
      <c r="C28" s="34" t="s">
        <v>770</v>
      </c>
      <c r="D28" s="51" t="s">
        <v>779</v>
      </c>
      <c r="E28" s="61" t="str">
        <f>IFERROR(VLOOKUP(D28,'Master List'!D:H,2,FALSE),"NA")</f>
        <v>190709</v>
      </c>
      <c r="F28" s="62" t="str">
        <f>IFERROR(VLOOKUP(D28,'Master List'!D:H,3,FALSE),"NA")</f>
        <v>190709</v>
      </c>
      <c r="G28" s="58" t="str">
        <f>IFERROR(VLOOKUP(D28,'Master List'!D:H,4,FALSE),"NA")</f>
        <v>190709</v>
      </c>
      <c r="H28" s="39" t="str">
        <f>IFERROR(VLOOKUP(D28,'Master List'!D:H,5,FALSE),"NA")</f>
        <v>Child Care Provider/Assistant.</v>
      </c>
      <c r="I28" s="19"/>
      <c r="J28" s="20"/>
      <c r="K28" s="20"/>
      <c r="L28" s="22"/>
    </row>
    <row r="29" spans="1:12" x14ac:dyDescent="0.3">
      <c r="A29" s="33">
        <v>18</v>
      </c>
      <c r="B29" s="33" t="s">
        <v>2162</v>
      </c>
      <c r="C29" s="34" t="s">
        <v>770</v>
      </c>
      <c r="D29" s="51" t="s">
        <v>483</v>
      </c>
      <c r="E29" s="61" t="str">
        <f>IFERROR(VLOOKUP(D29,'Master List'!D:H,2,FALSE),"NA")</f>
        <v>190709</v>
      </c>
      <c r="F29" s="62" t="str">
        <f>IFERROR(VLOOKUP(D29,'Master List'!D:H,3,FALSE),"NA")</f>
        <v>190709</v>
      </c>
      <c r="G29" s="58" t="str">
        <f>IFERROR(VLOOKUP(D29,'Master List'!D:H,4,FALSE),"NA")</f>
        <v>190709</v>
      </c>
      <c r="H29" s="39" t="str">
        <f>IFERROR(VLOOKUP(D29,'Master List'!D:H,5,FALSE),"NA")</f>
        <v>Child Care Provider/Assistant.</v>
      </c>
      <c r="I29" s="19"/>
      <c r="J29" s="20"/>
      <c r="K29" s="20"/>
      <c r="L29" s="22"/>
    </row>
    <row r="30" spans="1:12" x14ac:dyDescent="0.3">
      <c r="A30" s="33">
        <v>18</v>
      </c>
      <c r="B30" s="33" t="s">
        <v>2162</v>
      </c>
      <c r="C30" s="34" t="s">
        <v>770</v>
      </c>
      <c r="D30" s="51" t="s">
        <v>588</v>
      </c>
      <c r="E30" s="61" t="str">
        <f>IFERROR(VLOOKUP(D30,'Master List'!D:H,2,FALSE),"NA")</f>
        <v>190709</v>
      </c>
      <c r="F30" s="62" t="str">
        <f>IFERROR(VLOOKUP(D30,'Master List'!D:H,3,FALSE),"NA")</f>
        <v>190709</v>
      </c>
      <c r="G30" s="58" t="str">
        <f>IFERROR(VLOOKUP(D30,'Master List'!D:H,4,FALSE),"NA")</f>
        <v>190709</v>
      </c>
      <c r="H30" s="39" t="str">
        <f>IFERROR(VLOOKUP(D30,'Master List'!D:H,5,FALSE),"NA")</f>
        <v>Child Care Provider/Assistant.</v>
      </c>
      <c r="I30" s="19"/>
      <c r="J30" s="20"/>
      <c r="K30" s="20"/>
      <c r="L30" s="22"/>
    </row>
    <row r="31" spans="1:12" x14ac:dyDescent="0.3">
      <c r="A31" s="33">
        <v>18</v>
      </c>
      <c r="B31" s="33" t="s">
        <v>2162</v>
      </c>
      <c r="C31" s="34" t="s">
        <v>770</v>
      </c>
      <c r="D31" s="51" t="s">
        <v>589</v>
      </c>
      <c r="E31" s="61" t="str">
        <f>IFERROR(VLOOKUP(D31,'Master List'!D:H,2,FALSE),"NA")</f>
        <v>190709</v>
      </c>
      <c r="F31" s="62" t="str">
        <f>IFERROR(VLOOKUP(D31,'Master List'!D:H,3,FALSE),"NA")</f>
        <v>190709</v>
      </c>
      <c r="G31" s="58" t="str">
        <f>IFERROR(VLOOKUP(D31,'Master List'!D:H,4,FALSE),"NA")</f>
        <v>190709</v>
      </c>
      <c r="H31" s="39" t="str">
        <f>IFERROR(VLOOKUP(D31,'Master List'!D:H,5,FALSE),"NA")</f>
        <v>Child Care Provider/Assistant.</v>
      </c>
      <c r="I31" s="19"/>
      <c r="J31" s="20"/>
      <c r="K31" s="20"/>
      <c r="L31" s="22"/>
    </row>
    <row r="32" spans="1:12" x14ac:dyDescent="0.3">
      <c r="A32" s="33">
        <v>18</v>
      </c>
      <c r="B32" s="33" t="s">
        <v>2162</v>
      </c>
      <c r="C32" s="34" t="s">
        <v>770</v>
      </c>
      <c r="D32" s="51" t="s">
        <v>623</v>
      </c>
      <c r="E32" s="61" t="str">
        <f>IFERROR(VLOOKUP(D32,'Master List'!D:H,2,FALSE),"NA")</f>
        <v>190709</v>
      </c>
      <c r="F32" s="62" t="str">
        <f>IFERROR(VLOOKUP(D32,'Master List'!D:H,3,FALSE),"NA")</f>
        <v>190709</v>
      </c>
      <c r="G32" s="58" t="str">
        <f>IFERROR(VLOOKUP(D32,'Master List'!D:H,4,FALSE),"NA")</f>
        <v>190709</v>
      </c>
      <c r="H32" s="39" t="str">
        <f>IFERROR(VLOOKUP(D32,'Master List'!D:H,5,FALSE),"NA")</f>
        <v>Child Care Provider/Assistant.</v>
      </c>
      <c r="I32" s="19"/>
      <c r="J32" s="20"/>
      <c r="K32" s="20"/>
      <c r="L32" s="22"/>
    </row>
    <row r="33" spans="1:12" x14ac:dyDescent="0.3">
      <c r="A33" s="33">
        <v>18</v>
      </c>
      <c r="B33" s="33" t="s">
        <v>2162</v>
      </c>
      <c r="C33" s="34" t="s">
        <v>770</v>
      </c>
      <c r="D33" s="51" t="s">
        <v>780</v>
      </c>
      <c r="E33" s="61" t="str">
        <f>IFERROR(VLOOKUP(D33,'Master List'!D:H,2,FALSE),"NA")</f>
        <v>190709</v>
      </c>
      <c r="F33" s="62" t="str">
        <f>IFERROR(VLOOKUP(D33,'Master List'!D:H,3,FALSE),"NA")</f>
        <v>190709</v>
      </c>
      <c r="G33" s="58" t="str">
        <f>IFERROR(VLOOKUP(D33,'Master List'!D:H,4,FALSE),"NA")</f>
        <v>190709</v>
      </c>
      <c r="H33" s="39" t="str">
        <f>IFERROR(VLOOKUP(D33,'Master List'!D:H,5,FALSE),"NA")</f>
        <v>Child Care Provider/Assistant.</v>
      </c>
      <c r="I33" s="19"/>
      <c r="J33" s="20"/>
      <c r="K33" s="20"/>
      <c r="L33" s="22"/>
    </row>
    <row r="34" spans="1:12" x14ac:dyDescent="0.3">
      <c r="A34" s="33">
        <v>18</v>
      </c>
      <c r="B34" s="33" t="s">
        <v>2162</v>
      </c>
      <c r="C34" s="34" t="s">
        <v>770</v>
      </c>
      <c r="D34" s="51" t="s">
        <v>385</v>
      </c>
      <c r="E34" s="61" t="str">
        <f>IFERROR(VLOOKUP(D34,'Master List'!D:H,2,FALSE),"NA")</f>
        <v>511599</v>
      </c>
      <c r="F34" s="62" t="str">
        <f>IFERROR(VLOOKUP(D34,'Master List'!D:H,3,FALSE),"NA")</f>
        <v>511599</v>
      </c>
      <c r="G34" s="58">
        <f>IFERROR(VLOOKUP(D34,'Master List'!D:H,4,FALSE),"NA")</f>
        <v>511501</v>
      </c>
      <c r="H34" s="39" t="str">
        <f>IFERROR(VLOOKUP(D34,'Master List'!D:H,5,FALSE),"NA")</f>
        <v>Substance Abuse/Addiction Counseling</v>
      </c>
      <c r="I34" s="19"/>
      <c r="J34" s="20"/>
      <c r="K34" s="20"/>
      <c r="L34" s="22"/>
    </row>
    <row r="35" spans="1:12" x14ac:dyDescent="0.3">
      <c r="A35" s="33">
        <v>18</v>
      </c>
      <c r="B35" s="33" t="s">
        <v>2162</v>
      </c>
      <c r="C35" s="34" t="s">
        <v>770</v>
      </c>
      <c r="D35" s="51" t="s">
        <v>388</v>
      </c>
      <c r="E35" s="61" t="str">
        <f>IFERROR(VLOOKUP(D35,'Master List'!D:H,2,FALSE),"NA")</f>
        <v>511599</v>
      </c>
      <c r="F35" s="62" t="str">
        <f>IFERROR(VLOOKUP(D35,'Master List'!D:H,3,FALSE),"NA")</f>
        <v>511599</v>
      </c>
      <c r="G35" s="58" t="str">
        <f>IFERROR(VLOOKUP(D35,'Master List'!D:H,4,FALSE),"NA")</f>
        <v>511599</v>
      </c>
      <c r="H35" s="39" t="str">
        <f>IFERROR(VLOOKUP(D35,'Master List'!D:H,5,FALSE),"NA")</f>
        <v>Mental and Social Health Services and Allied Professions, Other.</v>
      </c>
      <c r="I35" s="19"/>
      <c r="J35" s="20"/>
      <c r="K35" s="20"/>
      <c r="L35" s="22"/>
    </row>
    <row r="36" spans="1:12" x14ac:dyDescent="0.3">
      <c r="A36" s="33">
        <v>18</v>
      </c>
      <c r="B36" s="33" t="s">
        <v>2162</v>
      </c>
      <c r="C36" s="34" t="s">
        <v>770</v>
      </c>
      <c r="D36" s="51" t="s">
        <v>670</v>
      </c>
      <c r="E36" s="61" t="str">
        <f>IFERROR(VLOOKUP(D36,'Master List'!D:H,2,FALSE),"NA")</f>
        <v>511599</v>
      </c>
      <c r="F36" s="62" t="str">
        <f>IFERROR(VLOOKUP(D36,'Master List'!D:H,3,FALSE),"NA")</f>
        <v>511599</v>
      </c>
      <c r="G36" s="58" t="str">
        <f>IFERROR(VLOOKUP(D36,'Master List'!D:H,4,FALSE),"NA")</f>
        <v>511599</v>
      </c>
      <c r="H36" s="39" t="str">
        <f>IFERROR(VLOOKUP(D36,'Master List'!D:H,5,FALSE),"NA")</f>
        <v>Mental and Social Health Services and Allied Professions, Other.</v>
      </c>
      <c r="I36" s="19"/>
      <c r="J36" s="20"/>
      <c r="K36" s="20"/>
      <c r="L36" s="22"/>
    </row>
    <row r="37" spans="1:12" x14ac:dyDescent="0.3">
      <c r="A37" s="33">
        <v>18</v>
      </c>
      <c r="B37" s="33" t="s">
        <v>2162</v>
      </c>
      <c r="C37" s="34" t="s">
        <v>770</v>
      </c>
      <c r="D37" s="51" t="s">
        <v>418</v>
      </c>
      <c r="E37" s="61" t="str">
        <f>IFERROR(VLOOKUP(D37,'Master List'!D:H,2,FALSE),"NA")</f>
        <v>110103</v>
      </c>
      <c r="F37" s="62" t="str">
        <f>IFERROR(VLOOKUP(D37,'Master List'!D:H,3,FALSE),"NA")</f>
        <v>110103</v>
      </c>
      <c r="G37" s="58" t="str">
        <f>IFERROR(VLOOKUP(D37,'Master List'!D:H,4,FALSE),"NA")</f>
        <v>110103</v>
      </c>
      <c r="H37" s="39" t="str">
        <f>IFERROR(VLOOKUP(D37,'Master List'!D:H,5,FALSE),"NA")</f>
        <v>Information Technology.</v>
      </c>
      <c r="I37" s="19"/>
      <c r="J37" s="20"/>
      <c r="K37" s="20"/>
      <c r="L37" s="22"/>
    </row>
    <row r="38" spans="1:12" x14ac:dyDescent="0.3">
      <c r="A38" s="33">
        <v>18</v>
      </c>
      <c r="B38" s="33" t="s">
        <v>2162</v>
      </c>
      <c r="C38" s="34" t="s">
        <v>770</v>
      </c>
      <c r="D38" s="51" t="s">
        <v>217</v>
      </c>
      <c r="E38" s="61" t="str">
        <f>IFERROR(VLOOKUP(D38,'Master List'!D:H,2,FALSE),"NA")</f>
        <v>110103</v>
      </c>
      <c r="F38" s="62" t="str">
        <f>IFERROR(VLOOKUP(D38,'Master List'!D:H,3,FALSE),"NA")</f>
        <v>110103</v>
      </c>
      <c r="G38" s="58" t="str">
        <f>IFERROR(VLOOKUP(D38,'Master List'!D:H,4,FALSE),"NA")</f>
        <v>110103</v>
      </c>
      <c r="H38" s="39" t="str">
        <f>IFERROR(VLOOKUP(D38,'Master List'!D:H,5,FALSE),"NA")</f>
        <v>Information Technology.</v>
      </c>
      <c r="I38" s="19"/>
      <c r="J38" s="20"/>
      <c r="K38" s="20"/>
      <c r="L38" s="22"/>
    </row>
    <row r="39" spans="1:12" x14ac:dyDescent="0.3">
      <c r="A39" s="33">
        <v>18</v>
      </c>
      <c r="B39" s="33" t="s">
        <v>2162</v>
      </c>
      <c r="C39" s="34" t="s">
        <v>770</v>
      </c>
      <c r="D39" s="51" t="s">
        <v>218</v>
      </c>
      <c r="E39" s="61" t="str">
        <f>IFERROR(VLOOKUP(D39,'Master List'!D:H,2,FALSE),"NA")</f>
        <v>110103</v>
      </c>
      <c r="F39" s="62" t="str">
        <f>IFERROR(VLOOKUP(D39,'Master List'!D:H,3,FALSE),"NA")</f>
        <v>110103</v>
      </c>
      <c r="G39" s="58" t="str">
        <f>IFERROR(VLOOKUP(D39,'Master List'!D:H,4,FALSE),"NA")</f>
        <v>110103</v>
      </c>
      <c r="H39" s="39" t="str">
        <f>IFERROR(VLOOKUP(D39,'Master List'!D:H,5,FALSE),"NA")</f>
        <v>Information Technology.</v>
      </c>
      <c r="I39" s="19"/>
      <c r="J39" s="20"/>
      <c r="K39" s="20"/>
      <c r="L39" s="22"/>
    </row>
    <row r="40" spans="1:12" x14ac:dyDescent="0.3">
      <c r="A40" s="33">
        <v>18</v>
      </c>
      <c r="B40" s="33" t="s">
        <v>2162</v>
      </c>
      <c r="C40" s="34" t="s">
        <v>770</v>
      </c>
      <c r="D40" s="51" t="s">
        <v>389</v>
      </c>
      <c r="E40" s="61" t="str">
        <f>IFERROR(VLOOKUP(D40,'Master List'!D:H,2,FALSE),"NA")</f>
        <v>110201</v>
      </c>
      <c r="F40" s="62" t="str">
        <f>IFERROR(VLOOKUP(D40,'Master List'!D:H,3,FALSE),"NA")</f>
        <v>110201</v>
      </c>
      <c r="G40" s="58" t="str">
        <f>IFERROR(VLOOKUP(D40,'Master List'!D:H,4,FALSE),"NA")</f>
        <v>110201</v>
      </c>
      <c r="H40" s="39" t="str">
        <f>IFERROR(VLOOKUP(D40,'Master List'!D:H,5,FALSE),"NA")</f>
        <v>Computer Programming/Programmer, General.</v>
      </c>
      <c r="I40" s="19"/>
      <c r="J40" s="20"/>
      <c r="K40" s="20"/>
      <c r="L40" s="22"/>
    </row>
    <row r="41" spans="1:12" x14ac:dyDescent="0.3">
      <c r="A41" s="33">
        <v>18</v>
      </c>
      <c r="B41" s="33" t="s">
        <v>2162</v>
      </c>
      <c r="C41" s="34" t="s">
        <v>770</v>
      </c>
      <c r="D41" s="51" t="s">
        <v>390</v>
      </c>
      <c r="E41" s="61" t="str">
        <f>IFERROR(VLOOKUP(D41,'Master List'!D:H,2,FALSE),"NA")</f>
        <v>110202</v>
      </c>
      <c r="F41" s="62" t="str">
        <f>IFERROR(VLOOKUP(D41,'Master List'!D:H,3,FALSE),"NA")</f>
        <v>110202</v>
      </c>
      <c r="G41" s="58" t="str">
        <f>IFERROR(VLOOKUP(D41,'Master List'!D:H,4,FALSE),"NA")</f>
        <v>110202</v>
      </c>
      <c r="H41" s="39" t="str">
        <f>IFERROR(VLOOKUP(D41,'Master List'!D:H,5,FALSE),"NA")</f>
        <v>Computer Programming, Specific Applications.</v>
      </c>
      <c r="I41" s="19"/>
      <c r="J41" s="20"/>
      <c r="K41" s="20"/>
      <c r="L41" s="22"/>
    </row>
    <row r="42" spans="1:12" x14ac:dyDescent="0.3">
      <c r="A42" s="33">
        <v>18</v>
      </c>
      <c r="B42" s="33" t="s">
        <v>2162</v>
      </c>
      <c r="C42" s="34" t="s">
        <v>770</v>
      </c>
      <c r="D42" s="51" t="s">
        <v>421</v>
      </c>
      <c r="E42" s="61" t="str">
        <f>IFERROR(VLOOKUP(D42,'Master List'!D:H,2,FALSE),"NA")</f>
        <v>110801</v>
      </c>
      <c r="F42" s="62" t="str">
        <f>IFERROR(VLOOKUP(D42,'Master List'!D:H,3,FALSE),"NA")</f>
        <v>110801</v>
      </c>
      <c r="G42" s="58" t="str">
        <f>IFERROR(VLOOKUP(D42,'Master List'!D:H,4,FALSE),"NA")</f>
        <v>110801</v>
      </c>
      <c r="H42" s="39" t="str">
        <f>IFERROR(VLOOKUP(D42,'Master List'!D:H,5,FALSE),"NA")</f>
        <v>Web Page, Digital/Multimedia and Information Resources Design.</v>
      </c>
      <c r="I42" s="19"/>
      <c r="J42" s="20"/>
      <c r="K42" s="20"/>
      <c r="L42" s="22"/>
    </row>
    <row r="43" spans="1:12" x14ac:dyDescent="0.3">
      <c r="A43" s="33">
        <v>18</v>
      </c>
      <c r="B43" s="33" t="s">
        <v>2162</v>
      </c>
      <c r="C43" s="34" t="s">
        <v>770</v>
      </c>
      <c r="D43" s="51" t="s">
        <v>31</v>
      </c>
      <c r="E43" s="61" t="str">
        <f>IFERROR(VLOOKUP(D43,'Master List'!D:H,2,FALSE),"NA")</f>
        <v>111001</v>
      </c>
      <c r="F43" s="62" t="str">
        <f>IFERROR(VLOOKUP(D43,'Master List'!D:H,3,FALSE),"NA")</f>
        <v>111001</v>
      </c>
      <c r="G43" s="58" t="str">
        <f>IFERROR(VLOOKUP(D43,'Master List'!D:H,4,FALSE),"NA")</f>
        <v>111001</v>
      </c>
      <c r="H43" s="39" t="str">
        <f>IFERROR(VLOOKUP(D43,'Master List'!D:H,5,FALSE),"NA")</f>
        <v>Network and System Administration/Administrator.</v>
      </c>
      <c r="I43" s="19"/>
      <c r="J43" s="20"/>
      <c r="K43" s="20"/>
      <c r="L43" s="22"/>
    </row>
    <row r="44" spans="1:12" x14ac:dyDescent="0.3">
      <c r="A44" s="33">
        <v>18</v>
      </c>
      <c r="B44" s="33" t="s">
        <v>2162</v>
      </c>
      <c r="C44" s="34" t="s">
        <v>770</v>
      </c>
      <c r="D44" s="51" t="s">
        <v>34</v>
      </c>
      <c r="E44" s="61" t="str">
        <f>IFERROR(VLOOKUP(D44,'Master List'!D:H,2,FALSE),"NA")</f>
        <v>111001</v>
      </c>
      <c r="F44" s="62" t="str">
        <f>IFERROR(VLOOKUP(D44,'Master List'!D:H,3,FALSE),"NA")</f>
        <v>111001</v>
      </c>
      <c r="G44" s="58" t="str">
        <f>IFERROR(VLOOKUP(D44,'Master List'!D:H,4,FALSE),"NA")</f>
        <v>111001</v>
      </c>
      <c r="H44" s="39" t="str">
        <f>IFERROR(VLOOKUP(D44,'Master List'!D:H,5,FALSE),"NA")</f>
        <v>Network and System Administration/Administrator.</v>
      </c>
      <c r="I44" s="19"/>
      <c r="J44" s="20"/>
      <c r="K44" s="20"/>
      <c r="L44" s="22"/>
    </row>
    <row r="45" spans="1:12" x14ac:dyDescent="0.3">
      <c r="A45" s="33">
        <v>18</v>
      </c>
      <c r="B45" s="33" t="s">
        <v>2162</v>
      </c>
      <c r="C45" s="34" t="s">
        <v>770</v>
      </c>
      <c r="D45" s="51" t="s">
        <v>541</v>
      </c>
      <c r="E45" s="61" t="str">
        <f>IFERROR(VLOOKUP(D45,'Master List'!D:H,2,FALSE),"NA")</f>
        <v>111001</v>
      </c>
      <c r="F45" s="62" t="str">
        <f>IFERROR(VLOOKUP(D45,'Master List'!D:H,3,FALSE),"NA")</f>
        <v>111001</v>
      </c>
      <c r="G45" s="58" t="str">
        <f>IFERROR(VLOOKUP(D45,'Master List'!D:H,4,FALSE),"NA")</f>
        <v>111001</v>
      </c>
      <c r="H45" s="39" t="str">
        <f>IFERROR(VLOOKUP(D45,'Master List'!D:H,5,FALSE),"NA")</f>
        <v>Network and System Administration/Administrator.</v>
      </c>
      <c r="I45" s="19"/>
      <c r="J45" s="20"/>
      <c r="K45" s="20"/>
      <c r="L45" s="22"/>
    </row>
    <row r="46" spans="1:12" x14ac:dyDescent="0.3">
      <c r="A46" s="33">
        <v>18</v>
      </c>
      <c r="B46" s="33" t="s">
        <v>2162</v>
      </c>
      <c r="C46" s="34" t="s">
        <v>770</v>
      </c>
      <c r="D46" s="51" t="s">
        <v>35</v>
      </c>
      <c r="E46" s="61" t="str">
        <f>IFERROR(VLOOKUP(D46,'Master List'!D:H,2,FALSE),"NA")</f>
        <v>111001</v>
      </c>
      <c r="F46" s="62" t="str">
        <f>IFERROR(VLOOKUP(D46,'Master List'!D:H,3,FALSE),"NA")</f>
        <v>111001</v>
      </c>
      <c r="G46" s="58" t="str">
        <f>IFERROR(VLOOKUP(D46,'Master List'!D:H,4,FALSE),"NA")</f>
        <v>111001</v>
      </c>
      <c r="H46" s="39" t="str">
        <f>IFERROR(VLOOKUP(D46,'Master List'!D:H,5,FALSE),"NA")</f>
        <v>Network and System Administration/Administrator.</v>
      </c>
      <c r="I46" s="19"/>
      <c r="J46" s="20"/>
      <c r="K46" s="20"/>
      <c r="L46" s="22"/>
    </row>
    <row r="47" spans="1:12" x14ac:dyDescent="0.3">
      <c r="A47" s="33">
        <v>18</v>
      </c>
      <c r="B47" s="33" t="s">
        <v>2162</v>
      </c>
      <c r="C47" s="34" t="s">
        <v>770</v>
      </c>
      <c r="D47" s="51" t="s">
        <v>36</v>
      </c>
      <c r="E47" s="61" t="str">
        <f>IFERROR(VLOOKUP(D47,'Master List'!D:H,2,FALSE),"NA")</f>
        <v>111001</v>
      </c>
      <c r="F47" s="62" t="str">
        <f>IFERROR(VLOOKUP(D47,'Master List'!D:H,3,FALSE),"NA")</f>
        <v>111001</v>
      </c>
      <c r="G47" s="58" t="str">
        <f>IFERROR(VLOOKUP(D47,'Master List'!D:H,4,FALSE),"NA")</f>
        <v>111001</v>
      </c>
      <c r="H47" s="39" t="str">
        <f>IFERROR(VLOOKUP(D47,'Master List'!D:H,5,FALSE),"NA")</f>
        <v>Network and System Administration/Administrator.</v>
      </c>
      <c r="I47" s="19"/>
      <c r="J47" s="20"/>
      <c r="K47" s="20"/>
      <c r="L47" s="22"/>
    </row>
    <row r="48" spans="1:12" x14ac:dyDescent="0.3">
      <c r="A48" s="33">
        <v>18</v>
      </c>
      <c r="B48" s="33" t="s">
        <v>2162</v>
      </c>
      <c r="C48" s="34" t="s">
        <v>770</v>
      </c>
      <c r="D48" s="51" t="s">
        <v>153</v>
      </c>
      <c r="E48" s="61" t="str">
        <f>IFERROR(VLOOKUP(D48,'Master List'!D:H,2,FALSE),"NA")</f>
        <v>520201</v>
      </c>
      <c r="F48" s="62" t="str">
        <f>IFERROR(VLOOKUP(D48,'Master List'!D:H,3,FALSE),"NA")</f>
        <v>520201</v>
      </c>
      <c r="G48" s="58" t="str">
        <f>IFERROR(VLOOKUP(D48,'Master List'!D:H,4,FALSE),"NA")</f>
        <v>520201</v>
      </c>
      <c r="H48" s="39" t="str">
        <f>IFERROR(VLOOKUP(D48,'Master List'!D:H,5,FALSE),"NA")</f>
        <v>Business Administration and Management, General.</v>
      </c>
      <c r="I48" s="19"/>
      <c r="J48" s="20"/>
      <c r="K48" s="20"/>
      <c r="L48" s="22"/>
    </row>
    <row r="49" spans="1:12" x14ac:dyDescent="0.3">
      <c r="A49" s="33">
        <v>18</v>
      </c>
      <c r="B49" s="33" t="s">
        <v>2162</v>
      </c>
      <c r="C49" s="34" t="s">
        <v>770</v>
      </c>
      <c r="D49" s="51" t="s">
        <v>154</v>
      </c>
      <c r="E49" s="61" t="str">
        <f>IFERROR(VLOOKUP(D49,'Master List'!D:H,2,FALSE),"NA")</f>
        <v>520201</v>
      </c>
      <c r="F49" s="62" t="str">
        <f>IFERROR(VLOOKUP(D49,'Master List'!D:H,3,FALSE),"NA")</f>
        <v>520201</v>
      </c>
      <c r="G49" s="58" t="str">
        <f>IFERROR(VLOOKUP(D49,'Master List'!D:H,4,FALSE),"NA")</f>
        <v>520201</v>
      </c>
      <c r="H49" s="39" t="str">
        <f>IFERROR(VLOOKUP(D49,'Master List'!D:H,5,FALSE),"NA")</f>
        <v>Business Administration and Management, General.</v>
      </c>
      <c r="I49" s="19"/>
      <c r="J49" s="20"/>
      <c r="K49" s="20"/>
      <c r="L49" s="22"/>
    </row>
    <row r="50" spans="1:12" x14ac:dyDescent="0.3">
      <c r="A50" s="33">
        <v>18</v>
      </c>
      <c r="B50" s="33" t="s">
        <v>2162</v>
      </c>
      <c r="C50" s="34" t="s">
        <v>770</v>
      </c>
      <c r="D50" s="51" t="s">
        <v>697</v>
      </c>
      <c r="E50" s="61" t="str">
        <f>IFERROR(VLOOKUP(D50,'Master List'!D:H,2,FALSE),"NA")</f>
        <v>520201</v>
      </c>
      <c r="F50" s="62" t="str">
        <f>IFERROR(VLOOKUP(D50,'Master List'!D:H,3,FALSE),"NA")</f>
        <v>520201</v>
      </c>
      <c r="G50" s="58">
        <f>IFERROR(VLOOKUP(D50,'Master List'!D:H,4,FALSE),"NA")</f>
        <v>520215</v>
      </c>
      <c r="H50" s="39" t="str">
        <f>IFERROR(VLOOKUP(D50,'Master List'!D:H,5,FALSE),"NA")</f>
        <v>Risk Management</v>
      </c>
      <c r="I50" s="19"/>
      <c r="J50" s="20"/>
      <c r="K50" s="20"/>
      <c r="L50" s="22"/>
    </row>
    <row r="51" spans="1:12" x14ac:dyDescent="0.3">
      <c r="A51" s="33">
        <v>18</v>
      </c>
      <c r="B51" s="33" t="s">
        <v>2162</v>
      </c>
      <c r="C51" s="34" t="s">
        <v>770</v>
      </c>
      <c r="D51" s="51" t="s">
        <v>40</v>
      </c>
      <c r="E51" s="61" t="str">
        <f>IFERROR(VLOOKUP(D51,'Master List'!D:H,2,FALSE),"NA")</f>
        <v>520302</v>
      </c>
      <c r="F51" s="62" t="str">
        <f>IFERROR(VLOOKUP(D51,'Master List'!D:H,3,FALSE),"NA")</f>
        <v>520302</v>
      </c>
      <c r="G51" s="58" t="str">
        <f>IFERROR(VLOOKUP(D51,'Master List'!D:H,4,FALSE),"NA")</f>
        <v>520302</v>
      </c>
      <c r="H51" s="39" t="str">
        <f>IFERROR(VLOOKUP(D51,'Master List'!D:H,5,FALSE),"NA")</f>
        <v>Accounting Technology/Technician and Bookkeeping.</v>
      </c>
      <c r="I51" s="19"/>
      <c r="J51" s="20"/>
      <c r="K51" s="20"/>
      <c r="L51" s="22"/>
    </row>
    <row r="52" spans="1:12" x14ac:dyDescent="0.3">
      <c r="A52" s="33">
        <v>18</v>
      </c>
      <c r="B52" s="33" t="s">
        <v>2162</v>
      </c>
      <c r="C52" s="34" t="s">
        <v>770</v>
      </c>
      <c r="D52" s="51" t="s">
        <v>232</v>
      </c>
      <c r="E52" s="61" t="str">
        <f>IFERROR(VLOOKUP(D52,'Master List'!D:H,2,FALSE),"NA")</f>
        <v>520701</v>
      </c>
      <c r="F52" s="62" t="str">
        <f>IFERROR(VLOOKUP(D52,'Master List'!D:H,3,FALSE),"NA")</f>
        <v>520701</v>
      </c>
      <c r="G52" s="58" t="str">
        <f>IFERROR(VLOOKUP(D52,'Master List'!D:H,4,FALSE),"NA")</f>
        <v>520701</v>
      </c>
      <c r="H52" s="39" t="str">
        <f>IFERROR(VLOOKUP(D52,'Master List'!D:H,5,FALSE),"NA")</f>
        <v>Entrepreneurship/Entrepreneurial Studies.</v>
      </c>
      <c r="I52" s="19"/>
      <c r="J52" s="20"/>
      <c r="K52" s="20"/>
      <c r="L52" s="22"/>
    </row>
    <row r="53" spans="1:12" x14ac:dyDescent="0.3">
      <c r="A53" s="33">
        <v>18</v>
      </c>
      <c r="B53" s="33" t="s">
        <v>2162</v>
      </c>
      <c r="C53" s="34" t="s">
        <v>770</v>
      </c>
      <c r="D53" s="51" t="s">
        <v>515</v>
      </c>
      <c r="E53" s="61" t="str">
        <f>IFERROR(VLOOKUP(D53,'Master List'!D:H,2,FALSE),"NA")</f>
        <v>110803</v>
      </c>
      <c r="F53" s="62" t="str">
        <f>IFERROR(VLOOKUP(D53,'Master List'!D:H,3,FALSE),"NA")</f>
        <v>110803</v>
      </c>
      <c r="G53" s="58" t="str">
        <f>IFERROR(VLOOKUP(D53,'Master List'!D:H,4,FALSE),"NA")</f>
        <v>110803</v>
      </c>
      <c r="H53" s="39" t="str">
        <f>IFERROR(VLOOKUP(D53,'Master List'!D:H,5,FALSE),"NA")</f>
        <v>Computer Graphics.</v>
      </c>
      <c r="I53" s="19"/>
      <c r="J53" s="20"/>
      <c r="K53" s="20"/>
      <c r="L53" s="22"/>
    </row>
    <row r="54" spans="1:12" x14ac:dyDescent="0.3">
      <c r="A54" s="33">
        <v>18</v>
      </c>
      <c r="B54" s="33" t="s">
        <v>2162</v>
      </c>
      <c r="C54" s="34" t="s">
        <v>770</v>
      </c>
      <c r="D54" s="51" t="s">
        <v>237</v>
      </c>
      <c r="E54" s="61" t="str">
        <f>IFERROR(VLOOKUP(D54,'Master List'!D:H,2,FALSE),"NA")</f>
        <v>110803</v>
      </c>
      <c r="F54" s="62" t="str">
        <f>IFERROR(VLOOKUP(D54,'Master List'!D:H,3,FALSE),"NA")</f>
        <v>110803</v>
      </c>
      <c r="G54" s="58" t="str">
        <f>IFERROR(VLOOKUP(D54,'Master List'!D:H,4,FALSE),"NA")</f>
        <v>110803</v>
      </c>
      <c r="H54" s="39" t="str">
        <f>IFERROR(VLOOKUP(D54,'Master List'!D:H,5,FALSE),"NA")</f>
        <v>Computer Graphics.</v>
      </c>
      <c r="I54" s="19"/>
      <c r="J54" s="20"/>
      <c r="K54" s="20"/>
      <c r="L54" s="22"/>
    </row>
    <row r="55" spans="1:12" x14ac:dyDescent="0.3">
      <c r="A55" s="33">
        <v>18</v>
      </c>
      <c r="B55" s="33" t="s">
        <v>2162</v>
      </c>
      <c r="C55" s="34" t="s">
        <v>770</v>
      </c>
      <c r="D55" s="51" t="s">
        <v>553</v>
      </c>
      <c r="E55" s="61" t="str">
        <f>IFERROR(VLOOKUP(D55,'Master List'!D:H,2,FALSE),"NA")</f>
        <v>110803</v>
      </c>
      <c r="F55" s="62" t="str">
        <f>IFERROR(VLOOKUP(D55,'Master List'!D:H,3,FALSE),"NA")</f>
        <v>110803</v>
      </c>
      <c r="G55" s="58" t="str">
        <f>IFERROR(VLOOKUP(D55,'Master List'!D:H,4,FALSE),"NA")</f>
        <v>110803</v>
      </c>
      <c r="H55" s="39" t="str">
        <f>IFERROR(VLOOKUP(D55,'Master List'!D:H,5,FALSE),"NA")</f>
        <v>Computer Graphics.</v>
      </c>
      <c r="I55" s="19"/>
      <c r="J55" s="20"/>
      <c r="K55" s="20"/>
      <c r="L55" s="22"/>
    </row>
    <row r="56" spans="1:12" x14ac:dyDescent="0.3">
      <c r="A56" s="33">
        <v>18</v>
      </c>
      <c r="B56" s="33" t="s">
        <v>2162</v>
      </c>
      <c r="C56" s="34" t="s">
        <v>770</v>
      </c>
      <c r="D56" s="51" t="s">
        <v>240</v>
      </c>
      <c r="E56" s="61" t="str">
        <f>IFERROR(VLOOKUP(D56,'Master List'!D:H,2,FALSE),"NA")</f>
        <v>120401</v>
      </c>
      <c r="F56" s="62" t="str">
        <f>IFERROR(VLOOKUP(D56,'Master List'!D:H,3,FALSE),"NA")</f>
        <v>120401</v>
      </c>
      <c r="G56" s="58" t="str">
        <f>IFERROR(VLOOKUP(D56,'Master List'!D:H,4,FALSE),"NA")</f>
        <v>120401</v>
      </c>
      <c r="H56" s="39" t="str">
        <f>IFERROR(VLOOKUP(D56,'Master List'!D:H,5,FALSE),"NA")</f>
        <v>Cosmetology/Cosmetologist, General.</v>
      </c>
      <c r="I56" s="19"/>
      <c r="J56" s="20"/>
      <c r="K56" s="20"/>
      <c r="L56" s="22"/>
    </row>
    <row r="57" spans="1:12" x14ac:dyDescent="0.3">
      <c r="A57" s="33">
        <v>18</v>
      </c>
      <c r="B57" s="33" t="s">
        <v>2162</v>
      </c>
      <c r="C57" s="34" t="s">
        <v>770</v>
      </c>
      <c r="D57" s="51" t="s">
        <v>430</v>
      </c>
      <c r="E57" s="61" t="str">
        <f>IFERROR(VLOOKUP(D57,'Master List'!D:H,2,FALSE),"NA")</f>
        <v>120402</v>
      </c>
      <c r="F57" s="62" t="str">
        <f>IFERROR(VLOOKUP(D57,'Master List'!D:H,3,FALSE),"NA")</f>
        <v>120402</v>
      </c>
      <c r="G57" s="58" t="str">
        <f>IFERROR(VLOOKUP(D57,'Master List'!D:H,4,FALSE),"NA")</f>
        <v>120402</v>
      </c>
      <c r="H57" s="39" t="str">
        <f>IFERROR(VLOOKUP(D57,'Master List'!D:H,5,FALSE),"NA")</f>
        <v>Barbering/Barber.</v>
      </c>
      <c r="I57" s="19"/>
      <c r="J57" s="20"/>
      <c r="K57" s="20"/>
      <c r="L57" s="22"/>
    </row>
    <row r="58" spans="1:12" x14ac:dyDescent="0.3">
      <c r="A58" s="33">
        <v>18</v>
      </c>
      <c r="B58" s="33" t="s">
        <v>2162</v>
      </c>
      <c r="C58" s="34" t="s">
        <v>770</v>
      </c>
      <c r="D58" s="51" t="s">
        <v>243</v>
      </c>
      <c r="E58" s="61" t="str">
        <f>IFERROR(VLOOKUP(D58,'Master List'!D:H,2,FALSE),"NA")</f>
        <v>120408</v>
      </c>
      <c r="F58" s="62" t="str">
        <f>IFERROR(VLOOKUP(D58,'Master List'!D:H,3,FALSE),"NA")</f>
        <v>120408</v>
      </c>
      <c r="G58" s="58" t="str">
        <f>IFERROR(VLOOKUP(D58,'Master List'!D:H,4,FALSE),"NA")</f>
        <v>120408</v>
      </c>
      <c r="H58" s="39" t="str">
        <f>IFERROR(VLOOKUP(D58,'Master List'!D:H,5,FALSE),"NA")</f>
        <v>Facial Treatment Specialist/Facialist.</v>
      </c>
      <c r="I58" s="19"/>
      <c r="J58" s="20"/>
      <c r="K58" s="20"/>
      <c r="L58" s="22"/>
    </row>
    <row r="59" spans="1:12" x14ac:dyDescent="0.3">
      <c r="A59" s="33">
        <v>18</v>
      </c>
      <c r="B59" s="33" t="s">
        <v>2162</v>
      </c>
      <c r="C59" s="34" t="s">
        <v>770</v>
      </c>
      <c r="D59" s="51" t="s">
        <v>715</v>
      </c>
      <c r="E59" s="61" t="str">
        <f>IFERROR(VLOOKUP(D59,'Master List'!D:H,2,FALSE),"NA")</f>
        <v>120410</v>
      </c>
      <c r="F59" s="62" t="str">
        <f>IFERROR(VLOOKUP(D59,'Master List'!D:H,3,FALSE),"NA")</f>
        <v>120410</v>
      </c>
      <c r="G59" s="58" t="str">
        <f>IFERROR(VLOOKUP(D59,'Master List'!D:H,4,FALSE),"NA")</f>
        <v>120410</v>
      </c>
      <c r="H59" s="39" t="str">
        <f>IFERROR(VLOOKUP(D59,'Master List'!D:H,5,FALSE),"NA")</f>
        <v>Nail Technician/Specialist and Manicurist.</v>
      </c>
      <c r="I59" s="19"/>
      <c r="J59" s="20"/>
      <c r="K59" s="20"/>
      <c r="L59" s="22"/>
    </row>
    <row r="60" spans="1:12" x14ac:dyDescent="0.3">
      <c r="A60" s="33">
        <v>18</v>
      </c>
      <c r="B60" s="33" t="s">
        <v>2162</v>
      </c>
      <c r="C60" s="34" t="s">
        <v>770</v>
      </c>
      <c r="D60" s="51" t="s">
        <v>246</v>
      </c>
      <c r="E60" s="61" t="str">
        <f>IFERROR(VLOOKUP(D60,'Master List'!D:H,2,FALSE),"NA")</f>
        <v>150000</v>
      </c>
      <c r="F60" s="62" t="str">
        <f>IFERROR(VLOOKUP(D60,'Master List'!D:H,3,FALSE),"NA")</f>
        <v>150000</v>
      </c>
      <c r="G60" s="58" t="str">
        <f>IFERROR(VLOOKUP(D60,'Master List'!D:H,4,FALSE),"NA")</f>
        <v>150000</v>
      </c>
      <c r="H60" s="39" t="str">
        <f>IFERROR(VLOOKUP(D60,'Master List'!D:H,5,FALSE),"NA")</f>
        <v>Engineering Technologies/Technicians, General.</v>
      </c>
      <c r="I60" s="19"/>
      <c r="J60" s="20"/>
      <c r="K60" s="20"/>
      <c r="L60" s="22"/>
    </row>
    <row r="61" spans="1:12" x14ac:dyDescent="0.3">
      <c r="A61" s="33">
        <v>18</v>
      </c>
      <c r="B61" s="33" t="s">
        <v>2162</v>
      </c>
      <c r="C61" s="34" t="s">
        <v>770</v>
      </c>
      <c r="D61" s="51" t="s">
        <v>50</v>
      </c>
      <c r="E61" s="61" t="str">
        <f>IFERROR(VLOOKUP(D61,'Master List'!D:H,2,FALSE),"NA")</f>
        <v>150000</v>
      </c>
      <c r="F61" s="62" t="str">
        <f>IFERROR(VLOOKUP(D61,'Master List'!D:H,3,FALSE),"NA")</f>
        <v>150000</v>
      </c>
      <c r="G61" s="58" t="str">
        <f>IFERROR(VLOOKUP(D61,'Master List'!D:H,4,FALSE),"NA")</f>
        <v>150000</v>
      </c>
      <c r="H61" s="39" t="str">
        <f>IFERROR(VLOOKUP(D61,'Master List'!D:H,5,FALSE),"NA")</f>
        <v>Engineering Technologies/Technicians, General.</v>
      </c>
      <c r="I61" s="19"/>
      <c r="J61" s="20"/>
      <c r="K61" s="20"/>
      <c r="L61" s="22"/>
    </row>
    <row r="62" spans="1:12" x14ac:dyDescent="0.3">
      <c r="A62" s="33">
        <v>18</v>
      </c>
      <c r="B62" s="33" t="s">
        <v>2162</v>
      </c>
      <c r="C62" s="34" t="s">
        <v>770</v>
      </c>
      <c r="D62" s="51" t="s">
        <v>247</v>
      </c>
      <c r="E62" s="61" t="str">
        <f>IFERROR(VLOOKUP(D62,'Master List'!D:H,2,FALSE),"NA")</f>
        <v>150000</v>
      </c>
      <c r="F62" s="62" t="str">
        <f>IFERROR(VLOOKUP(D62,'Master List'!D:H,3,FALSE),"NA")</f>
        <v>150000</v>
      </c>
      <c r="G62" s="58" t="str">
        <f>IFERROR(VLOOKUP(D62,'Master List'!D:H,4,FALSE),"NA")</f>
        <v>150000</v>
      </c>
      <c r="H62" s="39" t="str">
        <f>IFERROR(VLOOKUP(D62,'Master List'!D:H,5,FALSE),"NA")</f>
        <v>Engineering Technologies/Technicians, General.</v>
      </c>
      <c r="I62" s="19"/>
      <c r="J62" s="20"/>
      <c r="K62" s="20"/>
      <c r="L62" s="22"/>
    </row>
    <row r="63" spans="1:12" x14ac:dyDescent="0.3">
      <c r="A63" s="33">
        <v>18</v>
      </c>
      <c r="B63" s="33" t="s">
        <v>2162</v>
      </c>
      <c r="C63" s="34" t="s">
        <v>770</v>
      </c>
      <c r="D63" s="51" t="s">
        <v>248</v>
      </c>
      <c r="E63" s="61" t="str">
        <f>IFERROR(VLOOKUP(D63,'Master List'!D:H,2,FALSE),"NA")</f>
        <v>150501</v>
      </c>
      <c r="F63" s="62" t="str">
        <f>IFERROR(VLOOKUP(D63,'Master List'!D:H,3,FALSE),"NA")</f>
        <v>150501</v>
      </c>
      <c r="G63" s="58" t="str">
        <f>IFERROR(VLOOKUP(D63,'Master List'!D:H,4,FALSE),"NA")</f>
        <v>150501</v>
      </c>
      <c r="H63" s="39" t="str">
        <f>IFERROR(VLOOKUP(D63,'Master List'!D:H,5,FALSE),"NA")</f>
        <v>Heating, Ventilation, Air Conditioning and Refrigeration Engineering Technology/Technician.</v>
      </c>
      <c r="I63" s="19"/>
      <c r="J63" s="20"/>
      <c r="K63" s="20"/>
      <c r="L63" s="22"/>
    </row>
    <row r="64" spans="1:12" x14ac:dyDescent="0.3">
      <c r="A64" s="33">
        <v>18</v>
      </c>
      <c r="B64" s="33" t="s">
        <v>2162</v>
      </c>
      <c r="C64" s="34" t="s">
        <v>770</v>
      </c>
      <c r="D64" s="51" t="s">
        <v>629</v>
      </c>
      <c r="E64" s="61" t="str">
        <f>IFERROR(VLOOKUP(D64,'Master List'!D:H,2,FALSE),"NA")</f>
        <v>150503</v>
      </c>
      <c r="F64" s="62" t="str">
        <f>IFERROR(VLOOKUP(D64,'Master List'!D:H,3,FALSE),"NA")</f>
        <v>151701</v>
      </c>
      <c r="G64" s="58" t="str">
        <f>IFERROR(VLOOKUP(D64,'Master List'!D:H,4,FALSE),"NA")</f>
        <v>151701</v>
      </c>
      <c r="H64" s="39" t="str">
        <f>IFERROR(VLOOKUP(D64,'Master List'!D:H,5,FALSE),"NA")</f>
        <v>Energy Systems Technology/Technician.</v>
      </c>
      <c r="I64" s="19"/>
      <c r="J64" s="20"/>
      <c r="K64" s="20"/>
      <c r="L64" s="22"/>
    </row>
    <row r="65" spans="1:12" x14ac:dyDescent="0.3">
      <c r="A65" s="33">
        <v>18</v>
      </c>
      <c r="B65" s="33" t="s">
        <v>2162</v>
      </c>
      <c r="C65" s="34" t="s">
        <v>770</v>
      </c>
      <c r="D65" s="51" t="s">
        <v>781</v>
      </c>
      <c r="E65" s="61" t="str">
        <f>IFERROR(VLOOKUP(D65,'Master List'!D:H,2,FALSE),"NA")</f>
        <v>150613</v>
      </c>
      <c r="F65" s="62" t="str">
        <f>IFERROR(VLOOKUP(D65,'Master List'!D:H,3,FALSE),"NA")</f>
        <v>150613</v>
      </c>
      <c r="G65" s="58" t="str">
        <f>IFERROR(VLOOKUP(D65,'Master List'!D:H,4,FALSE),"NA")</f>
        <v>150613</v>
      </c>
      <c r="H65" s="39" t="str">
        <f>IFERROR(VLOOKUP(D65,'Master List'!D:H,5,FALSE),"NA")</f>
        <v>Manufacturing Engineering Technology/Technician.</v>
      </c>
      <c r="I65" s="19"/>
      <c r="J65" s="20"/>
      <c r="K65" s="20"/>
      <c r="L65" s="22"/>
    </row>
    <row r="66" spans="1:12" x14ac:dyDescent="0.3">
      <c r="A66" s="33">
        <v>18</v>
      </c>
      <c r="B66" s="33" t="s">
        <v>2162</v>
      </c>
      <c r="C66" s="34" t="s">
        <v>770</v>
      </c>
      <c r="D66" s="51" t="s">
        <v>265</v>
      </c>
      <c r="E66" s="61" t="str">
        <f>IFERROR(VLOOKUP(D66,'Master List'!D:H,2,FALSE),"NA")</f>
        <v>261201</v>
      </c>
      <c r="F66" s="62" t="str">
        <f>IFERROR(VLOOKUP(D66,'Master List'!D:H,3,FALSE),"NA")</f>
        <v>261201</v>
      </c>
      <c r="G66" s="58" t="str">
        <f>IFERROR(VLOOKUP(D66,'Master List'!D:H,4,FALSE),"NA")</f>
        <v>261201</v>
      </c>
      <c r="H66" s="39" t="str">
        <f>IFERROR(VLOOKUP(D66,'Master List'!D:H,5,FALSE),"NA")</f>
        <v>Biotechnology.</v>
      </c>
      <c r="I66" s="19"/>
      <c r="J66" s="20"/>
      <c r="K66" s="20"/>
      <c r="L66" s="22"/>
    </row>
    <row r="67" spans="1:12" x14ac:dyDescent="0.3">
      <c r="A67" s="33">
        <v>18</v>
      </c>
      <c r="B67" s="33" t="s">
        <v>2162</v>
      </c>
      <c r="C67" s="34" t="s">
        <v>770</v>
      </c>
      <c r="D67" s="51" t="s">
        <v>272</v>
      </c>
      <c r="E67" s="61" t="str">
        <f>IFERROR(VLOOKUP(D67,'Master List'!D:H,2,FALSE),"NA")</f>
        <v>460302</v>
      </c>
      <c r="F67" s="62" t="str">
        <f>IFERROR(VLOOKUP(D67,'Master List'!D:H,3,FALSE),"NA")</f>
        <v>460302</v>
      </c>
      <c r="G67" s="58" t="str">
        <f>IFERROR(VLOOKUP(D67,'Master List'!D:H,4,FALSE),"NA")</f>
        <v>460302</v>
      </c>
      <c r="H67" s="39" t="str">
        <f>IFERROR(VLOOKUP(D67,'Master List'!D:H,5,FALSE),"NA")</f>
        <v>Electrician.</v>
      </c>
      <c r="I67" s="19"/>
      <c r="J67" s="20"/>
      <c r="K67" s="20"/>
      <c r="L67" s="22"/>
    </row>
    <row r="68" spans="1:12" x14ac:dyDescent="0.3">
      <c r="A68" s="33">
        <v>18</v>
      </c>
      <c r="B68" s="33" t="s">
        <v>2162</v>
      </c>
      <c r="C68" s="34" t="s">
        <v>770</v>
      </c>
      <c r="D68" s="51" t="s">
        <v>782</v>
      </c>
      <c r="E68" s="61" t="str">
        <f>IFERROR(VLOOKUP(D68,'Master List'!D:H,2,FALSE),"NA")</f>
        <v>470101</v>
      </c>
      <c r="F68" s="62" t="str">
        <f>IFERROR(VLOOKUP(D68,'Master List'!D:H,3,FALSE),"NA")</f>
        <v>470101</v>
      </c>
      <c r="G68" s="58" t="str">
        <f>IFERROR(VLOOKUP(D68,'Master List'!D:H,4,FALSE),"NA")</f>
        <v>470101</v>
      </c>
      <c r="H68" s="39" t="str">
        <f>IFERROR(VLOOKUP(D68,'Master List'!D:H,5,FALSE),"NA")</f>
        <v>Electrical/Electronics Equipment Installation and Repair Technology/Technician, General.</v>
      </c>
      <c r="I68" s="19"/>
      <c r="J68" s="20"/>
      <c r="K68" s="20"/>
      <c r="L68" s="22"/>
    </row>
    <row r="69" spans="1:12" x14ac:dyDescent="0.3">
      <c r="A69" s="33">
        <v>18</v>
      </c>
      <c r="B69" s="33" t="s">
        <v>2162</v>
      </c>
      <c r="C69" s="34" t="s">
        <v>770</v>
      </c>
      <c r="D69" s="51" t="s">
        <v>275</v>
      </c>
      <c r="E69" s="61" t="str">
        <f>IFERROR(VLOOKUP(D69,'Master List'!D:H,2,FALSE),"NA")</f>
        <v>470201</v>
      </c>
      <c r="F69" s="62" t="str">
        <f>IFERROR(VLOOKUP(D69,'Master List'!D:H,3,FALSE),"NA")</f>
        <v>470201</v>
      </c>
      <c r="G69" s="58" t="str">
        <f>IFERROR(VLOOKUP(D69,'Master List'!D:H,4,FALSE),"NA")</f>
        <v>470201</v>
      </c>
      <c r="H69" s="39" t="str">
        <f>IFERROR(VLOOKUP(D69,'Master List'!D:H,5,FALSE),"NA")</f>
        <v>Heating, Air Conditioning, Ventilation and Refrigeration Maintenance Technology/Technician.</v>
      </c>
      <c r="I69" s="19"/>
      <c r="J69" s="20"/>
      <c r="K69" s="20"/>
      <c r="L69" s="22"/>
    </row>
    <row r="70" spans="1:12" x14ac:dyDescent="0.3">
      <c r="A70" s="33">
        <v>18</v>
      </c>
      <c r="B70" s="33" t="s">
        <v>2162</v>
      </c>
      <c r="C70" s="34" t="s">
        <v>770</v>
      </c>
      <c r="D70" s="51" t="s">
        <v>785</v>
      </c>
      <c r="E70" s="61" t="str">
        <f>IFERROR(VLOOKUP(D70,'Master List'!D:H,2,FALSE),"NA")</f>
        <v>470302</v>
      </c>
      <c r="F70" s="62" t="str">
        <f>IFERROR(VLOOKUP(D70,'Master List'!D:H,3,FALSE),"NA")</f>
        <v>470302</v>
      </c>
      <c r="G70" s="58" t="str">
        <f>IFERROR(VLOOKUP(D70,'Master List'!D:H,4,FALSE),"NA")</f>
        <v>470302</v>
      </c>
      <c r="H70" s="39" t="str">
        <f>IFERROR(VLOOKUP(D70,'Master List'!D:H,5,FALSE),"NA")</f>
        <v>Heavy Equipment Maintenance Technology/Technician.</v>
      </c>
      <c r="I70" s="19"/>
      <c r="J70" s="20"/>
      <c r="K70" s="20"/>
      <c r="L70" s="22"/>
    </row>
    <row r="71" spans="1:12" x14ac:dyDescent="0.3">
      <c r="A71" s="33">
        <v>18</v>
      </c>
      <c r="B71" s="33" t="s">
        <v>2162</v>
      </c>
      <c r="C71" s="34" t="s">
        <v>770</v>
      </c>
      <c r="D71" s="51" t="s">
        <v>449</v>
      </c>
      <c r="E71" s="61" t="str">
        <f>IFERROR(VLOOKUP(D71,'Master List'!D:H,2,FALSE),"NA")</f>
        <v>470604</v>
      </c>
      <c r="F71" s="62" t="str">
        <f>IFERROR(VLOOKUP(D71,'Master List'!D:H,3,FALSE),"NA")</f>
        <v>470604</v>
      </c>
      <c r="G71" s="58" t="str">
        <f>IFERROR(VLOOKUP(D71,'Master List'!D:H,4,FALSE),"NA")</f>
        <v>470604</v>
      </c>
      <c r="H71" s="39" t="str">
        <f>IFERROR(VLOOKUP(D71,'Master List'!D:H,5,FALSE),"NA")</f>
        <v>Automobile/Automotive Mechanics Technology/Technician.</v>
      </c>
      <c r="I71" s="19"/>
      <c r="J71" s="20"/>
      <c r="K71" s="20"/>
      <c r="L71" s="22"/>
    </row>
    <row r="72" spans="1:12" x14ac:dyDescent="0.3">
      <c r="A72" s="33">
        <v>18</v>
      </c>
      <c r="B72" s="33" t="s">
        <v>2162</v>
      </c>
      <c r="C72" s="34" t="s">
        <v>770</v>
      </c>
      <c r="D72" s="51" t="s">
        <v>788</v>
      </c>
      <c r="E72" s="61" t="str">
        <f>IFERROR(VLOOKUP(D72,'Master List'!D:H,2,FALSE),"NA")</f>
        <v>470604</v>
      </c>
      <c r="F72" s="62" t="str">
        <f>IFERROR(VLOOKUP(D72,'Master List'!D:H,3,FALSE),"NA")</f>
        <v>470604</v>
      </c>
      <c r="G72" s="58" t="str">
        <f>IFERROR(VLOOKUP(D72,'Master List'!D:H,4,FALSE),"NA")</f>
        <v>470604</v>
      </c>
      <c r="H72" s="39" t="str">
        <f>IFERROR(VLOOKUP(D72,'Master List'!D:H,5,FALSE),"NA")</f>
        <v>Automobile/Automotive Mechanics Technology/Technician.</v>
      </c>
      <c r="I72" s="19"/>
      <c r="J72" s="20"/>
      <c r="K72" s="20"/>
      <c r="L72" s="22"/>
    </row>
    <row r="73" spans="1:12" x14ac:dyDescent="0.3">
      <c r="A73" s="33">
        <v>18</v>
      </c>
      <c r="B73" s="33" t="s">
        <v>2162</v>
      </c>
      <c r="C73" s="34" t="s">
        <v>770</v>
      </c>
      <c r="D73" s="51" t="s">
        <v>789</v>
      </c>
      <c r="E73" s="61" t="str">
        <f>IFERROR(VLOOKUP(D73,'Master List'!D:H,2,FALSE),"NA")</f>
        <v>470604</v>
      </c>
      <c r="F73" s="62" t="str">
        <f>IFERROR(VLOOKUP(D73,'Master List'!D:H,3,FALSE),"NA")</f>
        <v>470604</v>
      </c>
      <c r="G73" s="58" t="str">
        <f>IFERROR(VLOOKUP(D73,'Master List'!D:H,4,FALSE),"NA")</f>
        <v>470604</v>
      </c>
      <c r="H73" s="39" t="str">
        <f>IFERROR(VLOOKUP(D73,'Master List'!D:H,5,FALSE),"NA")</f>
        <v>Automobile/Automotive Mechanics Technology/Technician.</v>
      </c>
      <c r="I73" s="19"/>
      <c r="J73" s="20"/>
      <c r="K73" s="20"/>
      <c r="L73" s="22"/>
    </row>
    <row r="74" spans="1:12" x14ac:dyDescent="0.3">
      <c r="A74" s="33">
        <v>18</v>
      </c>
      <c r="B74" s="33" t="s">
        <v>2162</v>
      </c>
      <c r="C74" s="34" t="s">
        <v>770</v>
      </c>
      <c r="D74" s="51" t="s">
        <v>790</v>
      </c>
      <c r="E74" s="61" t="str">
        <f>IFERROR(VLOOKUP(D74,'Master List'!D:H,2,FALSE),"NA")</f>
        <v>470604</v>
      </c>
      <c r="F74" s="62" t="str">
        <f>IFERROR(VLOOKUP(D74,'Master List'!D:H,3,FALSE),"NA")</f>
        <v>470604</v>
      </c>
      <c r="G74" s="58" t="str">
        <f>IFERROR(VLOOKUP(D74,'Master List'!D:H,4,FALSE),"NA")</f>
        <v>470604</v>
      </c>
      <c r="H74" s="39" t="str">
        <f>IFERROR(VLOOKUP(D74,'Master List'!D:H,5,FALSE),"NA")</f>
        <v>Automobile/Automotive Mechanics Technology/Technician.</v>
      </c>
      <c r="I74" s="19"/>
      <c r="J74" s="20"/>
      <c r="K74" s="20"/>
      <c r="L74" s="22"/>
    </row>
    <row r="75" spans="1:12" x14ac:dyDescent="0.3">
      <c r="A75" s="33">
        <v>18</v>
      </c>
      <c r="B75" s="33" t="s">
        <v>2162</v>
      </c>
      <c r="C75" s="34" t="s">
        <v>770</v>
      </c>
      <c r="D75" s="51" t="s">
        <v>280</v>
      </c>
      <c r="E75" s="61" t="str">
        <f>IFERROR(VLOOKUP(D75,'Master List'!D:H,2,FALSE),"NA")</f>
        <v>470605</v>
      </c>
      <c r="F75" s="62" t="str">
        <f>IFERROR(VLOOKUP(D75,'Master List'!D:H,3,FALSE),"NA")</f>
        <v>470605</v>
      </c>
      <c r="G75" s="58" t="str">
        <f>IFERROR(VLOOKUP(D75,'Master List'!D:H,4,FALSE),"NA")</f>
        <v>470605</v>
      </c>
      <c r="H75" s="39" t="str">
        <f>IFERROR(VLOOKUP(D75,'Master List'!D:H,5,FALSE),"NA")</f>
        <v>Diesel Mechanics Technology/Technician.</v>
      </c>
      <c r="I75" s="19"/>
      <c r="J75" s="20"/>
      <c r="K75" s="20"/>
      <c r="L75" s="22"/>
    </row>
    <row r="76" spans="1:12" x14ac:dyDescent="0.3">
      <c r="A76" s="33">
        <v>18</v>
      </c>
      <c r="B76" s="33" t="s">
        <v>2162</v>
      </c>
      <c r="C76" s="34" t="s">
        <v>770</v>
      </c>
      <c r="D76" s="51" t="s">
        <v>288</v>
      </c>
      <c r="E76" s="61" t="str">
        <f>IFERROR(VLOOKUP(D76,'Master List'!D:H,2,FALSE),"NA")</f>
        <v>470613</v>
      </c>
      <c r="F76" s="62" t="str">
        <f>IFERROR(VLOOKUP(D76,'Master List'!D:H,3,FALSE),"NA")</f>
        <v>470613</v>
      </c>
      <c r="G76" s="58" t="str">
        <f>IFERROR(VLOOKUP(D76,'Master List'!D:H,4,FALSE),"NA")</f>
        <v>470613</v>
      </c>
      <c r="H76" s="39" t="str">
        <f>IFERROR(VLOOKUP(D76,'Master List'!D:H,5,FALSE),"NA")</f>
        <v>Medium/Heavy Vehicle and Truck Technology/Technician.</v>
      </c>
      <c r="I76" s="19"/>
      <c r="J76" s="20"/>
      <c r="K76" s="20"/>
      <c r="L76" s="22"/>
    </row>
    <row r="77" spans="1:12" x14ac:dyDescent="0.3">
      <c r="A77" s="33">
        <v>18</v>
      </c>
      <c r="B77" s="33" t="s">
        <v>2162</v>
      </c>
      <c r="C77" s="34" t="s">
        <v>770</v>
      </c>
      <c r="D77" s="51" t="s">
        <v>791</v>
      </c>
      <c r="E77" s="61" t="str">
        <f>IFERROR(VLOOKUP(D77,'Master List'!D:H,2,FALSE),"NA")</f>
        <v>470616</v>
      </c>
      <c r="F77" s="62" t="str">
        <f>IFERROR(VLOOKUP(D77,'Master List'!D:H,3,FALSE),"NA")</f>
        <v>470616</v>
      </c>
      <c r="G77" s="58" t="str">
        <f>IFERROR(VLOOKUP(D77,'Master List'!D:H,4,FALSE),"NA")</f>
        <v>470616</v>
      </c>
      <c r="H77" s="39" t="str">
        <f>IFERROR(VLOOKUP(D77,'Master List'!D:H,5,FALSE),"NA")</f>
        <v>Marine Maintenance/Fitter and Ship Repair Technology/Technician.</v>
      </c>
      <c r="I77" s="19"/>
      <c r="J77" s="20"/>
      <c r="K77" s="20"/>
      <c r="L77" s="22"/>
    </row>
    <row r="78" spans="1:12" x14ac:dyDescent="0.3">
      <c r="A78" s="33">
        <v>18</v>
      </c>
      <c r="B78" s="33" t="s">
        <v>2162</v>
      </c>
      <c r="C78" s="34" t="s">
        <v>770</v>
      </c>
      <c r="D78" s="51" t="s">
        <v>794</v>
      </c>
      <c r="E78" s="61" t="str">
        <f>IFERROR(VLOOKUP(D78,'Master List'!D:H,2,FALSE),"NA")</f>
        <v>480503</v>
      </c>
      <c r="F78" s="62" t="str">
        <f>IFERROR(VLOOKUP(D78,'Master List'!D:H,3,FALSE),"NA")</f>
        <v>480503</v>
      </c>
      <c r="G78" s="58" t="str">
        <f>IFERROR(VLOOKUP(D78,'Master List'!D:H,4,FALSE),"NA")</f>
        <v>480503</v>
      </c>
      <c r="H78" s="39" t="str">
        <f>IFERROR(VLOOKUP(D78,'Master List'!D:H,5,FALSE),"NA")</f>
        <v>Machine Shop Technology/Assistant.</v>
      </c>
      <c r="I78" s="19"/>
      <c r="J78" s="20"/>
      <c r="K78" s="20"/>
      <c r="L78" s="22"/>
    </row>
    <row r="79" spans="1:12" x14ac:dyDescent="0.3">
      <c r="A79" s="33">
        <v>18</v>
      </c>
      <c r="B79" s="33" t="s">
        <v>2162</v>
      </c>
      <c r="C79" s="34" t="s">
        <v>770</v>
      </c>
      <c r="D79" s="51" t="s">
        <v>291</v>
      </c>
      <c r="E79" s="61" t="str">
        <f>IFERROR(VLOOKUP(D79,'Master List'!D:H,2,FALSE),"NA")</f>
        <v>480508</v>
      </c>
      <c r="F79" s="62" t="str">
        <f>IFERROR(VLOOKUP(D79,'Master List'!D:H,3,FALSE),"NA")</f>
        <v>480508</v>
      </c>
      <c r="G79" s="58" t="str">
        <f>IFERROR(VLOOKUP(D79,'Master List'!D:H,4,FALSE),"NA")</f>
        <v>480508</v>
      </c>
      <c r="H79" s="39" t="str">
        <f>IFERROR(VLOOKUP(D79,'Master List'!D:H,5,FALSE),"NA")</f>
        <v>Welding Technology/Welder.</v>
      </c>
      <c r="I79" s="19"/>
      <c r="J79" s="20"/>
      <c r="K79" s="20"/>
      <c r="L79" s="22"/>
    </row>
    <row r="80" spans="1:12" x14ac:dyDescent="0.3">
      <c r="A80" s="33">
        <v>18</v>
      </c>
      <c r="B80" s="33" t="s">
        <v>2162</v>
      </c>
      <c r="C80" s="34" t="s">
        <v>770</v>
      </c>
      <c r="D80" s="51" t="s">
        <v>567</v>
      </c>
      <c r="E80" s="61" t="str">
        <f>IFERROR(VLOOKUP(D80,'Master List'!D:H,2,FALSE),"NA")</f>
        <v>500602</v>
      </c>
      <c r="F80" s="62" t="str">
        <f>IFERROR(VLOOKUP(D80,'Master List'!D:H,3,FALSE),"NA")</f>
        <v>500602</v>
      </c>
      <c r="G80" s="58" t="str">
        <f>IFERROR(VLOOKUP(D80,'Master List'!D:H,4,FALSE),"NA")</f>
        <v>500602</v>
      </c>
      <c r="H80" s="39" t="str">
        <f>IFERROR(VLOOKUP(D80,'Master List'!D:H,5,FALSE),"NA")</f>
        <v>Cinematography and Film/Video Production.</v>
      </c>
      <c r="I80" s="19"/>
      <c r="J80" s="20"/>
      <c r="K80" s="20"/>
      <c r="L80" s="22"/>
    </row>
    <row r="81" spans="1:12" x14ac:dyDescent="0.3">
      <c r="A81" s="33">
        <v>18</v>
      </c>
      <c r="B81" s="33" t="s">
        <v>2162</v>
      </c>
      <c r="C81" s="34" t="s">
        <v>770</v>
      </c>
      <c r="D81" s="51" t="s">
        <v>744</v>
      </c>
      <c r="E81" s="61" t="str">
        <f>IFERROR(VLOOKUP(D81,'Master List'!D:H,2,FALSE),"NA")</f>
        <v>500602</v>
      </c>
      <c r="F81" s="62" t="str">
        <f>IFERROR(VLOOKUP(D81,'Master List'!D:H,3,FALSE),"NA")</f>
        <v>500602</v>
      </c>
      <c r="G81" s="58" t="str">
        <f>IFERROR(VLOOKUP(D81,'Master List'!D:H,4,FALSE),"NA")</f>
        <v>500602</v>
      </c>
      <c r="H81" s="39" t="str">
        <f>IFERROR(VLOOKUP(D81,'Master List'!D:H,5,FALSE),"NA")</f>
        <v>Cinematography and Film/Video Production.</v>
      </c>
      <c r="I81" s="19"/>
      <c r="J81" s="20"/>
      <c r="K81" s="20"/>
      <c r="L81" s="22"/>
    </row>
    <row r="82" spans="1:12" x14ac:dyDescent="0.3">
      <c r="A82" s="33">
        <v>18</v>
      </c>
      <c r="B82" s="33" t="s">
        <v>2162</v>
      </c>
      <c r="C82" s="34" t="s">
        <v>770</v>
      </c>
      <c r="D82" s="51" t="s">
        <v>745</v>
      </c>
      <c r="E82" s="61" t="str">
        <f>IFERROR(VLOOKUP(D82,'Master List'!D:H,2,FALSE),"NA")</f>
        <v>500602</v>
      </c>
      <c r="F82" s="62" t="str">
        <f>IFERROR(VLOOKUP(D82,'Master List'!D:H,3,FALSE),"NA")</f>
        <v>500602</v>
      </c>
      <c r="G82" s="58" t="str">
        <f>IFERROR(VLOOKUP(D82,'Master List'!D:H,4,FALSE),"NA")</f>
        <v>500602</v>
      </c>
      <c r="H82" s="39" t="str">
        <f>IFERROR(VLOOKUP(D82,'Master List'!D:H,5,FALSE),"NA")</f>
        <v>Cinematography and Film/Video Production.</v>
      </c>
      <c r="I82" s="19"/>
      <c r="J82" s="20"/>
      <c r="K82" s="20"/>
      <c r="L82" s="22"/>
    </row>
    <row r="83" spans="1:12" x14ac:dyDescent="0.3">
      <c r="A83" s="33">
        <v>18</v>
      </c>
      <c r="B83" s="33" t="s">
        <v>2162</v>
      </c>
      <c r="C83" s="34" t="s">
        <v>770</v>
      </c>
      <c r="D83" s="51" t="s">
        <v>746</v>
      </c>
      <c r="E83" s="61" t="str">
        <f>IFERROR(VLOOKUP(D83,'Master List'!D:H,2,FALSE),"NA")</f>
        <v>500602</v>
      </c>
      <c r="F83" s="62" t="str">
        <f>IFERROR(VLOOKUP(D83,'Master List'!D:H,3,FALSE),"NA")</f>
        <v>500602</v>
      </c>
      <c r="G83" s="58" t="str">
        <f>IFERROR(VLOOKUP(D83,'Master List'!D:H,4,FALSE),"NA")</f>
        <v>500602</v>
      </c>
      <c r="H83" s="39" t="str">
        <f>IFERROR(VLOOKUP(D83,'Master List'!D:H,5,FALSE),"NA")</f>
        <v>Cinematography and Film/Video Production.</v>
      </c>
      <c r="I83" s="19"/>
      <c r="J83" s="20"/>
      <c r="K83" s="20"/>
      <c r="L83" s="22"/>
    </row>
    <row r="84" spans="1:12" x14ac:dyDescent="0.3">
      <c r="A84" s="33">
        <v>18</v>
      </c>
      <c r="B84" s="33" t="s">
        <v>2162</v>
      </c>
      <c r="C84" s="34" t="s">
        <v>770</v>
      </c>
      <c r="D84" s="51" t="s">
        <v>65</v>
      </c>
      <c r="E84" s="61" t="str">
        <f>IFERROR(VLOOKUP(D84,'Master List'!D:H,2,FALSE),"NA")</f>
        <v>520209</v>
      </c>
      <c r="F84" s="62" t="str">
        <f>IFERROR(VLOOKUP(D84,'Master List'!D:H,3,FALSE),"NA")</f>
        <v>520209</v>
      </c>
      <c r="G84" s="58" t="str">
        <f>IFERROR(VLOOKUP(D84,'Master List'!D:H,4,FALSE),"NA")</f>
        <v>520209</v>
      </c>
      <c r="H84" s="39" t="str">
        <f>IFERROR(VLOOKUP(D84,'Master List'!D:H,5,FALSE),"NA")</f>
        <v>Transportation/Mobility Management.</v>
      </c>
      <c r="I84" s="19"/>
      <c r="J84" s="20"/>
      <c r="K84" s="20"/>
      <c r="L84" s="22"/>
    </row>
    <row r="85" spans="1:12" x14ac:dyDescent="0.3">
      <c r="A85" s="33">
        <v>18</v>
      </c>
      <c r="B85" s="33" t="s">
        <v>2162</v>
      </c>
      <c r="C85" s="34" t="s">
        <v>770</v>
      </c>
      <c r="D85" s="51" t="s">
        <v>311</v>
      </c>
      <c r="E85" s="61" t="str">
        <f>IFERROR(VLOOKUP(D85,'Master List'!D:H,2,FALSE),"NA")</f>
        <v>030104</v>
      </c>
      <c r="F85" s="62" t="str">
        <f>IFERROR(VLOOKUP(D85,'Master List'!D:H,3,FALSE),"NA")</f>
        <v>030104</v>
      </c>
      <c r="G85" s="58" t="str">
        <f>IFERROR(VLOOKUP(D85,'Master List'!D:H,4,FALSE),"NA")</f>
        <v>030104</v>
      </c>
      <c r="H85" s="39" t="str">
        <f>IFERROR(VLOOKUP(D85,'Master List'!D:H,5,FALSE),"NA")</f>
        <v>Environmental Science.</v>
      </c>
      <c r="I85" s="19"/>
      <c r="J85" s="20"/>
      <c r="K85" s="20"/>
      <c r="L85" s="22"/>
    </row>
    <row r="86" spans="1:12" x14ac:dyDescent="0.3">
      <c r="A86" s="33">
        <v>18</v>
      </c>
      <c r="B86" s="33" t="s">
        <v>2162</v>
      </c>
      <c r="C86" s="34" t="s">
        <v>770</v>
      </c>
      <c r="D86" s="51" t="s">
        <v>314</v>
      </c>
      <c r="E86" s="61" t="str">
        <f>IFERROR(VLOOKUP(D86,'Master List'!D:H,2,FALSE),"NA")</f>
        <v>030104</v>
      </c>
      <c r="F86" s="62" t="str">
        <f>IFERROR(VLOOKUP(D86,'Master List'!D:H,3,FALSE),"NA")</f>
        <v>030104</v>
      </c>
      <c r="G86" s="58" t="str">
        <f>IFERROR(VLOOKUP(D86,'Master List'!D:H,4,FALSE),"NA")</f>
        <v>030104</v>
      </c>
      <c r="H86" s="39" t="str">
        <f>IFERROR(VLOOKUP(D86,'Master List'!D:H,5,FALSE),"NA")</f>
        <v>Environmental Science.</v>
      </c>
      <c r="I86" s="19"/>
      <c r="J86" s="20"/>
      <c r="K86" s="20"/>
      <c r="L86" s="22"/>
    </row>
    <row r="87" spans="1:12" x14ac:dyDescent="0.3">
      <c r="A87" s="33">
        <v>18</v>
      </c>
      <c r="B87" s="33" t="s">
        <v>2162</v>
      </c>
      <c r="C87" s="34" t="s">
        <v>770</v>
      </c>
      <c r="D87" s="51" t="s">
        <v>68</v>
      </c>
      <c r="E87" s="61" t="str">
        <f>IFERROR(VLOOKUP(D87,'Master List'!D:H,2,FALSE),"NA")</f>
        <v>430102</v>
      </c>
      <c r="F87" s="62" t="str">
        <f>IFERROR(VLOOKUP(D87,'Master List'!D:H,3,FALSE),"NA")</f>
        <v>430102</v>
      </c>
      <c r="G87" s="58" t="str">
        <f>IFERROR(VLOOKUP(D87,'Master List'!D:H,4,FALSE),"NA")</f>
        <v>430102</v>
      </c>
      <c r="H87" s="39" t="str">
        <f>IFERROR(VLOOKUP(D87,'Master List'!D:H,5,FALSE),"NA")</f>
        <v>Corrections.</v>
      </c>
      <c r="I87" s="19"/>
      <c r="J87" s="20"/>
      <c r="K87" s="20"/>
      <c r="L87" s="22"/>
    </row>
    <row r="88" spans="1:12" x14ac:dyDescent="0.3">
      <c r="A88" s="33">
        <v>18</v>
      </c>
      <c r="B88" s="33" t="s">
        <v>2162</v>
      </c>
      <c r="C88" s="34" t="s">
        <v>770</v>
      </c>
      <c r="D88" s="51" t="s">
        <v>484</v>
      </c>
      <c r="E88" s="61" t="str">
        <f>IFERROR(VLOOKUP(D88,'Master List'!D:H,2,FALSE),"NA")</f>
        <v>430102</v>
      </c>
      <c r="F88" s="62" t="str">
        <f>IFERROR(VLOOKUP(D88,'Master List'!D:H,3,FALSE),"NA")</f>
        <v>430102</v>
      </c>
      <c r="G88" s="58" t="str">
        <f>IFERROR(VLOOKUP(D88,'Master List'!D:H,4,FALSE),"NA")</f>
        <v>430102</v>
      </c>
      <c r="H88" s="39" t="str">
        <f>IFERROR(VLOOKUP(D88,'Master List'!D:H,5,FALSE),"NA")</f>
        <v>Corrections.</v>
      </c>
      <c r="I88" s="19"/>
      <c r="J88" s="20"/>
      <c r="K88" s="20"/>
      <c r="L88" s="22"/>
    </row>
    <row r="89" spans="1:12" x14ac:dyDescent="0.3">
      <c r="A89" s="33">
        <v>18</v>
      </c>
      <c r="B89" s="33" t="s">
        <v>2162</v>
      </c>
      <c r="C89" s="34" t="s">
        <v>770</v>
      </c>
      <c r="D89" s="51" t="s">
        <v>395</v>
      </c>
      <c r="E89" s="61" t="str">
        <f>IFERROR(VLOOKUP(D89,'Master List'!D:H,2,FALSE),"NA")</f>
        <v>430106</v>
      </c>
      <c r="F89" s="62" t="str">
        <f>IFERROR(VLOOKUP(D89,'Master List'!D:H,3,FALSE),"NA")</f>
        <v>430406</v>
      </c>
      <c r="G89" s="58" t="str">
        <f>IFERROR(VLOOKUP(D89,'Master List'!D:H,4,FALSE),"NA")</f>
        <v>430406</v>
      </c>
      <c r="H89" s="39" t="str">
        <f>IFERROR(VLOOKUP(D89,'Master List'!D:H,5,FALSE),"NA")</f>
        <v>Forensic Science and Technology.</v>
      </c>
      <c r="I89" s="19"/>
      <c r="J89" s="20"/>
      <c r="K89" s="20"/>
      <c r="L89" s="22"/>
    </row>
    <row r="90" spans="1:12" x14ac:dyDescent="0.3">
      <c r="A90" s="33">
        <v>18</v>
      </c>
      <c r="B90" s="33" t="s">
        <v>2162</v>
      </c>
      <c r="C90" s="34" t="s">
        <v>770</v>
      </c>
      <c r="D90" s="51" t="s">
        <v>71</v>
      </c>
      <c r="E90" s="61" t="str">
        <f>IFERROR(VLOOKUP(D90,'Master List'!D:H,2,FALSE),"NA")</f>
        <v>430107</v>
      </c>
      <c r="F90" s="62" t="str">
        <f>IFERROR(VLOOKUP(D90,'Master List'!D:H,3,FALSE),"NA")</f>
        <v>430107</v>
      </c>
      <c r="G90" s="58" t="str">
        <f>IFERROR(VLOOKUP(D90,'Master List'!D:H,4,FALSE),"NA")</f>
        <v>430107</v>
      </c>
      <c r="H90" s="39" t="str">
        <f>IFERROR(VLOOKUP(D90,'Master List'!D:H,5,FALSE),"NA")</f>
        <v>Criminal Justice/Police Science.</v>
      </c>
      <c r="I90" s="19"/>
      <c r="J90" s="20"/>
      <c r="K90" s="20"/>
      <c r="L90" s="22"/>
    </row>
    <row r="91" spans="1:12" x14ac:dyDescent="0.3">
      <c r="A91" s="33">
        <v>18</v>
      </c>
      <c r="B91" s="33" t="s">
        <v>2162</v>
      </c>
      <c r="C91" s="34" t="s">
        <v>770</v>
      </c>
      <c r="D91" s="51" t="s">
        <v>74</v>
      </c>
      <c r="E91" s="61" t="str">
        <f>IFERROR(VLOOKUP(D91,'Master List'!D:H,2,FALSE),"NA")</f>
        <v>430107</v>
      </c>
      <c r="F91" s="62" t="str">
        <f>IFERROR(VLOOKUP(D91,'Master List'!D:H,3,FALSE),"NA")</f>
        <v>430107</v>
      </c>
      <c r="G91" s="58" t="str">
        <f>IFERROR(VLOOKUP(D91,'Master List'!D:H,4,FALSE),"NA")</f>
        <v>430107</v>
      </c>
      <c r="H91" s="39" t="str">
        <f>IFERROR(VLOOKUP(D91,'Master List'!D:H,5,FALSE),"NA")</f>
        <v>Criminal Justice/Police Science.</v>
      </c>
      <c r="I91" s="19"/>
      <c r="J91" s="20"/>
      <c r="K91" s="20"/>
      <c r="L91" s="22"/>
    </row>
    <row r="92" spans="1:12" x14ac:dyDescent="0.3">
      <c r="A92" s="33">
        <v>18</v>
      </c>
      <c r="B92" s="33" t="s">
        <v>2162</v>
      </c>
      <c r="C92" s="34" t="s">
        <v>770</v>
      </c>
      <c r="D92" s="51" t="s">
        <v>702</v>
      </c>
      <c r="E92" s="61" t="str">
        <f>IFERROR(VLOOKUP(D92,'Master List'!D:H,2,FALSE),"NA")</f>
        <v>430107</v>
      </c>
      <c r="F92" s="62" t="str">
        <f>IFERROR(VLOOKUP(D92,'Master List'!D:H,3,FALSE),"NA")</f>
        <v>430107</v>
      </c>
      <c r="G92" s="58" t="str">
        <f>IFERROR(VLOOKUP(D92,'Master List'!D:H,4,FALSE),"NA")</f>
        <v>430107</v>
      </c>
      <c r="H92" s="39" t="str">
        <f>IFERROR(VLOOKUP(D92,'Master List'!D:H,5,FALSE),"NA")</f>
        <v>Criminal Justice/Police Science.</v>
      </c>
      <c r="I92" s="19"/>
      <c r="J92" s="20"/>
      <c r="K92" s="20"/>
      <c r="L92" s="22"/>
    </row>
    <row r="93" spans="1:12" x14ac:dyDescent="0.3">
      <c r="A93" s="33">
        <v>18</v>
      </c>
      <c r="B93" s="33" t="s">
        <v>2162</v>
      </c>
      <c r="C93" s="34" t="s">
        <v>770</v>
      </c>
      <c r="D93" s="51" t="s">
        <v>795</v>
      </c>
      <c r="E93" s="61" t="str">
        <f>IFERROR(VLOOKUP(D93,'Master List'!D:H,2,FALSE),"NA")</f>
        <v>NA</v>
      </c>
      <c r="F93" s="62" t="str">
        <f>IFERROR(VLOOKUP(D93,'Master List'!D:H,3,FALSE),"NA")</f>
        <v>NA</v>
      </c>
      <c r="G93" s="58" t="str">
        <f>IFERROR(VLOOKUP(D93,'Master List'!D:H,4,FALSE),"NA")</f>
        <v>NA</v>
      </c>
      <c r="H93" s="39" t="str">
        <f>IFERROR(VLOOKUP(D93,'Master List'!D:H,5,FALSE),"NA")</f>
        <v>NA</v>
      </c>
      <c r="I93" s="19"/>
      <c r="J93" s="20"/>
      <c r="K93" s="20"/>
      <c r="L93" s="22"/>
    </row>
    <row r="94" spans="1:12" x14ac:dyDescent="0.3">
      <c r="A94" s="33">
        <v>18</v>
      </c>
      <c r="B94" s="33" t="s">
        <v>2162</v>
      </c>
      <c r="C94" s="34" t="s">
        <v>770</v>
      </c>
      <c r="D94" s="51" t="s">
        <v>578</v>
      </c>
      <c r="E94" s="61" t="str">
        <f>IFERROR(VLOOKUP(D94,'Master List'!D:H,2,FALSE),"NA")</f>
        <v>430201</v>
      </c>
      <c r="F94" s="62" t="str">
        <f>IFERROR(VLOOKUP(D94,'Master List'!D:H,3,FALSE),"NA")</f>
        <v>430201</v>
      </c>
      <c r="G94" s="58" t="str">
        <f>IFERROR(VLOOKUP(D94,'Master List'!D:H,4,FALSE),"NA")</f>
        <v>430201</v>
      </c>
      <c r="H94" s="39" t="str">
        <f>IFERROR(VLOOKUP(D94,'Master List'!D:H,5,FALSE),"NA")</f>
        <v>Fire Prevention and Safety Technology/Technician.</v>
      </c>
      <c r="I94" s="19"/>
      <c r="J94" s="20"/>
      <c r="K94" s="20"/>
      <c r="L94" s="22"/>
    </row>
    <row r="95" spans="1:12" x14ac:dyDescent="0.3">
      <c r="A95" s="33">
        <v>18</v>
      </c>
      <c r="B95" s="33" t="s">
        <v>2162</v>
      </c>
      <c r="C95" s="34" t="s">
        <v>770</v>
      </c>
      <c r="D95" s="51" t="s">
        <v>318</v>
      </c>
      <c r="E95" s="61" t="str">
        <f>IFERROR(VLOOKUP(D95,'Master List'!D:H,2,FALSE),"NA")</f>
        <v>430203</v>
      </c>
      <c r="F95" s="62" t="str">
        <f>IFERROR(VLOOKUP(D95,'Master List'!D:H,3,FALSE),"NA")</f>
        <v>430203</v>
      </c>
      <c r="G95" s="58" t="str">
        <f>IFERROR(VLOOKUP(D95,'Master List'!D:H,4,FALSE),"NA")</f>
        <v>430203</v>
      </c>
      <c r="H95" s="39" t="str">
        <f>IFERROR(VLOOKUP(D95,'Master List'!D:H,5,FALSE),"NA")</f>
        <v>Fire Science/Fire-fighting.</v>
      </c>
      <c r="I95" s="19"/>
      <c r="J95" s="20"/>
      <c r="K95" s="20"/>
      <c r="L95" s="22"/>
    </row>
    <row r="96" spans="1:12" x14ac:dyDescent="0.3">
      <c r="A96" s="33">
        <v>18</v>
      </c>
      <c r="B96" s="33" t="s">
        <v>2162</v>
      </c>
      <c r="C96" s="34" t="s">
        <v>770</v>
      </c>
      <c r="D96" s="51" t="s">
        <v>485</v>
      </c>
      <c r="E96" s="61" t="str">
        <f>IFERROR(VLOOKUP(D96,'Master List'!D:H,2,FALSE),"NA")</f>
        <v>430203</v>
      </c>
      <c r="F96" s="62" t="str">
        <f>IFERROR(VLOOKUP(D96,'Master List'!D:H,3,FALSE),"NA")</f>
        <v>430203</v>
      </c>
      <c r="G96" s="58" t="str">
        <f>IFERROR(VLOOKUP(D96,'Master List'!D:H,4,FALSE),"NA")</f>
        <v>430203</v>
      </c>
      <c r="H96" s="39" t="str">
        <f>IFERROR(VLOOKUP(D96,'Master List'!D:H,5,FALSE),"NA")</f>
        <v>Fire Science/Fire-fighting.</v>
      </c>
      <c r="I96" s="19"/>
      <c r="J96" s="20"/>
      <c r="K96" s="20"/>
      <c r="L96" s="22"/>
    </row>
    <row r="97" spans="1:12" x14ac:dyDescent="0.3">
      <c r="A97" s="33">
        <v>18</v>
      </c>
      <c r="B97" s="33" t="s">
        <v>2162</v>
      </c>
      <c r="C97" s="34" t="s">
        <v>770</v>
      </c>
      <c r="D97" s="51" t="s">
        <v>319</v>
      </c>
      <c r="E97" s="61" t="str">
        <f>IFERROR(VLOOKUP(D97,'Master List'!D:H,2,FALSE),"NA")</f>
        <v>430302</v>
      </c>
      <c r="F97" s="62" t="str">
        <f>IFERROR(VLOOKUP(D97,'Master List'!D:H,3,FALSE),"NA")</f>
        <v>430302</v>
      </c>
      <c r="G97" s="58" t="str">
        <f>IFERROR(VLOOKUP(D97,'Master List'!D:H,4,FALSE),"NA")</f>
        <v>430302</v>
      </c>
      <c r="H97" s="39" t="str">
        <f>IFERROR(VLOOKUP(D97,'Master List'!D:H,5,FALSE),"NA")</f>
        <v>Crisis/Emergency/Disaster Management.</v>
      </c>
      <c r="I97" s="19"/>
      <c r="J97" s="20"/>
      <c r="K97" s="20"/>
      <c r="L97" s="22"/>
    </row>
    <row r="98" spans="1:12" x14ac:dyDescent="0.3">
      <c r="A98" s="33">
        <v>18</v>
      </c>
      <c r="B98" s="33" t="s">
        <v>2162</v>
      </c>
      <c r="C98" s="34" t="s">
        <v>770</v>
      </c>
      <c r="D98" s="51" t="s">
        <v>606</v>
      </c>
      <c r="E98" s="61" t="str">
        <f>IFERROR(VLOOKUP(D98,'Master List'!D:H,2,FALSE),"NA")</f>
        <v>430399</v>
      </c>
      <c r="F98" s="62" t="str">
        <f>IFERROR(VLOOKUP(D98,'Master List'!D:H,3,FALSE),"NA")</f>
        <v>430399</v>
      </c>
      <c r="G98" s="58" t="str">
        <f>IFERROR(VLOOKUP(D98,'Master List'!D:H,4,FALSE),"NA")</f>
        <v>430399</v>
      </c>
      <c r="H98" s="39" t="str">
        <f>IFERROR(VLOOKUP(D98,'Master List'!D:H,5,FALSE),"NA")</f>
        <v>Homeland Security, Other.</v>
      </c>
      <c r="I98" s="19"/>
      <c r="J98" s="20"/>
      <c r="K98" s="20"/>
      <c r="L98" s="22"/>
    </row>
    <row r="99" spans="1:12" x14ac:dyDescent="0.3">
      <c r="A99" s="33">
        <v>18</v>
      </c>
      <c r="B99" s="33" t="s">
        <v>2162</v>
      </c>
      <c r="C99" s="34" t="s">
        <v>770</v>
      </c>
      <c r="D99" s="51" t="s">
        <v>579</v>
      </c>
      <c r="E99" s="61" t="str">
        <f>IFERROR(VLOOKUP(D99,'Master List'!D:H,2,FALSE),"NA")</f>
        <v>010605</v>
      </c>
      <c r="F99" s="62" t="str">
        <f>IFERROR(VLOOKUP(D99,'Master List'!D:H,3,FALSE),"NA")</f>
        <v>010605</v>
      </c>
      <c r="G99" s="58" t="str">
        <f>IFERROR(VLOOKUP(D99,'Master List'!D:H,4,FALSE),"NA")</f>
        <v>010605</v>
      </c>
      <c r="H99" s="39" t="str">
        <f>IFERROR(VLOOKUP(D99,'Master List'!D:H,5,FALSE),"NA")</f>
        <v>Landscaping and Groundskeeping.</v>
      </c>
      <c r="I99" s="19"/>
      <c r="J99" s="20"/>
      <c r="K99" s="20"/>
      <c r="L99" s="22"/>
    </row>
    <row r="100" spans="1:12" x14ac:dyDescent="0.3">
      <c r="A100" s="33">
        <v>18</v>
      </c>
      <c r="B100" s="33" t="s">
        <v>2162</v>
      </c>
      <c r="C100" s="34" t="s">
        <v>770</v>
      </c>
      <c r="D100" s="51" t="s">
        <v>79</v>
      </c>
      <c r="E100" s="61" t="str">
        <f>IFERROR(VLOOKUP(D100,'Master List'!D:H,2,FALSE),"NA")</f>
        <v>520901</v>
      </c>
      <c r="F100" s="62" t="str">
        <f>IFERROR(VLOOKUP(D100,'Master List'!D:H,3,FALSE),"NA")</f>
        <v>520901</v>
      </c>
      <c r="G100" s="58" t="str">
        <f>IFERROR(VLOOKUP(D100,'Master List'!D:H,4,FALSE),"NA")</f>
        <v>520901</v>
      </c>
      <c r="H100" s="39" t="str">
        <f>IFERROR(VLOOKUP(D100,'Master List'!D:H,5,FALSE),"NA")</f>
        <v>Hospitality Administration/Management, General.</v>
      </c>
      <c r="I100" s="19"/>
      <c r="J100" s="20"/>
      <c r="K100" s="20"/>
      <c r="L100" s="22"/>
    </row>
    <row r="101" spans="1:12" x14ac:dyDescent="0.3">
      <c r="A101" s="33">
        <v>18</v>
      </c>
      <c r="B101" s="33" t="s">
        <v>2162</v>
      </c>
      <c r="C101" s="34" t="s">
        <v>770</v>
      </c>
      <c r="D101" s="51" t="s">
        <v>324</v>
      </c>
      <c r="E101" s="61" t="str">
        <f>IFERROR(VLOOKUP(D101,'Master List'!D:H,2,FALSE),"NA")</f>
        <v>410101</v>
      </c>
      <c r="F101" s="62" t="str">
        <f>IFERROR(VLOOKUP(D101,'Master List'!D:H,3,FALSE),"NA")</f>
        <v>410101</v>
      </c>
      <c r="G101" s="58" t="str">
        <f>IFERROR(VLOOKUP(D101,'Master List'!D:H,4,FALSE),"NA")</f>
        <v>410101</v>
      </c>
      <c r="H101" s="39" t="str">
        <f>IFERROR(VLOOKUP(D101,'Master List'!D:H,5,FALSE),"NA")</f>
        <v>Biology/Biotechnology Technology/Technician.</v>
      </c>
      <c r="I101" s="19"/>
      <c r="J101" s="20"/>
      <c r="K101" s="20"/>
      <c r="L101" s="22"/>
    </row>
    <row r="102" spans="1:12" x14ac:dyDescent="0.3">
      <c r="A102" s="33">
        <v>18</v>
      </c>
      <c r="B102" s="33" t="s">
        <v>2162</v>
      </c>
      <c r="C102" s="34" t="s">
        <v>770</v>
      </c>
      <c r="D102" s="51" t="s">
        <v>84</v>
      </c>
      <c r="E102" s="61" t="str">
        <f>IFERROR(VLOOKUP(D102,'Master List'!D:H,2,FALSE),"NA")</f>
        <v>510602</v>
      </c>
      <c r="F102" s="62" t="str">
        <f>IFERROR(VLOOKUP(D102,'Master List'!D:H,3,FALSE),"NA")</f>
        <v>510602</v>
      </c>
      <c r="G102" s="58" t="str">
        <f>IFERROR(VLOOKUP(D102,'Master List'!D:H,4,FALSE),"NA")</f>
        <v>510602</v>
      </c>
      <c r="H102" s="39" t="str">
        <f>IFERROR(VLOOKUP(D102,'Master List'!D:H,5,FALSE),"NA")</f>
        <v>Dental Hygiene/Hygienist.</v>
      </c>
      <c r="I102" s="19"/>
      <c r="J102" s="20"/>
      <c r="K102" s="20"/>
      <c r="L102" s="22"/>
    </row>
    <row r="103" spans="1:12" x14ac:dyDescent="0.3">
      <c r="A103" s="33">
        <v>18</v>
      </c>
      <c r="B103" s="33" t="s">
        <v>2162</v>
      </c>
      <c r="C103" s="34" t="s">
        <v>770</v>
      </c>
      <c r="D103" s="51" t="s">
        <v>325</v>
      </c>
      <c r="E103" s="61" t="str">
        <f>IFERROR(VLOOKUP(D103,'Master List'!D:H,2,FALSE),"NA")</f>
        <v>510707</v>
      </c>
      <c r="F103" s="62" t="str">
        <f>IFERROR(VLOOKUP(D103,'Master List'!D:H,3,FALSE),"NA")</f>
        <v>510707</v>
      </c>
      <c r="G103" s="58" t="str">
        <f>IFERROR(VLOOKUP(D103,'Master List'!D:H,4,FALSE),"NA")</f>
        <v>510707</v>
      </c>
      <c r="H103" s="39" t="str">
        <f>IFERROR(VLOOKUP(D103,'Master List'!D:H,5,FALSE),"NA")</f>
        <v>Health Information/Medical Records Technology/Technician.</v>
      </c>
      <c r="I103" s="19"/>
      <c r="J103" s="20"/>
      <c r="K103" s="20"/>
      <c r="L103" s="22"/>
    </row>
    <row r="104" spans="1:12" x14ac:dyDescent="0.3">
      <c r="A104" s="33">
        <v>18</v>
      </c>
      <c r="B104" s="33" t="s">
        <v>2162</v>
      </c>
      <c r="C104" s="34" t="s">
        <v>770</v>
      </c>
      <c r="D104" s="51" t="s">
        <v>90</v>
      </c>
      <c r="E104" s="61" t="str">
        <f>IFERROR(VLOOKUP(D104,'Master List'!D:H,2,FALSE),"NA")</f>
        <v>510904</v>
      </c>
      <c r="F104" s="62" t="str">
        <f>IFERROR(VLOOKUP(D104,'Master List'!D:H,3,FALSE),"NA")</f>
        <v>510904</v>
      </c>
      <c r="G104" s="58" t="str">
        <f>IFERROR(VLOOKUP(D104,'Master List'!D:H,4,FALSE),"NA")</f>
        <v>510904</v>
      </c>
      <c r="H104" s="39" t="str">
        <f>IFERROR(VLOOKUP(D104,'Master List'!D:H,5,FALSE),"NA")</f>
        <v>Emergency Medical Technology/Technician (EMT Paramedic).</v>
      </c>
      <c r="I104" s="19"/>
      <c r="J104" s="20"/>
      <c r="K104" s="20"/>
      <c r="L104" s="22"/>
    </row>
    <row r="105" spans="1:12" x14ac:dyDescent="0.3">
      <c r="A105" s="33">
        <v>18</v>
      </c>
      <c r="B105" s="33" t="s">
        <v>2162</v>
      </c>
      <c r="C105" s="34" t="s">
        <v>770</v>
      </c>
      <c r="D105" s="51" t="s">
        <v>91</v>
      </c>
      <c r="E105" s="61" t="str">
        <f>IFERROR(VLOOKUP(D105,'Master List'!D:H,2,FALSE),"NA")</f>
        <v>510907</v>
      </c>
      <c r="F105" s="62" t="str">
        <f>IFERROR(VLOOKUP(D105,'Master List'!D:H,3,FALSE),"NA")</f>
        <v>510907</v>
      </c>
      <c r="G105" s="58">
        <f>IFERROR(VLOOKUP(D105,'Master List'!D:H,4,FALSE),"NA")</f>
        <v>510911</v>
      </c>
      <c r="H105" s="39" t="str">
        <f>IFERROR(VLOOKUP(D105,'Master List'!D:H,5,FALSE),"NA")</f>
        <v>Radiologic Technology/Science - Radiographer</v>
      </c>
      <c r="I105" s="19"/>
      <c r="J105" s="20"/>
      <c r="K105" s="20"/>
      <c r="L105" s="22"/>
    </row>
    <row r="106" spans="1:12" x14ac:dyDescent="0.3">
      <c r="A106" s="33">
        <v>18</v>
      </c>
      <c r="B106" s="33" t="s">
        <v>2162</v>
      </c>
      <c r="C106" s="34" t="s">
        <v>770</v>
      </c>
      <c r="D106" s="51" t="s">
        <v>94</v>
      </c>
      <c r="E106" s="61" t="str">
        <f>IFERROR(VLOOKUP(D106,'Master List'!D:H,2,FALSE),"NA")</f>
        <v>510908</v>
      </c>
      <c r="F106" s="62" t="str">
        <f>IFERROR(VLOOKUP(D106,'Master List'!D:H,3,FALSE),"NA")</f>
        <v>510908</v>
      </c>
      <c r="G106" s="58" t="str">
        <f>IFERROR(VLOOKUP(D106,'Master List'!D:H,4,FALSE),"NA")</f>
        <v>510908</v>
      </c>
      <c r="H106" s="39" t="str">
        <f>IFERROR(VLOOKUP(D106,'Master List'!D:H,5,FALSE),"NA")</f>
        <v>Respiratory Care Therapy/Therapist.</v>
      </c>
      <c r="I106" s="19"/>
      <c r="J106" s="20"/>
      <c r="K106" s="20"/>
      <c r="L106" s="22"/>
    </row>
    <row r="107" spans="1:12" x14ac:dyDescent="0.3">
      <c r="A107" s="33">
        <v>18</v>
      </c>
      <c r="B107" s="33" t="s">
        <v>2162</v>
      </c>
      <c r="C107" s="34" t="s">
        <v>770</v>
      </c>
      <c r="D107" s="51" t="s">
        <v>98</v>
      </c>
      <c r="E107" s="61" t="str">
        <f>IFERROR(VLOOKUP(D107,'Master List'!D:H,2,FALSE),"NA")</f>
        <v>510910</v>
      </c>
      <c r="F107" s="62" t="str">
        <f>IFERROR(VLOOKUP(D107,'Master List'!D:H,3,FALSE),"NA")</f>
        <v>510910</v>
      </c>
      <c r="G107" s="58" t="str">
        <f>IFERROR(VLOOKUP(D107,'Master List'!D:H,4,FALSE),"NA")</f>
        <v>510910</v>
      </c>
      <c r="H107" s="39" t="str">
        <f>IFERROR(VLOOKUP(D107,'Master List'!D:H,5,FALSE),"NA")</f>
        <v>Diagnostic Medical Sonography/Sonographer and Ultrasound Technician.</v>
      </c>
      <c r="I107" s="19"/>
      <c r="J107" s="20"/>
      <c r="K107" s="20"/>
      <c r="L107" s="22"/>
    </row>
    <row r="108" spans="1:12" x14ac:dyDescent="0.3">
      <c r="A108" s="33">
        <v>18</v>
      </c>
      <c r="B108" s="33" t="s">
        <v>2162</v>
      </c>
      <c r="C108" s="34" t="s">
        <v>770</v>
      </c>
      <c r="D108" s="51" t="s">
        <v>338</v>
      </c>
      <c r="E108" s="61" t="str">
        <f>IFERROR(VLOOKUP(D108,'Master List'!D:H,2,FALSE),"NA")</f>
        <v>511803</v>
      </c>
      <c r="F108" s="62" t="str">
        <f>IFERROR(VLOOKUP(D108,'Master List'!D:H,3,FALSE),"NA")</f>
        <v>511803</v>
      </c>
      <c r="G108" s="58" t="str">
        <f>IFERROR(VLOOKUP(D108,'Master List'!D:H,4,FALSE),"NA")</f>
        <v>511803</v>
      </c>
      <c r="H108" s="39" t="str">
        <f>IFERROR(VLOOKUP(D108,'Master List'!D:H,5,FALSE),"NA")</f>
        <v>Ophthalmic Technician/Technologist.</v>
      </c>
      <c r="I108" s="19"/>
      <c r="J108" s="20"/>
      <c r="K108" s="20"/>
      <c r="L108" s="22"/>
    </row>
    <row r="109" spans="1:12" x14ac:dyDescent="0.3">
      <c r="A109" s="33">
        <v>18</v>
      </c>
      <c r="B109" s="33" t="s">
        <v>2162</v>
      </c>
      <c r="C109" s="34" t="s">
        <v>770</v>
      </c>
      <c r="D109" s="51" t="s">
        <v>101</v>
      </c>
      <c r="E109" s="61" t="str">
        <f>IFERROR(VLOOKUP(D109,'Master List'!D:H,2,FALSE),"NA")</f>
        <v>513801</v>
      </c>
      <c r="F109" s="62" t="str">
        <f>IFERROR(VLOOKUP(D109,'Master List'!D:H,3,FALSE),"NA")</f>
        <v>513801</v>
      </c>
      <c r="G109" s="58" t="str">
        <f>IFERROR(VLOOKUP(D109,'Master List'!D:H,4,FALSE),"NA")</f>
        <v>513801</v>
      </c>
      <c r="H109" s="39" t="str">
        <f>IFERROR(VLOOKUP(D109,'Master List'!D:H,5,FALSE),"NA")</f>
        <v>Registered Nursing/Registered Nurse.</v>
      </c>
      <c r="I109" s="19"/>
      <c r="J109" s="20"/>
      <c r="K109" s="20"/>
      <c r="L109" s="22"/>
    </row>
    <row r="110" spans="1:12" x14ac:dyDescent="0.3">
      <c r="A110" s="33">
        <v>18</v>
      </c>
      <c r="B110" s="33" t="s">
        <v>2162</v>
      </c>
      <c r="C110" s="34" t="s">
        <v>770</v>
      </c>
      <c r="D110" s="51" t="s">
        <v>104</v>
      </c>
      <c r="E110" s="61" t="str">
        <f>IFERROR(VLOOKUP(D110,'Master List'!D:H,2,FALSE),"NA")</f>
        <v>NA</v>
      </c>
      <c r="F110" s="62" t="str">
        <f>IFERROR(VLOOKUP(D110,'Master List'!D:H,3,FALSE),"NA")</f>
        <v>NA</v>
      </c>
      <c r="G110" s="58" t="str">
        <f>IFERROR(VLOOKUP(D110,'Master List'!D:H,4,FALSE),"NA")</f>
        <v>NA</v>
      </c>
      <c r="H110" s="39" t="str">
        <f>IFERROR(VLOOKUP(D110,'Master List'!D:H,5,FALSE),"NA")</f>
        <v>NA</v>
      </c>
      <c r="I110" s="19"/>
      <c r="J110" s="20"/>
      <c r="K110" s="20"/>
      <c r="L110" s="22"/>
    </row>
    <row r="111" spans="1:12" x14ac:dyDescent="0.3">
      <c r="A111" s="33">
        <v>18</v>
      </c>
      <c r="B111" s="33" t="s">
        <v>2162</v>
      </c>
      <c r="C111" s="34" t="s">
        <v>770</v>
      </c>
      <c r="D111" s="51" t="s">
        <v>400</v>
      </c>
      <c r="E111" s="61" t="str">
        <f>IFERROR(VLOOKUP(D111,'Master List'!D:H,2,FALSE),"NA")</f>
        <v>131210</v>
      </c>
      <c r="F111" s="62" t="str">
        <f>IFERROR(VLOOKUP(D111,'Master List'!D:H,3,FALSE),"NA")</f>
        <v>131210</v>
      </c>
      <c r="G111" s="58" t="str">
        <f>IFERROR(VLOOKUP(D111,'Master List'!D:H,4,FALSE),"NA")</f>
        <v>131210</v>
      </c>
      <c r="H111" s="39" t="str">
        <f>IFERROR(VLOOKUP(D111,'Master List'!D:H,5,FALSE),"NA")</f>
        <v>Early Childhood Education and Teaching.</v>
      </c>
      <c r="I111" s="19"/>
      <c r="J111" s="20"/>
      <c r="K111" s="20"/>
      <c r="L111" s="22"/>
    </row>
    <row r="112" spans="1:12" x14ac:dyDescent="0.3">
      <c r="A112" s="33">
        <v>18</v>
      </c>
      <c r="B112" s="33" t="s">
        <v>2162</v>
      </c>
      <c r="C112" s="34" t="s">
        <v>770</v>
      </c>
      <c r="D112" s="51" t="s">
        <v>345</v>
      </c>
      <c r="E112" s="61" t="str">
        <f>IFERROR(VLOOKUP(D112,'Master List'!D:H,2,FALSE),"NA")</f>
        <v>500408</v>
      </c>
      <c r="F112" s="62" t="str">
        <f>IFERROR(VLOOKUP(D112,'Master List'!D:H,3,FALSE),"NA")</f>
        <v>500408</v>
      </c>
      <c r="G112" s="58" t="str">
        <f>IFERROR(VLOOKUP(D112,'Master List'!D:H,4,FALSE),"NA")</f>
        <v>500408</v>
      </c>
      <c r="H112" s="39" t="str">
        <f>IFERROR(VLOOKUP(D112,'Master List'!D:H,5,FALSE),"NA")</f>
        <v>Interior Design.</v>
      </c>
      <c r="I112" s="19"/>
      <c r="J112" s="20"/>
      <c r="K112" s="20"/>
      <c r="L112" s="22"/>
    </row>
    <row r="113" spans="1:12" x14ac:dyDescent="0.3">
      <c r="A113" s="33">
        <v>18</v>
      </c>
      <c r="B113" s="33" t="s">
        <v>2162</v>
      </c>
      <c r="C113" s="34" t="s">
        <v>770</v>
      </c>
      <c r="D113" s="51" t="s">
        <v>403</v>
      </c>
      <c r="E113" s="61" t="str">
        <f>IFERROR(VLOOKUP(D113,'Master List'!D:H,2,FALSE),"NA")</f>
        <v>511599</v>
      </c>
      <c r="F113" s="62" t="str">
        <f>IFERROR(VLOOKUP(D113,'Master List'!D:H,3,FALSE),"NA")</f>
        <v>511599</v>
      </c>
      <c r="G113" s="58" t="str">
        <f>IFERROR(VLOOKUP(D113,'Master List'!D:H,4,FALSE),"NA")</f>
        <v>511599</v>
      </c>
      <c r="H113" s="39" t="str">
        <f>IFERROR(VLOOKUP(D113,'Master List'!D:H,5,FALSE),"NA")</f>
        <v>Mental and Social Health Services and Allied Professions, Other.</v>
      </c>
      <c r="I113" s="19"/>
      <c r="J113" s="20"/>
      <c r="K113" s="20"/>
      <c r="L113" s="22"/>
    </row>
    <row r="114" spans="1:12" x14ac:dyDescent="0.3">
      <c r="A114" s="33">
        <v>18</v>
      </c>
      <c r="B114" s="33" t="s">
        <v>2162</v>
      </c>
      <c r="C114" s="34" t="s">
        <v>770</v>
      </c>
      <c r="D114" s="51" t="s">
        <v>170</v>
      </c>
      <c r="E114" s="61" t="str">
        <f>IFERROR(VLOOKUP(D114,'Master List'!D:H,2,FALSE),"NA")</f>
        <v>110201</v>
      </c>
      <c r="F114" s="62" t="str">
        <f>IFERROR(VLOOKUP(D114,'Master List'!D:H,3,FALSE),"NA")</f>
        <v>110201</v>
      </c>
      <c r="G114" s="58" t="str">
        <f>IFERROR(VLOOKUP(D114,'Master List'!D:H,4,FALSE),"NA")</f>
        <v>110201</v>
      </c>
      <c r="H114" s="39" t="str">
        <f>IFERROR(VLOOKUP(D114,'Master List'!D:H,5,FALSE),"NA")</f>
        <v>Computer Programming/Programmer, General.</v>
      </c>
      <c r="I114" s="19"/>
      <c r="J114" s="20"/>
      <c r="K114" s="20"/>
      <c r="L114" s="22"/>
    </row>
    <row r="115" spans="1:12" x14ac:dyDescent="0.3">
      <c r="A115" s="33">
        <v>18</v>
      </c>
      <c r="B115" s="33" t="s">
        <v>2162</v>
      </c>
      <c r="C115" s="34" t="s">
        <v>770</v>
      </c>
      <c r="D115" s="51" t="s">
        <v>686</v>
      </c>
      <c r="E115" s="61" t="str">
        <f>IFERROR(VLOOKUP(D115,'Master List'!D:H,2,FALSE),"NA")</f>
        <v>110801</v>
      </c>
      <c r="F115" s="62" t="str">
        <f>IFERROR(VLOOKUP(D115,'Master List'!D:H,3,FALSE),"NA")</f>
        <v>110801</v>
      </c>
      <c r="G115" s="58">
        <f>IFERROR(VLOOKUP(D115,'Master List'!D:H,4,FALSE),"NA")</f>
        <v>111004</v>
      </c>
      <c r="H115" s="39" t="str">
        <f>IFERROR(VLOOKUP(D115,'Master List'!D:H,5,FALSE),"NA")</f>
        <v xml:space="preserve">Web/Multimedia Management and Webmaster. </v>
      </c>
      <c r="I115" s="19"/>
      <c r="J115" s="20"/>
      <c r="K115" s="20"/>
      <c r="L115" s="22"/>
    </row>
    <row r="116" spans="1:12" x14ac:dyDescent="0.3">
      <c r="A116" s="33">
        <v>18</v>
      </c>
      <c r="B116" s="33" t="s">
        <v>2162</v>
      </c>
      <c r="C116" s="34" t="s">
        <v>770</v>
      </c>
      <c r="D116" s="51" t="s">
        <v>106</v>
      </c>
      <c r="E116" s="61" t="str">
        <f>IFERROR(VLOOKUP(D116,'Master List'!D:H,2,FALSE),"NA")</f>
        <v>111001</v>
      </c>
      <c r="F116" s="62" t="str">
        <f>IFERROR(VLOOKUP(D116,'Master List'!D:H,3,FALSE),"NA")</f>
        <v>111001</v>
      </c>
      <c r="G116" s="58" t="str">
        <f>IFERROR(VLOOKUP(D116,'Master List'!D:H,4,FALSE),"NA")</f>
        <v>111001</v>
      </c>
      <c r="H116" s="39" t="str">
        <f>IFERROR(VLOOKUP(D116,'Master List'!D:H,5,FALSE),"NA")</f>
        <v>Network and System Administration/Administrator.</v>
      </c>
      <c r="I116" s="19"/>
      <c r="J116" s="20"/>
      <c r="K116" s="20"/>
      <c r="L116" s="22"/>
    </row>
    <row r="117" spans="1:12" x14ac:dyDescent="0.3">
      <c r="A117" s="33">
        <v>18</v>
      </c>
      <c r="B117" s="33" t="s">
        <v>2162</v>
      </c>
      <c r="C117" s="34" t="s">
        <v>770</v>
      </c>
      <c r="D117" s="51" t="s">
        <v>107</v>
      </c>
      <c r="E117" s="61" t="str">
        <f>IFERROR(VLOOKUP(D117,'Master List'!D:H,2,FALSE),"NA")</f>
        <v>520201</v>
      </c>
      <c r="F117" s="62" t="str">
        <f>IFERROR(VLOOKUP(D117,'Master List'!D:H,3,FALSE),"NA")</f>
        <v>520201</v>
      </c>
      <c r="G117" s="58" t="str">
        <f>IFERROR(VLOOKUP(D117,'Master List'!D:H,4,FALSE),"NA")</f>
        <v>520201</v>
      </c>
      <c r="H117" s="39" t="str">
        <f>IFERROR(VLOOKUP(D117,'Master List'!D:H,5,FALSE),"NA")</f>
        <v>Business Administration and Management, General.</v>
      </c>
      <c r="I117" s="19"/>
      <c r="J117" s="20"/>
      <c r="K117" s="20"/>
      <c r="L117" s="22"/>
    </row>
    <row r="118" spans="1:12" x14ac:dyDescent="0.3">
      <c r="A118" s="33">
        <v>18</v>
      </c>
      <c r="B118" s="33" t="s">
        <v>2162</v>
      </c>
      <c r="C118" s="34" t="s">
        <v>770</v>
      </c>
      <c r="D118" s="51" t="s">
        <v>110</v>
      </c>
      <c r="E118" s="61" t="str">
        <f>IFERROR(VLOOKUP(D118,'Master List'!D:H,2,FALSE),"NA")</f>
        <v>520302</v>
      </c>
      <c r="F118" s="62" t="str">
        <f>IFERROR(VLOOKUP(D118,'Master List'!D:H,3,FALSE),"NA")</f>
        <v>520302</v>
      </c>
      <c r="G118" s="58" t="str">
        <f>IFERROR(VLOOKUP(D118,'Master List'!D:H,4,FALSE),"NA")</f>
        <v>520302</v>
      </c>
      <c r="H118" s="39" t="str">
        <f>IFERROR(VLOOKUP(D118,'Master List'!D:H,5,FALSE),"NA")</f>
        <v>Accounting Technology/Technician and Bookkeeping.</v>
      </c>
      <c r="I118" s="19"/>
      <c r="J118" s="20"/>
      <c r="K118" s="20"/>
      <c r="L118" s="22"/>
    </row>
    <row r="119" spans="1:12" x14ac:dyDescent="0.3">
      <c r="A119" s="33">
        <v>18</v>
      </c>
      <c r="B119" s="33" t="s">
        <v>2162</v>
      </c>
      <c r="C119" s="34" t="s">
        <v>770</v>
      </c>
      <c r="D119" s="51" t="s">
        <v>111</v>
      </c>
      <c r="E119" s="61" t="str">
        <f>IFERROR(VLOOKUP(D119,'Master List'!D:H,2,FALSE),"NA")</f>
        <v>520703</v>
      </c>
      <c r="F119" s="62" t="str">
        <f>IFERROR(VLOOKUP(D119,'Master List'!D:H,3,FALSE),"NA")</f>
        <v>520703</v>
      </c>
      <c r="G119" s="58" t="str">
        <f>IFERROR(VLOOKUP(D119,'Master List'!D:H,4,FALSE),"NA")</f>
        <v>520703</v>
      </c>
      <c r="H119" s="39" t="str">
        <f>IFERROR(VLOOKUP(D119,'Master List'!D:H,5,FALSE),"NA")</f>
        <v>Small Business Administration/Management.</v>
      </c>
      <c r="I119" s="19"/>
      <c r="J119" s="20"/>
      <c r="K119" s="20"/>
      <c r="L119" s="22"/>
    </row>
    <row r="120" spans="1:12" x14ac:dyDescent="0.3">
      <c r="A120" s="33">
        <v>18</v>
      </c>
      <c r="B120" s="33" t="s">
        <v>2162</v>
      </c>
      <c r="C120" s="34" t="s">
        <v>770</v>
      </c>
      <c r="D120" s="51" t="s">
        <v>583</v>
      </c>
      <c r="E120" s="61" t="str">
        <f>IFERROR(VLOOKUP(D120,'Master List'!D:H,2,FALSE),"NA")</f>
        <v>110803</v>
      </c>
      <c r="F120" s="62" t="str">
        <f>IFERROR(VLOOKUP(D120,'Master List'!D:H,3,FALSE),"NA")</f>
        <v>110803</v>
      </c>
      <c r="G120" s="58" t="str">
        <f>IFERROR(VLOOKUP(D120,'Master List'!D:H,4,FALSE),"NA")</f>
        <v>110803</v>
      </c>
      <c r="H120" s="39" t="str">
        <f>IFERROR(VLOOKUP(D120,'Master List'!D:H,5,FALSE),"NA")</f>
        <v>Computer Graphics.</v>
      </c>
      <c r="I120" s="19"/>
      <c r="J120" s="20"/>
      <c r="K120" s="20"/>
      <c r="L120" s="22"/>
    </row>
    <row r="121" spans="1:12" x14ac:dyDescent="0.3">
      <c r="A121" s="33">
        <v>18</v>
      </c>
      <c r="B121" s="33" t="s">
        <v>2162</v>
      </c>
      <c r="C121" s="34" t="s">
        <v>770</v>
      </c>
      <c r="D121" s="51" t="s">
        <v>120</v>
      </c>
      <c r="E121" s="61" t="str">
        <f>IFERROR(VLOOKUP(D121,'Master List'!D:H,2,FALSE),"NA")</f>
        <v>150000</v>
      </c>
      <c r="F121" s="62" t="str">
        <f>IFERROR(VLOOKUP(D121,'Master List'!D:H,3,FALSE),"NA")</f>
        <v>150000</v>
      </c>
      <c r="G121" s="58" t="str">
        <f>IFERROR(VLOOKUP(D121,'Master List'!D:H,4,FALSE),"NA")</f>
        <v>150000</v>
      </c>
      <c r="H121" s="39" t="str">
        <f>IFERROR(VLOOKUP(D121,'Master List'!D:H,5,FALSE),"NA")</f>
        <v>Engineering Technologies/Technicians, General.</v>
      </c>
      <c r="I121" s="19"/>
      <c r="J121" s="20"/>
      <c r="K121" s="20"/>
      <c r="L121" s="22"/>
    </row>
    <row r="122" spans="1:12" x14ac:dyDescent="0.3">
      <c r="A122" s="33">
        <v>18</v>
      </c>
      <c r="B122" s="33" t="s">
        <v>2162</v>
      </c>
      <c r="C122" s="34" t="s">
        <v>770</v>
      </c>
      <c r="D122" s="51" t="s">
        <v>796</v>
      </c>
      <c r="E122" s="61" t="str">
        <f>IFERROR(VLOOKUP(D122,'Master List'!D:H,2,FALSE),"NA")</f>
        <v>150303</v>
      </c>
      <c r="F122" s="62" t="str">
        <f>IFERROR(VLOOKUP(D122,'Master List'!D:H,3,FALSE),"NA")</f>
        <v>150303</v>
      </c>
      <c r="G122" s="58" t="str">
        <f>IFERROR(VLOOKUP(D122,'Master List'!D:H,4,FALSE),"NA")</f>
        <v>150303</v>
      </c>
      <c r="H122" s="39" t="str">
        <f>IFERROR(VLOOKUP(D122,'Master List'!D:H,5,FALSE),"NA")</f>
        <v>Electrical, Electronic, and Communications Engineering Technology/Technician.</v>
      </c>
      <c r="I122" s="19"/>
      <c r="J122" s="20"/>
      <c r="K122" s="20"/>
      <c r="L122" s="22"/>
    </row>
    <row r="123" spans="1:12" x14ac:dyDescent="0.3">
      <c r="A123" s="33">
        <v>18</v>
      </c>
      <c r="B123" s="33" t="s">
        <v>2162</v>
      </c>
      <c r="C123" s="34" t="s">
        <v>770</v>
      </c>
      <c r="D123" s="51" t="s">
        <v>363</v>
      </c>
      <c r="E123" s="61" t="str">
        <f>IFERROR(VLOOKUP(D123,'Master List'!D:H,2,FALSE),"NA")</f>
        <v>NA</v>
      </c>
      <c r="F123" s="62" t="str">
        <f>IFERROR(VLOOKUP(D123,'Master List'!D:H,3,FALSE),"NA")</f>
        <v>NA</v>
      </c>
      <c r="G123" s="58" t="str">
        <f>IFERROR(VLOOKUP(D123,'Master List'!D:H,4,FALSE),"NA")</f>
        <v>NA</v>
      </c>
      <c r="H123" s="39" t="str">
        <f>IFERROR(VLOOKUP(D123,'Master List'!D:H,5,FALSE),"NA")</f>
        <v>NA</v>
      </c>
      <c r="I123" s="19"/>
      <c r="J123" s="20"/>
      <c r="K123" s="20"/>
      <c r="L123" s="22"/>
    </row>
    <row r="124" spans="1:12" x14ac:dyDescent="0.3">
      <c r="A124" s="33">
        <v>18</v>
      </c>
      <c r="B124" s="33" t="s">
        <v>2162</v>
      </c>
      <c r="C124" s="34" t="s">
        <v>770</v>
      </c>
      <c r="D124" s="51" t="s">
        <v>586</v>
      </c>
      <c r="E124" s="61" t="str">
        <f>IFERROR(VLOOKUP(D124,'Master List'!D:H,2,FALSE),"NA")</f>
        <v>500602</v>
      </c>
      <c r="F124" s="62" t="str">
        <f>IFERROR(VLOOKUP(D124,'Master List'!D:H,3,FALSE),"NA")</f>
        <v>500602</v>
      </c>
      <c r="G124" s="58" t="str">
        <f>IFERROR(VLOOKUP(D124,'Master List'!D:H,4,FALSE),"NA")</f>
        <v>500602</v>
      </c>
      <c r="H124" s="39" t="str">
        <f>IFERROR(VLOOKUP(D124,'Master List'!D:H,5,FALSE),"NA")</f>
        <v>Cinematography and Film/Video Production.</v>
      </c>
      <c r="I124" s="19"/>
      <c r="J124" s="20"/>
      <c r="K124" s="20"/>
      <c r="L124" s="22"/>
    </row>
    <row r="125" spans="1:12" x14ac:dyDescent="0.3">
      <c r="A125" s="33">
        <v>18</v>
      </c>
      <c r="B125" s="33" t="s">
        <v>2162</v>
      </c>
      <c r="C125" s="34" t="s">
        <v>770</v>
      </c>
      <c r="D125" s="51" t="s">
        <v>367</v>
      </c>
      <c r="E125" s="61" t="str">
        <f>IFERROR(VLOOKUP(D125,'Master List'!D:H,2,FALSE),"NA")</f>
        <v>520205</v>
      </c>
      <c r="F125" s="62" t="str">
        <f>IFERROR(VLOOKUP(D125,'Master List'!D:H,3,FALSE),"NA")</f>
        <v>520205</v>
      </c>
      <c r="G125" s="58" t="str">
        <f>IFERROR(VLOOKUP(D125,'Master List'!D:H,4,FALSE),"NA")</f>
        <v>520205</v>
      </c>
      <c r="H125" s="39" t="str">
        <f>IFERROR(VLOOKUP(D125,'Master List'!D:H,5,FALSE),"NA")</f>
        <v>Operations Management and Supervision.</v>
      </c>
      <c r="I125" s="19"/>
      <c r="J125" s="20"/>
      <c r="K125" s="20"/>
      <c r="L125" s="22"/>
    </row>
    <row r="126" spans="1:12" x14ac:dyDescent="0.3">
      <c r="A126" s="33">
        <v>18</v>
      </c>
      <c r="B126" s="33" t="s">
        <v>2162</v>
      </c>
      <c r="C126" s="34" t="s">
        <v>770</v>
      </c>
      <c r="D126" s="51" t="s">
        <v>371</v>
      </c>
      <c r="E126" s="61" t="str">
        <f>IFERROR(VLOOKUP(D126,'Master List'!D:H,2,FALSE),"NA")</f>
        <v>520209</v>
      </c>
      <c r="F126" s="62" t="str">
        <f>IFERROR(VLOOKUP(D126,'Master List'!D:H,3,FALSE),"NA")</f>
        <v>520209</v>
      </c>
      <c r="G126" s="58" t="str">
        <f>IFERROR(VLOOKUP(D126,'Master List'!D:H,4,FALSE),"NA")</f>
        <v>520209</v>
      </c>
      <c r="H126" s="39" t="str">
        <f>IFERROR(VLOOKUP(D126,'Master List'!D:H,5,FALSE),"NA")</f>
        <v>Transportation/Mobility Management.</v>
      </c>
      <c r="I126" s="19"/>
      <c r="J126" s="20"/>
      <c r="K126" s="20"/>
      <c r="L126" s="22"/>
    </row>
    <row r="127" spans="1:12" x14ac:dyDescent="0.3">
      <c r="A127" s="33">
        <v>18</v>
      </c>
      <c r="B127" s="33" t="s">
        <v>2162</v>
      </c>
      <c r="C127" s="34" t="s">
        <v>770</v>
      </c>
      <c r="D127" s="51" t="s">
        <v>372</v>
      </c>
      <c r="E127" s="61" t="str">
        <f>IFERROR(VLOOKUP(D127,'Master List'!D:H,2,FALSE),"NA")</f>
        <v>030104</v>
      </c>
      <c r="F127" s="62" t="str">
        <f>IFERROR(VLOOKUP(D127,'Master List'!D:H,3,FALSE),"NA")</f>
        <v>030104</v>
      </c>
      <c r="G127" s="58" t="str">
        <f>IFERROR(VLOOKUP(D127,'Master List'!D:H,4,FALSE),"NA")</f>
        <v>030104</v>
      </c>
      <c r="H127" s="39" t="str">
        <f>IFERROR(VLOOKUP(D127,'Master List'!D:H,5,FALSE),"NA")</f>
        <v>Environmental Science.</v>
      </c>
      <c r="I127" s="19"/>
      <c r="J127" s="20"/>
      <c r="K127" s="20"/>
      <c r="L127" s="22"/>
    </row>
    <row r="128" spans="1:12" x14ac:dyDescent="0.3">
      <c r="A128" s="33">
        <v>18</v>
      </c>
      <c r="B128" s="33" t="s">
        <v>2162</v>
      </c>
      <c r="C128" s="34" t="s">
        <v>770</v>
      </c>
      <c r="D128" s="51" t="s">
        <v>125</v>
      </c>
      <c r="E128" s="61" t="str">
        <f>IFERROR(VLOOKUP(D128,'Master List'!D:H,2,FALSE),"NA")</f>
        <v>220302</v>
      </c>
      <c r="F128" s="62" t="str">
        <f>IFERROR(VLOOKUP(D128,'Master List'!D:H,3,FALSE),"NA")</f>
        <v>220302</v>
      </c>
      <c r="G128" s="58" t="str">
        <f>IFERROR(VLOOKUP(D128,'Master List'!D:H,4,FALSE),"NA")</f>
        <v>220302</v>
      </c>
      <c r="H128" s="39" t="str">
        <f>IFERROR(VLOOKUP(D128,'Master List'!D:H,5,FALSE),"NA")</f>
        <v>Legal Assistant/Paralegal.</v>
      </c>
      <c r="I128" s="19"/>
      <c r="J128" s="20"/>
      <c r="K128" s="20"/>
      <c r="L128" s="22"/>
    </row>
    <row r="129" spans="1:12" x14ac:dyDescent="0.3">
      <c r="A129" s="33">
        <v>18</v>
      </c>
      <c r="B129" s="33" t="s">
        <v>2162</v>
      </c>
      <c r="C129" s="34" t="s">
        <v>770</v>
      </c>
      <c r="D129" s="51" t="s">
        <v>128</v>
      </c>
      <c r="E129" s="61" t="str">
        <f>IFERROR(VLOOKUP(D129,'Master List'!D:H,2,FALSE),"NA")</f>
        <v>430103</v>
      </c>
      <c r="F129" s="62" t="str">
        <f>IFERROR(VLOOKUP(D129,'Master List'!D:H,3,FALSE),"NA")</f>
        <v>430103</v>
      </c>
      <c r="G129" s="58" t="str">
        <f>IFERROR(VLOOKUP(D129,'Master List'!D:H,4,FALSE),"NA")</f>
        <v>430103</v>
      </c>
      <c r="H129" s="39" t="str">
        <f>IFERROR(VLOOKUP(D129,'Master List'!D:H,5,FALSE),"NA")</f>
        <v>Criminal Justice/Law Enforcement Administration.</v>
      </c>
      <c r="I129" s="19"/>
      <c r="J129" s="20"/>
      <c r="K129" s="20"/>
      <c r="L129" s="22"/>
    </row>
    <row r="130" spans="1:12" x14ac:dyDescent="0.3">
      <c r="A130" s="33">
        <v>18</v>
      </c>
      <c r="B130" s="33" t="s">
        <v>2162</v>
      </c>
      <c r="C130" s="34" t="s">
        <v>770</v>
      </c>
      <c r="D130" s="51" t="s">
        <v>407</v>
      </c>
      <c r="E130" s="61" t="str">
        <f>IFERROR(VLOOKUP(D130,'Master List'!D:H,2,FALSE),"NA")</f>
        <v>430106</v>
      </c>
      <c r="F130" s="62" t="str">
        <f>IFERROR(VLOOKUP(D130,'Master List'!D:H,3,FALSE),"NA")</f>
        <v>430406</v>
      </c>
      <c r="G130" s="58" t="str">
        <f>IFERROR(VLOOKUP(D130,'Master List'!D:H,4,FALSE),"NA")</f>
        <v>430406</v>
      </c>
      <c r="H130" s="39" t="str">
        <f>IFERROR(VLOOKUP(D130,'Master List'!D:H,5,FALSE),"NA")</f>
        <v>Forensic Science and Technology.</v>
      </c>
      <c r="I130" s="19"/>
      <c r="J130" s="20"/>
      <c r="K130" s="20"/>
      <c r="L130" s="22"/>
    </row>
    <row r="131" spans="1:12" x14ac:dyDescent="0.3">
      <c r="A131" s="33">
        <v>18</v>
      </c>
      <c r="B131" s="33" t="s">
        <v>2162</v>
      </c>
      <c r="C131" s="34" t="s">
        <v>770</v>
      </c>
      <c r="D131" s="51" t="s">
        <v>375</v>
      </c>
      <c r="E131" s="61" t="str">
        <f>IFERROR(VLOOKUP(D131,'Master List'!D:H,2,FALSE),"NA")</f>
        <v>430201</v>
      </c>
      <c r="F131" s="62" t="str">
        <f>IFERROR(VLOOKUP(D131,'Master List'!D:H,3,FALSE),"NA")</f>
        <v>430201</v>
      </c>
      <c r="G131" s="58" t="str">
        <f>IFERROR(VLOOKUP(D131,'Master List'!D:H,4,FALSE),"NA")</f>
        <v>430201</v>
      </c>
      <c r="H131" s="39" t="str">
        <f>IFERROR(VLOOKUP(D131,'Master List'!D:H,5,FALSE),"NA")</f>
        <v>Fire Prevention and Safety Technology/Technician.</v>
      </c>
      <c r="I131" s="19"/>
      <c r="J131" s="20"/>
      <c r="K131" s="20"/>
      <c r="L131" s="22"/>
    </row>
    <row r="132" spans="1:12" x14ac:dyDescent="0.3">
      <c r="A132" s="33">
        <v>18</v>
      </c>
      <c r="B132" s="33" t="s">
        <v>2162</v>
      </c>
      <c r="C132" s="34" t="s">
        <v>770</v>
      </c>
      <c r="D132" s="51" t="s">
        <v>378</v>
      </c>
      <c r="E132" s="61" t="str">
        <f>IFERROR(VLOOKUP(D132,'Master List'!D:H,2,FALSE),"NA")</f>
        <v>430302</v>
      </c>
      <c r="F132" s="62" t="str">
        <f>IFERROR(VLOOKUP(D132,'Master List'!D:H,3,FALSE),"NA")</f>
        <v>430302</v>
      </c>
      <c r="G132" s="58" t="str">
        <f>IFERROR(VLOOKUP(D132,'Master List'!D:H,4,FALSE),"NA")</f>
        <v>430302</v>
      </c>
      <c r="H132" s="39" t="str">
        <f>IFERROR(VLOOKUP(D132,'Master List'!D:H,5,FALSE),"NA")</f>
        <v>Crisis/Emergency/Disaster Management.</v>
      </c>
      <c r="I132" s="19"/>
      <c r="J132" s="20"/>
      <c r="K132" s="20"/>
      <c r="L132" s="22"/>
    </row>
  </sheetData>
  <sheetProtection algorithmName="SHA-512" hashValue="gPYuZtxA9+dGIfKAPTGUahoA8BXSeROyJYVSYNolvg7sT2XoLTV7RcTSC04oc1CQhbyl62nHn2AiR3yIWZ5JVg==" saltValue="QWwuB8ZBuLwECPBzfQk2xA==" spinCount="100000" sheet="1" objects="1" scenarios="1" sort="0" autoFilter="0"/>
  <autoFilter ref="A2:L132"/>
  <mergeCells count="3">
    <mergeCell ref="A1:D1"/>
    <mergeCell ref="E1:H1"/>
    <mergeCell ref="I1:L1"/>
  </mergeCells>
  <dataValidations count="1">
    <dataValidation type="list" allowBlank="1" showInputMessage="1" showErrorMessage="1" sqref="I3:I132">
      <formula1>"Agree,Disagree"</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1.33203125" style="17" customWidth="1"/>
    <col min="5" max="5" width="14.88671875" style="54" customWidth="1"/>
    <col min="6" max="6" width="12.5546875" style="54" customWidth="1"/>
    <col min="7" max="7" width="14.5546875" style="54" customWidth="1"/>
    <col min="8" max="8" width="70.44140625" style="25" customWidth="1"/>
    <col min="9" max="9" width="14.33203125" style="17" customWidth="1"/>
    <col min="10" max="10" width="12.5546875" style="17" customWidth="1"/>
    <col min="11" max="11" width="34.88671875" style="17" customWidth="1"/>
    <col min="12" max="12" width="27.6640625" style="17" customWidth="1"/>
    <col min="13" max="16384" width="8.88671875" style="17"/>
  </cols>
  <sheetData>
    <row r="1" spans="1:12" s="27" customFormat="1" ht="69.599999999999994" customHeight="1" x14ac:dyDescent="0.3">
      <c r="A1" s="95"/>
      <c r="B1" s="95"/>
      <c r="C1" s="95"/>
      <c r="D1" s="95"/>
      <c r="E1" s="96" t="s">
        <v>2145</v>
      </c>
      <c r="F1" s="96"/>
      <c r="G1" s="96"/>
      <c r="H1" s="96"/>
      <c r="I1" s="97" t="s">
        <v>0</v>
      </c>
      <c r="J1" s="98"/>
      <c r="K1" s="98"/>
      <c r="L1" s="99"/>
    </row>
    <row r="2" spans="1:12" s="27" customFormat="1" ht="115.2"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19</v>
      </c>
      <c r="B3" s="33" t="s">
        <v>2163</v>
      </c>
      <c r="C3" s="34" t="s">
        <v>756</v>
      </c>
      <c r="D3" s="51" t="s">
        <v>143</v>
      </c>
      <c r="E3" s="61" t="str">
        <f>IFERROR(VLOOKUP(D3,'Master List'!D:H,2,FALSE),"NA")</f>
        <v>520701</v>
      </c>
      <c r="F3" s="62" t="str">
        <f>IFERROR(VLOOKUP(D3,'Master List'!D:H,3,FALSE),"NA")</f>
        <v>520701</v>
      </c>
      <c r="G3" s="58" t="str">
        <f>IFERROR(VLOOKUP(D3,'Master List'!D:H,4,FALSE),"NA")</f>
        <v>520701</v>
      </c>
      <c r="H3" s="39" t="str">
        <f>IFERROR(VLOOKUP(D3,'Master List'!D:H,5,FALSE),"NA")</f>
        <v>Entrepreneurship/Entrepreneurial Studies.</v>
      </c>
      <c r="I3" s="19"/>
      <c r="J3" s="20"/>
      <c r="K3" s="20"/>
      <c r="L3" s="21"/>
    </row>
    <row r="4" spans="1:12" x14ac:dyDescent="0.3">
      <c r="A4" s="33">
        <v>19</v>
      </c>
      <c r="B4" s="33" t="s">
        <v>2163</v>
      </c>
      <c r="C4" s="34" t="s">
        <v>756</v>
      </c>
      <c r="D4" s="51" t="s">
        <v>757</v>
      </c>
      <c r="E4" s="61" t="str">
        <f>IFERROR(VLOOKUP(D4,'Master List'!D:H,2,FALSE),"NA")</f>
        <v>520801</v>
      </c>
      <c r="F4" s="62" t="str">
        <f>IFERROR(VLOOKUP(D4,'Master List'!D:H,3,FALSE),"NA")</f>
        <v>520801</v>
      </c>
      <c r="G4" s="58" t="str">
        <f>IFERROR(VLOOKUP(D4,'Master List'!D:H,4,FALSE),"NA")</f>
        <v>520801</v>
      </c>
      <c r="H4" s="39" t="str">
        <f>IFERROR(VLOOKUP(D4,'Master List'!D:H,5,FALSE),"NA")</f>
        <v>Finance, General.</v>
      </c>
      <c r="I4" s="19"/>
      <c r="J4" s="20"/>
      <c r="K4" s="20"/>
      <c r="L4" s="21"/>
    </row>
    <row r="5" spans="1:12" x14ac:dyDescent="0.3">
      <c r="A5" s="33">
        <v>19</v>
      </c>
      <c r="B5" s="33" t="s">
        <v>2163</v>
      </c>
      <c r="C5" s="34" t="s">
        <v>756</v>
      </c>
      <c r="D5" s="51" t="s">
        <v>760</v>
      </c>
      <c r="E5" s="61" t="str">
        <f>IFERROR(VLOOKUP(D5,'Master List'!D:H,2,FALSE),"NA")</f>
        <v>520801</v>
      </c>
      <c r="F5" s="62" t="str">
        <f>IFERROR(VLOOKUP(D5,'Master List'!D:H,3,FALSE),"NA")</f>
        <v>520801</v>
      </c>
      <c r="G5" s="58" t="str">
        <f>IFERROR(VLOOKUP(D5,'Master List'!D:H,4,FALSE),"NA")</f>
        <v>520801</v>
      </c>
      <c r="H5" s="39" t="str">
        <f>IFERROR(VLOOKUP(D5,'Master List'!D:H,5,FALSE),"NA")</f>
        <v>Finance, General.</v>
      </c>
      <c r="I5" s="19"/>
      <c r="J5" s="20"/>
      <c r="K5" s="20"/>
      <c r="L5" s="21"/>
    </row>
    <row r="6" spans="1:12" x14ac:dyDescent="0.3">
      <c r="A6" s="33">
        <v>19</v>
      </c>
      <c r="B6" s="33" t="s">
        <v>2163</v>
      </c>
      <c r="C6" s="34" t="s">
        <v>756</v>
      </c>
      <c r="D6" s="51" t="s">
        <v>498</v>
      </c>
      <c r="E6" s="61" t="str">
        <f>IFERROR(VLOOKUP(D6,'Master List'!D:H,2,FALSE),"NA")</f>
        <v>521401</v>
      </c>
      <c r="F6" s="62" t="str">
        <f>IFERROR(VLOOKUP(D6,'Master List'!D:H,3,FALSE),"NA")</f>
        <v>521401</v>
      </c>
      <c r="G6" s="58" t="str">
        <f>IFERROR(VLOOKUP(D6,'Master List'!D:H,4,FALSE),"NA")</f>
        <v>521401</v>
      </c>
      <c r="H6" s="39" t="str">
        <f>IFERROR(VLOOKUP(D6,'Master List'!D:H,5,FALSE),"NA")</f>
        <v>Marketing/Marketing Management, General.</v>
      </c>
      <c r="I6" s="19"/>
      <c r="J6" s="20"/>
      <c r="K6" s="20"/>
      <c r="L6" s="21"/>
    </row>
    <row r="7" spans="1:12" x14ac:dyDescent="0.3">
      <c r="A7" s="33">
        <v>19</v>
      </c>
      <c r="B7" s="33" t="s">
        <v>2163</v>
      </c>
      <c r="C7" s="34" t="s">
        <v>756</v>
      </c>
      <c r="D7" s="51" t="s">
        <v>10</v>
      </c>
      <c r="E7" s="61" t="str">
        <f>IFERROR(VLOOKUP(D7,'Master List'!D:H,2,FALSE),"NA")</f>
        <v>510601</v>
      </c>
      <c r="F7" s="62" t="str">
        <f>IFERROR(VLOOKUP(D7,'Master List'!D:H,3,FALSE),"NA")</f>
        <v>510601</v>
      </c>
      <c r="G7" s="58" t="str">
        <f>IFERROR(VLOOKUP(D7,'Master List'!D:H,4,FALSE),"NA")</f>
        <v>510601</v>
      </c>
      <c r="H7" s="39" t="str">
        <f>IFERROR(VLOOKUP(D7,'Master List'!D:H,5,FALSE),"NA")</f>
        <v>Dental Assisting/Assistant.</v>
      </c>
      <c r="I7" s="19"/>
      <c r="J7" s="20"/>
      <c r="K7" s="20"/>
      <c r="L7" s="21"/>
    </row>
    <row r="8" spans="1:12" x14ac:dyDescent="0.3">
      <c r="A8" s="33">
        <v>19</v>
      </c>
      <c r="B8" s="33" t="s">
        <v>2163</v>
      </c>
      <c r="C8" s="34" t="s">
        <v>756</v>
      </c>
      <c r="D8" s="51" t="s">
        <v>761</v>
      </c>
      <c r="E8" s="61" t="str">
        <f>IFERROR(VLOOKUP(D8,'Master List'!D:H,2,FALSE),"NA")</f>
        <v>510703</v>
      </c>
      <c r="F8" s="62" t="str">
        <f>IFERROR(VLOOKUP(D8,'Master List'!D:H,3,FALSE),"NA")</f>
        <v>510703</v>
      </c>
      <c r="G8" s="58" t="str">
        <f>IFERROR(VLOOKUP(D8,'Master List'!D:H,4,FALSE),"NA")</f>
        <v>510703</v>
      </c>
      <c r="H8" s="39" t="str">
        <f>IFERROR(VLOOKUP(D8,'Master List'!D:H,5,FALSE),"NA")</f>
        <v>Health Unit Coordinator/Ward Clerk.</v>
      </c>
      <c r="I8" s="19"/>
      <c r="J8" s="20"/>
      <c r="K8" s="20"/>
      <c r="L8" s="21"/>
    </row>
    <row r="9" spans="1:12" x14ac:dyDescent="0.3">
      <c r="A9" s="33">
        <v>19</v>
      </c>
      <c r="B9" s="33" t="s">
        <v>2163</v>
      </c>
      <c r="C9" s="34" t="s">
        <v>756</v>
      </c>
      <c r="D9" s="51" t="s">
        <v>199</v>
      </c>
      <c r="E9" s="61" t="str">
        <f>IFERROR(VLOOKUP(D9,'Master List'!D:H,2,FALSE),"NA")</f>
        <v>510801</v>
      </c>
      <c r="F9" s="62" t="str">
        <f>IFERROR(VLOOKUP(D9,'Master List'!D:H,3,FALSE),"NA")</f>
        <v>510801</v>
      </c>
      <c r="G9" s="58" t="str">
        <f>IFERROR(VLOOKUP(D9,'Master List'!D:H,4,FALSE),"NA")</f>
        <v>510801</v>
      </c>
      <c r="H9" s="39" t="str">
        <f>IFERROR(VLOOKUP(D9,'Master List'!D:H,5,FALSE),"NA")</f>
        <v>Medical/Clinical Assistant.</v>
      </c>
      <c r="I9" s="19"/>
      <c r="J9" s="20"/>
      <c r="K9" s="20"/>
      <c r="L9" s="21"/>
    </row>
    <row r="10" spans="1:12" x14ac:dyDescent="0.3">
      <c r="A10" s="33">
        <v>19</v>
      </c>
      <c r="B10" s="33" t="s">
        <v>2163</v>
      </c>
      <c r="C10" s="34" t="s">
        <v>756</v>
      </c>
      <c r="D10" s="51" t="s">
        <v>203</v>
      </c>
      <c r="E10" s="61" t="str">
        <f>IFERROR(VLOOKUP(D10,'Master List'!D:H,2,FALSE),"NA")</f>
        <v>510805</v>
      </c>
      <c r="F10" s="62" t="str">
        <f>IFERROR(VLOOKUP(D10,'Master List'!D:H,3,FALSE),"NA")</f>
        <v>510805</v>
      </c>
      <c r="G10" s="58" t="str">
        <f>IFERROR(VLOOKUP(D10,'Master List'!D:H,4,FALSE),"NA")</f>
        <v>510805</v>
      </c>
      <c r="H10" s="39" t="str">
        <f>IFERROR(VLOOKUP(D10,'Master List'!D:H,5,FALSE),"NA")</f>
        <v>Pharmacy Technician/Assistant.</v>
      </c>
      <c r="I10" s="19"/>
      <c r="J10" s="20"/>
      <c r="K10" s="20"/>
      <c r="L10" s="21"/>
    </row>
    <row r="11" spans="1:12" x14ac:dyDescent="0.3">
      <c r="A11" s="33">
        <v>19</v>
      </c>
      <c r="B11" s="33" t="s">
        <v>2163</v>
      </c>
      <c r="C11" s="34" t="s">
        <v>756</v>
      </c>
      <c r="D11" s="51" t="s">
        <v>14</v>
      </c>
      <c r="E11" s="61" t="str">
        <f>IFERROR(VLOOKUP(D11,'Master List'!D:H,2,FALSE),"NA")</f>
        <v>510904</v>
      </c>
      <c r="F11" s="62" t="str">
        <f>IFERROR(VLOOKUP(D11,'Master List'!D:H,3,FALSE),"NA")</f>
        <v>510904</v>
      </c>
      <c r="G11" s="58" t="str">
        <f>IFERROR(VLOOKUP(D11,'Master List'!D:H,4,FALSE),"NA")</f>
        <v>510904</v>
      </c>
      <c r="H11" s="39" t="str">
        <f>IFERROR(VLOOKUP(D11,'Master List'!D:H,5,FALSE),"NA")</f>
        <v>Emergency Medical Technology/Technician (EMT Paramedic).</v>
      </c>
      <c r="I11" s="19"/>
      <c r="J11" s="20"/>
      <c r="K11" s="20"/>
      <c r="L11" s="21"/>
    </row>
    <row r="12" spans="1:12" x14ac:dyDescent="0.3">
      <c r="A12" s="33">
        <v>19</v>
      </c>
      <c r="B12" s="33" t="s">
        <v>2163</v>
      </c>
      <c r="C12" s="34" t="s">
        <v>756</v>
      </c>
      <c r="D12" s="51" t="s">
        <v>17</v>
      </c>
      <c r="E12" s="61" t="str">
        <f>IFERROR(VLOOKUP(D12,'Master List'!D:H,2,FALSE),"NA")</f>
        <v>510904</v>
      </c>
      <c r="F12" s="62" t="str">
        <f>IFERROR(VLOOKUP(D12,'Master List'!D:H,3,FALSE),"NA")</f>
        <v>510904</v>
      </c>
      <c r="G12" s="58" t="str">
        <f>IFERROR(VLOOKUP(D12,'Master List'!D:H,4,FALSE),"NA")</f>
        <v>510904</v>
      </c>
      <c r="H12" s="39" t="str">
        <f>IFERROR(VLOOKUP(D12,'Master List'!D:H,5,FALSE),"NA")</f>
        <v>Emergency Medical Technology/Technician (EMT Paramedic).</v>
      </c>
      <c r="I12" s="19"/>
      <c r="J12" s="20"/>
      <c r="K12" s="20"/>
      <c r="L12" s="21"/>
    </row>
    <row r="13" spans="1:12" x14ac:dyDescent="0.3">
      <c r="A13" s="33">
        <v>19</v>
      </c>
      <c r="B13" s="33" t="s">
        <v>2163</v>
      </c>
      <c r="C13" s="34" t="s">
        <v>756</v>
      </c>
      <c r="D13" s="51" t="s">
        <v>207</v>
      </c>
      <c r="E13" s="61" t="str">
        <f>IFERROR(VLOOKUP(D13,'Master List'!D:H,2,FALSE),"NA")</f>
        <v>510909</v>
      </c>
      <c r="F13" s="62" t="str">
        <f>IFERROR(VLOOKUP(D13,'Master List'!D:H,3,FALSE),"NA")</f>
        <v>510909</v>
      </c>
      <c r="G13" s="58" t="str">
        <f>IFERROR(VLOOKUP(D13,'Master List'!D:H,4,FALSE),"NA")</f>
        <v>510909</v>
      </c>
      <c r="H13" s="39" t="str">
        <f>IFERROR(VLOOKUP(D13,'Master List'!D:H,5,FALSE),"NA")</f>
        <v>Surgical Technology/Technologist.</v>
      </c>
      <c r="I13" s="19"/>
      <c r="J13" s="20"/>
      <c r="K13" s="20"/>
      <c r="L13" s="21"/>
    </row>
    <row r="14" spans="1:12" x14ac:dyDescent="0.3">
      <c r="A14" s="33">
        <v>19</v>
      </c>
      <c r="B14" s="33" t="s">
        <v>2163</v>
      </c>
      <c r="C14" s="34" t="s">
        <v>756</v>
      </c>
      <c r="D14" s="51" t="s">
        <v>410</v>
      </c>
      <c r="E14" s="61" t="str">
        <f>IFERROR(VLOOKUP(D14,'Master List'!D:H,2,FALSE),"NA")</f>
        <v>511009</v>
      </c>
      <c r="F14" s="62" t="str">
        <f>IFERROR(VLOOKUP(D14,'Master List'!D:H,3,FALSE),"NA")</f>
        <v>511009</v>
      </c>
      <c r="G14" s="58" t="str">
        <f>IFERROR(VLOOKUP(D14,'Master List'!D:H,4,FALSE),"NA")</f>
        <v>511009</v>
      </c>
      <c r="H14" s="39" t="str">
        <f>IFERROR(VLOOKUP(D14,'Master List'!D:H,5,FALSE),"NA")</f>
        <v>Phlebotomy Technician/Phlebotomist.</v>
      </c>
      <c r="I14" s="19"/>
      <c r="J14" s="20"/>
      <c r="K14" s="20"/>
      <c r="L14" s="21"/>
    </row>
    <row r="15" spans="1:12" x14ac:dyDescent="0.3">
      <c r="A15" s="33">
        <v>19</v>
      </c>
      <c r="B15" s="33" t="s">
        <v>2163</v>
      </c>
      <c r="C15" s="34" t="s">
        <v>756</v>
      </c>
      <c r="D15" s="51" t="s">
        <v>384</v>
      </c>
      <c r="E15" s="61" t="str">
        <f>IFERROR(VLOOKUP(D15,'Master List'!D:H,2,FALSE),"NA")</f>
        <v>NA</v>
      </c>
      <c r="F15" s="62" t="str">
        <f>IFERROR(VLOOKUP(D15,'Master List'!D:H,3,FALSE),"NA")</f>
        <v>NA</v>
      </c>
      <c r="G15" s="58" t="str">
        <f>IFERROR(VLOOKUP(D15,'Master List'!D:H,4,FALSE),"NA")</f>
        <v>NA</v>
      </c>
      <c r="H15" s="39" t="str">
        <f>IFERROR(VLOOKUP(D15,'Master List'!D:H,5,FALSE),"NA")</f>
        <v>NA</v>
      </c>
      <c r="I15" s="19"/>
      <c r="J15" s="20"/>
      <c r="K15" s="20"/>
      <c r="L15" s="21"/>
    </row>
    <row r="16" spans="1:12" x14ac:dyDescent="0.3">
      <c r="A16" s="33">
        <v>19</v>
      </c>
      <c r="B16" s="33" t="s">
        <v>2163</v>
      </c>
      <c r="C16" s="34" t="s">
        <v>756</v>
      </c>
      <c r="D16" s="51" t="s">
        <v>24</v>
      </c>
      <c r="E16" s="61" t="str">
        <f>IFERROR(VLOOKUP(D16,'Master List'!D:H,2,FALSE),"NA")</f>
        <v>NA</v>
      </c>
      <c r="F16" s="62" t="str">
        <f>IFERROR(VLOOKUP(D16,'Master List'!D:H,3,FALSE),"NA")</f>
        <v>NA</v>
      </c>
      <c r="G16" s="58" t="str">
        <f>IFERROR(VLOOKUP(D16,'Master List'!D:H,4,FALSE),"NA")</f>
        <v>NA</v>
      </c>
      <c r="H16" s="39" t="str">
        <f>IFERROR(VLOOKUP(D16,'Master List'!D:H,5,FALSE),"NA")</f>
        <v>NA</v>
      </c>
      <c r="I16" s="19"/>
      <c r="J16" s="20"/>
      <c r="K16" s="20"/>
      <c r="L16" s="21"/>
    </row>
    <row r="17" spans="1:12" x14ac:dyDescent="0.3">
      <c r="A17" s="33">
        <v>19</v>
      </c>
      <c r="B17" s="33" t="s">
        <v>2163</v>
      </c>
      <c r="C17" s="34" t="s">
        <v>756</v>
      </c>
      <c r="D17" s="51" t="s">
        <v>25</v>
      </c>
      <c r="E17" s="61" t="str">
        <f>IFERROR(VLOOKUP(D17,'Master List'!D:H,2,FALSE),"NA")</f>
        <v>513902</v>
      </c>
      <c r="F17" s="62" t="str">
        <f>IFERROR(VLOOKUP(D17,'Master List'!D:H,3,FALSE),"NA")</f>
        <v>513902</v>
      </c>
      <c r="G17" s="58" t="str">
        <f>IFERROR(VLOOKUP(D17,'Master List'!D:H,4,FALSE),"NA")</f>
        <v>513902</v>
      </c>
      <c r="H17" s="39" t="str">
        <f>IFERROR(VLOOKUP(D17,'Master List'!D:H,5,FALSE),"NA")</f>
        <v>Nursing Assistant/Aide and Patient Care Assistant/Aide.</v>
      </c>
      <c r="I17" s="19"/>
      <c r="J17" s="20"/>
      <c r="K17" s="20"/>
      <c r="L17" s="21"/>
    </row>
    <row r="18" spans="1:12" x14ac:dyDescent="0.3">
      <c r="A18" s="33">
        <v>19</v>
      </c>
      <c r="B18" s="33" t="s">
        <v>2163</v>
      </c>
      <c r="C18" s="34" t="s">
        <v>756</v>
      </c>
      <c r="D18" s="51" t="s">
        <v>418</v>
      </c>
      <c r="E18" s="61" t="str">
        <f>IFERROR(VLOOKUP(D18,'Master List'!D:H,2,FALSE),"NA")</f>
        <v>110103</v>
      </c>
      <c r="F18" s="62" t="str">
        <f>IFERROR(VLOOKUP(D18,'Master List'!D:H,3,FALSE),"NA")</f>
        <v>110103</v>
      </c>
      <c r="G18" s="58" t="str">
        <f>IFERROR(VLOOKUP(D18,'Master List'!D:H,4,FALSE),"NA")</f>
        <v>110103</v>
      </c>
      <c r="H18" s="39" t="str">
        <f>IFERROR(VLOOKUP(D18,'Master List'!D:H,5,FALSE),"NA")</f>
        <v>Information Technology.</v>
      </c>
      <c r="I18" s="19"/>
      <c r="J18" s="20"/>
      <c r="K18" s="20"/>
      <c r="L18" s="21"/>
    </row>
    <row r="19" spans="1:12" x14ac:dyDescent="0.3">
      <c r="A19" s="33">
        <v>19</v>
      </c>
      <c r="B19" s="33" t="s">
        <v>2163</v>
      </c>
      <c r="C19" s="34" t="s">
        <v>756</v>
      </c>
      <c r="D19" s="51" t="s">
        <v>389</v>
      </c>
      <c r="E19" s="61" t="str">
        <f>IFERROR(VLOOKUP(D19,'Master List'!D:H,2,FALSE),"NA")</f>
        <v>110201</v>
      </c>
      <c r="F19" s="62" t="str">
        <f>IFERROR(VLOOKUP(D19,'Master List'!D:H,3,FALSE),"NA")</f>
        <v>110201</v>
      </c>
      <c r="G19" s="58" t="str">
        <f>IFERROR(VLOOKUP(D19,'Master List'!D:H,4,FALSE),"NA")</f>
        <v>110201</v>
      </c>
      <c r="H19" s="39" t="str">
        <f>IFERROR(VLOOKUP(D19,'Master List'!D:H,5,FALSE),"NA")</f>
        <v>Computer Programming/Programmer, General.</v>
      </c>
      <c r="I19" s="19"/>
      <c r="J19" s="20"/>
      <c r="K19" s="20"/>
      <c r="L19" s="21"/>
    </row>
    <row r="20" spans="1:12" x14ac:dyDescent="0.3">
      <c r="A20" s="33">
        <v>19</v>
      </c>
      <c r="B20" s="33" t="s">
        <v>2163</v>
      </c>
      <c r="C20" s="34" t="s">
        <v>756</v>
      </c>
      <c r="D20" s="51" t="s">
        <v>390</v>
      </c>
      <c r="E20" s="61" t="str">
        <f>IFERROR(VLOOKUP(D20,'Master List'!D:H,2,FALSE),"NA")</f>
        <v>110202</v>
      </c>
      <c r="F20" s="62" t="str">
        <f>IFERROR(VLOOKUP(D20,'Master List'!D:H,3,FALSE),"NA")</f>
        <v>110202</v>
      </c>
      <c r="G20" s="58" t="str">
        <f>IFERROR(VLOOKUP(D20,'Master List'!D:H,4,FALSE),"NA")</f>
        <v>110202</v>
      </c>
      <c r="H20" s="39" t="str">
        <f>IFERROR(VLOOKUP(D20,'Master List'!D:H,5,FALSE),"NA")</f>
        <v>Computer Programming, Specific Applications.</v>
      </c>
      <c r="I20" s="19"/>
      <c r="J20" s="20"/>
      <c r="K20" s="20"/>
      <c r="L20" s="21"/>
    </row>
    <row r="21" spans="1:12" x14ac:dyDescent="0.3">
      <c r="A21" s="33">
        <v>19</v>
      </c>
      <c r="B21" s="33" t="s">
        <v>2163</v>
      </c>
      <c r="C21" s="34" t="s">
        <v>756</v>
      </c>
      <c r="D21" s="51" t="s">
        <v>421</v>
      </c>
      <c r="E21" s="61" t="str">
        <f>IFERROR(VLOOKUP(D21,'Master List'!D:H,2,FALSE),"NA")</f>
        <v>110801</v>
      </c>
      <c r="F21" s="62" t="str">
        <f>IFERROR(VLOOKUP(D21,'Master List'!D:H,3,FALSE),"NA")</f>
        <v>110801</v>
      </c>
      <c r="G21" s="58" t="str">
        <f>IFERROR(VLOOKUP(D21,'Master List'!D:H,4,FALSE),"NA")</f>
        <v>110801</v>
      </c>
      <c r="H21" s="39" t="str">
        <f>IFERROR(VLOOKUP(D21,'Master List'!D:H,5,FALSE),"NA")</f>
        <v>Web Page, Digital/Multimedia and Information Resources Design.</v>
      </c>
      <c r="I21" s="19"/>
      <c r="J21" s="20"/>
      <c r="K21" s="20"/>
      <c r="L21" s="21"/>
    </row>
    <row r="22" spans="1:12" x14ac:dyDescent="0.3">
      <c r="A22" s="33">
        <v>19</v>
      </c>
      <c r="B22" s="33" t="s">
        <v>2163</v>
      </c>
      <c r="C22" s="34" t="s">
        <v>756</v>
      </c>
      <c r="D22" s="51" t="s">
        <v>34</v>
      </c>
      <c r="E22" s="61" t="str">
        <f>IFERROR(VLOOKUP(D22,'Master List'!D:H,2,FALSE),"NA")</f>
        <v>111001</v>
      </c>
      <c r="F22" s="62" t="str">
        <f>IFERROR(VLOOKUP(D22,'Master List'!D:H,3,FALSE),"NA")</f>
        <v>111001</v>
      </c>
      <c r="G22" s="58" t="str">
        <f>IFERROR(VLOOKUP(D22,'Master List'!D:H,4,FALSE),"NA")</f>
        <v>111001</v>
      </c>
      <c r="H22" s="39" t="str">
        <f>IFERROR(VLOOKUP(D22,'Master List'!D:H,5,FALSE),"NA")</f>
        <v>Network and System Administration/Administrator.</v>
      </c>
      <c r="I22" s="19"/>
      <c r="J22" s="20"/>
      <c r="K22" s="20"/>
      <c r="L22" s="21"/>
    </row>
    <row r="23" spans="1:12" x14ac:dyDescent="0.3">
      <c r="A23" s="33">
        <v>19</v>
      </c>
      <c r="B23" s="33" t="s">
        <v>2163</v>
      </c>
      <c r="C23" s="34" t="s">
        <v>756</v>
      </c>
      <c r="D23" s="51" t="s">
        <v>542</v>
      </c>
      <c r="E23" s="61" t="str">
        <f>IFERROR(VLOOKUP(D23,'Master List'!D:H,2,FALSE),"NA")</f>
        <v>111001</v>
      </c>
      <c r="F23" s="62" t="str">
        <f>IFERROR(VLOOKUP(D23,'Master List'!D:H,3,FALSE),"NA")</f>
        <v>111001</v>
      </c>
      <c r="G23" s="58" t="str">
        <f>IFERROR(VLOOKUP(D23,'Master List'!D:H,4,FALSE),"NA")</f>
        <v>111001</v>
      </c>
      <c r="H23" s="39" t="str">
        <f>IFERROR(VLOOKUP(D23,'Master List'!D:H,5,FALSE),"NA")</f>
        <v>Network and System Administration/Administrator.</v>
      </c>
      <c r="I23" s="19"/>
      <c r="J23" s="20"/>
      <c r="K23" s="20"/>
      <c r="L23" s="21"/>
    </row>
    <row r="24" spans="1:12" x14ac:dyDescent="0.3">
      <c r="A24" s="33">
        <v>19</v>
      </c>
      <c r="B24" s="33" t="s">
        <v>2163</v>
      </c>
      <c r="C24" s="34" t="s">
        <v>756</v>
      </c>
      <c r="D24" s="51" t="s">
        <v>35</v>
      </c>
      <c r="E24" s="61" t="str">
        <f>IFERROR(VLOOKUP(D24,'Master List'!D:H,2,FALSE),"NA")</f>
        <v>111001</v>
      </c>
      <c r="F24" s="62" t="str">
        <f>IFERROR(VLOOKUP(D24,'Master List'!D:H,3,FALSE),"NA")</f>
        <v>111001</v>
      </c>
      <c r="G24" s="58" t="str">
        <f>IFERROR(VLOOKUP(D24,'Master List'!D:H,4,FALSE),"NA")</f>
        <v>111001</v>
      </c>
      <c r="H24" s="39" t="str">
        <f>IFERROR(VLOOKUP(D24,'Master List'!D:H,5,FALSE),"NA")</f>
        <v>Network and System Administration/Administrator.</v>
      </c>
      <c r="I24" s="19"/>
      <c r="J24" s="20"/>
      <c r="K24" s="20"/>
      <c r="L24" s="21"/>
    </row>
    <row r="25" spans="1:12" x14ac:dyDescent="0.3">
      <c r="A25" s="33">
        <v>19</v>
      </c>
      <c r="B25" s="33" t="s">
        <v>2163</v>
      </c>
      <c r="C25" s="34" t="s">
        <v>756</v>
      </c>
      <c r="D25" s="51" t="s">
        <v>36</v>
      </c>
      <c r="E25" s="61" t="str">
        <f>IFERROR(VLOOKUP(D25,'Master List'!D:H,2,FALSE),"NA")</f>
        <v>111001</v>
      </c>
      <c r="F25" s="62" t="str">
        <f>IFERROR(VLOOKUP(D25,'Master List'!D:H,3,FALSE),"NA")</f>
        <v>111001</v>
      </c>
      <c r="G25" s="58" t="str">
        <f>IFERROR(VLOOKUP(D25,'Master List'!D:H,4,FALSE),"NA")</f>
        <v>111001</v>
      </c>
      <c r="H25" s="39" t="str">
        <f>IFERROR(VLOOKUP(D25,'Master List'!D:H,5,FALSE),"NA")</f>
        <v>Network and System Administration/Administrator.</v>
      </c>
      <c r="I25" s="19"/>
      <c r="J25" s="20"/>
      <c r="K25" s="20"/>
      <c r="L25" s="21"/>
    </row>
    <row r="26" spans="1:12" x14ac:dyDescent="0.3">
      <c r="A26" s="33">
        <v>19</v>
      </c>
      <c r="B26" s="33" t="s">
        <v>2163</v>
      </c>
      <c r="C26" s="34" t="s">
        <v>756</v>
      </c>
      <c r="D26" s="51" t="s">
        <v>600</v>
      </c>
      <c r="E26" s="61" t="str">
        <f>IFERROR(VLOOKUP(D26,'Master List'!D:H,2,FALSE),"NA")</f>
        <v>510716</v>
      </c>
      <c r="F26" s="62" t="str">
        <f>IFERROR(VLOOKUP(D26,'Master List'!D:H,3,FALSE),"NA")</f>
        <v>510716</v>
      </c>
      <c r="G26" s="58" t="str">
        <f>IFERROR(VLOOKUP(D26,'Master List'!D:H,4,FALSE),"NA")</f>
        <v>510716</v>
      </c>
      <c r="H26" s="39" t="str">
        <f>IFERROR(VLOOKUP(D26,'Master List'!D:H,5,FALSE),"NA")</f>
        <v>Medical Administrative/Executive Assistant and Medical Secretary.</v>
      </c>
      <c r="I26" s="19"/>
      <c r="J26" s="20"/>
      <c r="K26" s="20"/>
      <c r="L26" s="21"/>
    </row>
    <row r="27" spans="1:12" x14ac:dyDescent="0.3">
      <c r="A27" s="33">
        <v>19</v>
      </c>
      <c r="B27" s="33" t="s">
        <v>2163</v>
      </c>
      <c r="C27" s="34" t="s">
        <v>756</v>
      </c>
      <c r="D27" s="51" t="s">
        <v>153</v>
      </c>
      <c r="E27" s="61" t="str">
        <f>IFERROR(VLOOKUP(D27,'Master List'!D:H,2,FALSE),"NA")</f>
        <v>520201</v>
      </c>
      <c r="F27" s="62" t="str">
        <f>IFERROR(VLOOKUP(D27,'Master List'!D:H,3,FALSE),"NA")</f>
        <v>520201</v>
      </c>
      <c r="G27" s="58" t="str">
        <f>IFERROR(VLOOKUP(D27,'Master List'!D:H,4,FALSE),"NA")</f>
        <v>520201</v>
      </c>
      <c r="H27" s="39" t="str">
        <f>IFERROR(VLOOKUP(D27,'Master List'!D:H,5,FALSE),"NA")</f>
        <v>Business Administration and Management, General.</v>
      </c>
      <c r="I27" s="19"/>
      <c r="J27" s="20"/>
      <c r="K27" s="20"/>
      <c r="L27" s="21"/>
    </row>
    <row r="28" spans="1:12" x14ac:dyDescent="0.3">
      <c r="A28" s="33">
        <v>19</v>
      </c>
      <c r="B28" s="33" t="s">
        <v>2163</v>
      </c>
      <c r="C28" s="34" t="s">
        <v>756</v>
      </c>
      <c r="D28" s="51" t="s">
        <v>154</v>
      </c>
      <c r="E28" s="61" t="str">
        <f>IFERROR(VLOOKUP(D28,'Master List'!D:H,2,FALSE),"NA")</f>
        <v>520201</v>
      </c>
      <c r="F28" s="62" t="str">
        <f>IFERROR(VLOOKUP(D28,'Master List'!D:H,3,FALSE),"NA")</f>
        <v>520201</v>
      </c>
      <c r="G28" s="58" t="str">
        <f>IFERROR(VLOOKUP(D28,'Master List'!D:H,4,FALSE),"NA")</f>
        <v>520201</v>
      </c>
      <c r="H28" s="39" t="str">
        <f>IFERROR(VLOOKUP(D28,'Master List'!D:H,5,FALSE),"NA")</f>
        <v>Business Administration and Management, General.</v>
      </c>
      <c r="I28" s="19"/>
      <c r="J28" s="20"/>
      <c r="K28" s="20"/>
      <c r="L28" s="21"/>
    </row>
    <row r="29" spans="1:12" x14ac:dyDescent="0.3">
      <c r="A29" s="33">
        <v>19</v>
      </c>
      <c r="B29" s="33" t="s">
        <v>2163</v>
      </c>
      <c r="C29" s="34" t="s">
        <v>756</v>
      </c>
      <c r="D29" s="51" t="s">
        <v>37</v>
      </c>
      <c r="E29" s="61" t="str">
        <f>IFERROR(VLOOKUP(D29,'Master List'!D:H,2,FALSE),"NA")</f>
        <v>520204</v>
      </c>
      <c r="F29" s="62" t="str">
        <f>IFERROR(VLOOKUP(D29,'Master List'!D:H,3,FALSE),"NA")</f>
        <v>520204</v>
      </c>
      <c r="G29" s="58" t="str">
        <f>IFERROR(VLOOKUP(D29,'Master List'!D:H,4,FALSE),"NA")</f>
        <v>520204</v>
      </c>
      <c r="H29" s="39" t="str">
        <f>IFERROR(VLOOKUP(D29,'Master List'!D:H,5,FALSE),"NA")</f>
        <v>Office Management and Supervision.</v>
      </c>
      <c r="I29" s="19"/>
      <c r="J29" s="20"/>
      <c r="K29" s="20"/>
      <c r="L29" s="21"/>
    </row>
    <row r="30" spans="1:12" x14ac:dyDescent="0.3">
      <c r="A30" s="33">
        <v>19</v>
      </c>
      <c r="B30" s="33" t="s">
        <v>2163</v>
      </c>
      <c r="C30" s="34" t="s">
        <v>756</v>
      </c>
      <c r="D30" s="51" t="s">
        <v>226</v>
      </c>
      <c r="E30" s="61" t="str">
        <f>IFERROR(VLOOKUP(D30,'Master List'!D:H,2,FALSE),"NA")</f>
        <v>520204</v>
      </c>
      <c r="F30" s="62" t="str">
        <f>IFERROR(VLOOKUP(D30,'Master List'!D:H,3,FALSE),"NA")</f>
        <v>520204</v>
      </c>
      <c r="G30" s="58" t="str">
        <f>IFERROR(VLOOKUP(D30,'Master List'!D:H,4,FALSE),"NA")</f>
        <v>520204</v>
      </c>
      <c r="H30" s="39" t="str">
        <f>IFERROR(VLOOKUP(D30,'Master List'!D:H,5,FALSE),"NA")</f>
        <v>Office Management and Supervision.</v>
      </c>
      <c r="I30" s="19"/>
      <c r="J30" s="20"/>
      <c r="K30" s="20"/>
      <c r="L30" s="21"/>
    </row>
    <row r="31" spans="1:12" x14ac:dyDescent="0.3">
      <c r="A31" s="33">
        <v>19</v>
      </c>
      <c r="B31" s="33" t="s">
        <v>2163</v>
      </c>
      <c r="C31" s="34" t="s">
        <v>756</v>
      </c>
      <c r="D31" s="51" t="s">
        <v>227</v>
      </c>
      <c r="E31" s="61" t="str">
        <f>IFERROR(VLOOKUP(D31,'Master List'!D:H,2,FALSE),"NA")</f>
        <v>520302</v>
      </c>
      <c r="F31" s="62" t="str">
        <f>IFERROR(VLOOKUP(D31,'Master List'!D:H,3,FALSE),"NA")</f>
        <v>520302</v>
      </c>
      <c r="G31" s="58" t="str">
        <f>IFERROR(VLOOKUP(D31,'Master List'!D:H,4,FALSE),"NA")</f>
        <v>520302</v>
      </c>
      <c r="H31" s="39" t="str">
        <f>IFERROR(VLOOKUP(D31,'Master List'!D:H,5,FALSE),"NA")</f>
        <v>Accounting Technology/Technician and Bookkeeping.</v>
      </c>
      <c r="I31" s="19"/>
      <c r="J31" s="20"/>
      <c r="K31" s="20"/>
      <c r="L31" s="21"/>
    </row>
    <row r="32" spans="1:12" x14ac:dyDescent="0.3">
      <c r="A32" s="33">
        <v>19</v>
      </c>
      <c r="B32" s="33" t="s">
        <v>2163</v>
      </c>
      <c r="C32" s="34" t="s">
        <v>756</v>
      </c>
      <c r="D32" s="51" t="s">
        <v>228</v>
      </c>
      <c r="E32" s="61" t="str">
        <f>IFERROR(VLOOKUP(D32,'Master List'!D:H,2,FALSE),"NA")</f>
        <v>520302</v>
      </c>
      <c r="F32" s="62" t="str">
        <f>IFERROR(VLOOKUP(D32,'Master List'!D:H,3,FALSE),"NA")</f>
        <v>520302</v>
      </c>
      <c r="G32" s="58" t="str">
        <f>IFERROR(VLOOKUP(D32,'Master List'!D:H,4,FALSE),"NA")</f>
        <v>520302</v>
      </c>
      <c r="H32" s="39" t="str">
        <f>IFERROR(VLOOKUP(D32,'Master List'!D:H,5,FALSE),"NA")</f>
        <v>Accounting Technology/Technician and Bookkeeping.</v>
      </c>
      <c r="I32" s="19"/>
      <c r="J32" s="20"/>
      <c r="K32" s="20"/>
      <c r="L32" s="21"/>
    </row>
    <row r="33" spans="1:12" x14ac:dyDescent="0.3">
      <c r="A33" s="33">
        <v>19</v>
      </c>
      <c r="B33" s="33" t="s">
        <v>2163</v>
      </c>
      <c r="C33" s="34" t="s">
        <v>756</v>
      </c>
      <c r="D33" s="51" t="s">
        <v>40</v>
      </c>
      <c r="E33" s="61" t="str">
        <f>IFERROR(VLOOKUP(D33,'Master List'!D:H,2,FALSE),"NA")</f>
        <v>520302</v>
      </c>
      <c r="F33" s="62" t="str">
        <f>IFERROR(VLOOKUP(D33,'Master List'!D:H,3,FALSE),"NA")</f>
        <v>520302</v>
      </c>
      <c r="G33" s="58" t="str">
        <f>IFERROR(VLOOKUP(D33,'Master List'!D:H,4,FALSE),"NA")</f>
        <v>520302</v>
      </c>
      <c r="H33" s="39" t="str">
        <f>IFERROR(VLOOKUP(D33,'Master List'!D:H,5,FALSE),"NA")</f>
        <v>Accounting Technology/Technician and Bookkeeping.</v>
      </c>
      <c r="I33" s="19"/>
      <c r="J33" s="20"/>
      <c r="K33" s="20"/>
      <c r="L33" s="21"/>
    </row>
    <row r="34" spans="1:12" x14ac:dyDescent="0.3">
      <c r="A34" s="33">
        <v>19</v>
      </c>
      <c r="B34" s="33" t="s">
        <v>2163</v>
      </c>
      <c r="C34" s="34" t="s">
        <v>756</v>
      </c>
      <c r="D34" s="51" t="s">
        <v>229</v>
      </c>
      <c r="E34" s="61" t="str">
        <f>IFERROR(VLOOKUP(D34,'Master List'!D:H,2,FALSE),"NA")</f>
        <v>520407</v>
      </c>
      <c r="F34" s="62" t="str">
        <f>IFERROR(VLOOKUP(D34,'Master List'!D:H,3,FALSE),"NA")</f>
        <v>520407</v>
      </c>
      <c r="G34" s="58" t="str">
        <f>IFERROR(VLOOKUP(D34,'Master List'!D:H,4,FALSE),"NA")</f>
        <v>520407</v>
      </c>
      <c r="H34" s="39" t="str">
        <f>IFERROR(VLOOKUP(D34,'Master List'!D:H,5,FALSE),"NA")</f>
        <v>Business/Office Automation/Technology/Data Entry.</v>
      </c>
      <c r="I34" s="19"/>
      <c r="J34" s="20"/>
      <c r="K34" s="20"/>
      <c r="L34" s="21"/>
    </row>
    <row r="35" spans="1:12" x14ac:dyDescent="0.3">
      <c r="A35" s="33">
        <v>19</v>
      </c>
      <c r="B35" s="33" t="s">
        <v>2163</v>
      </c>
      <c r="C35" s="34" t="s">
        <v>756</v>
      </c>
      <c r="D35" s="51" t="s">
        <v>232</v>
      </c>
      <c r="E35" s="61" t="str">
        <f>IFERROR(VLOOKUP(D35,'Master List'!D:H,2,FALSE),"NA")</f>
        <v>520701</v>
      </c>
      <c r="F35" s="62" t="str">
        <f>IFERROR(VLOOKUP(D35,'Master List'!D:H,3,FALSE),"NA")</f>
        <v>520701</v>
      </c>
      <c r="G35" s="58" t="str">
        <f>IFERROR(VLOOKUP(D35,'Master List'!D:H,4,FALSE),"NA")</f>
        <v>520701</v>
      </c>
      <c r="H35" s="39" t="str">
        <f>IFERROR(VLOOKUP(D35,'Master List'!D:H,5,FALSE),"NA")</f>
        <v>Entrepreneurship/Entrepreneurial Studies.</v>
      </c>
      <c r="I35" s="19"/>
      <c r="J35" s="20"/>
      <c r="K35" s="20"/>
      <c r="L35" s="21"/>
    </row>
    <row r="36" spans="1:12" x14ac:dyDescent="0.3">
      <c r="A36" s="33">
        <v>19</v>
      </c>
      <c r="B36" s="33" t="s">
        <v>2163</v>
      </c>
      <c r="C36" s="34" t="s">
        <v>756</v>
      </c>
      <c r="D36" s="51" t="s">
        <v>394</v>
      </c>
      <c r="E36" s="61" t="str">
        <f>IFERROR(VLOOKUP(D36,'Master List'!D:H,2,FALSE),"NA")</f>
        <v>520703</v>
      </c>
      <c r="F36" s="62" t="str">
        <f>IFERROR(VLOOKUP(D36,'Master List'!D:H,3,FALSE),"NA")</f>
        <v>520703</v>
      </c>
      <c r="G36" s="58" t="str">
        <f>IFERROR(VLOOKUP(D36,'Master List'!D:H,4,FALSE),"NA")</f>
        <v>520703</v>
      </c>
      <c r="H36" s="39" t="str">
        <f>IFERROR(VLOOKUP(D36,'Master List'!D:H,5,FALSE),"NA")</f>
        <v>Small Business Administration/Management.</v>
      </c>
      <c r="I36" s="19"/>
      <c r="J36" s="20"/>
      <c r="K36" s="20"/>
      <c r="L36" s="21"/>
    </row>
    <row r="37" spans="1:12" x14ac:dyDescent="0.3">
      <c r="A37" s="33">
        <v>19</v>
      </c>
      <c r="B37" s="33" t="s">
        <v>2163</v>
      </c>
      <c r="C37" s="34" t="s">
        <v>756</v>
      </c>
      <c r="D37" s="51" t="s">
        <v>764</v>
      </c>
      <c r="E37" s="61" t="str">
        <f>IFERROR(VLOOKUP(D37,'Master List'!D:H,2,FALSE),"NA")</f>
        <v>521201</v>
      </c>
      <c r="F37" s="62" t="str">
        <f>IFERROR(VLOOKUP(D37,'Master List'!D:H,3,FALSE),"NA")</f>
        <v>521201</v>
      </c>
      <c r="G37" s="58" t="str">
        <f>IFERROR(VLOOKUP(D37,'Master List'!D:H,4,FALSE),"NA")</f>
        <v>521201</v>
      </c>
      <c r="H37" s="39" t="str">
        <f>IFERROR(VLOOKUP(D37,'Master List'!D:H,5,FALSE),"NA")</f>
        <v>Management Information Systems, General.</v>
      </c>
      <c r="I37" s="19"/>
      <c r="J37" s="20"/>
      <c r="K37" s="20"/>
      <c r="L37" s="21"/>
    </row>
    <row r="38" spans="1:12" x14ac:dyDescent="0.3">
      <c r="A38" s="33">
        <v>19</v>
      </c>
      <c r="B38" s="33" t="s">
        <v>2163</v>
      </c>
      <c r="C38" s="34" t="s">
        <v>756</v>
      </c>
      <c r="D38" s="51" t="s">
        <v>246</v>
      </c>
      <c r="E38" s="61" t="str">
        <f>IFERROR(VLOOKUP(D38,'Master List'!D:H,2,FALSE),"NA")</f>
        <v>150000</v>
      </c>
      <c r="F38" s="62" t="str">
        <f>IFERROR(VLOOKUP(D38,'Master List'!D:H,3,FALSE),"NA")</f>
        <v>150000</v>
      </c>
      <c r="G38" s="58" t="str">
        <f>IFERROR(VLOOKUP(D38,'Master List'!D:H,4,FALSE),"NA")</f>
        <v>150000</v>
      </c>
      <c r="H38" s="39" t="str">
        <f>IFERROR(VLOOKUP(D38,'Master List'!D:H,5,FALSE),"NA")</f>
        <v>Engineering Technologies/Technicians, General.</v>
      </c>
      <c r="I38" s="19"/>
      <c r="J38" s="20"/>
      <c r="K38" s="20"/>
      <c r="L38" s="21"/>
    </row>
    <row r="39" spans="1:12" x14ac:dyDescent="0.3">
      <c r="A39" s="33">
        <v>19</v>
      </c>
      <c r="B39" s="33" t="s">
        <v>2163</v>
      </c>
      <c r="C39" s="34" t="s">
        <v>756</v>
      </c>
      <c r="D39" s="51" t="s">
        <v>56</v>
      </c>
      <c r="E39" s="61" t="str">
        <f>IFERROR(VLOOKUP(D39,'Master List'!D:H,2,FALSE),"NA")</f>
        <v>150406</v>
      </c>
      <c r="F39" s="62" t="str">
        <f>IFERROR(VLOOKUP(D39,'Master List'!D:H,3,FALSE),"NA")</f>
        <v>150406</v>
      </c>
      <c r="G39" s="58" t="str">
        <f>IFERROR(VLOOKUP(D39,'Master List'!D:H,4,FALSE),"NA")</f>
        <v>150406</v>
      </c>
      <c r="H39" s="39" t="str">
        <f>IFERROR(VLOOKUP(D39,'Master List'!D:H,5,FALSE),"NA")</f>
        <v>Automation Engineer Technology/Technician.</v>
      </c>
      <c r="I39" s="19"/>
      <c r="J39" s="20"/>
      <c r="K39" s="20"/>
      <c r="L39" s="21"/>
    </row>
    <row r="40" spans="1:12" x14ac:dyDescent="0.3">
      <c r="A40" s="33">
        <v>19</v>
      </c>
      <c r="B40" s="33" t="s">
        <v>2163</v>
      </c>
      <c r="C40" s="34" t="s">
        <v>756</v>
      </c>
      <c r="D40" s="51" t="s">
        <v>252</v>
      </c>
      <c r="E40" s="61" t="str">
        <f>IFERROR(VLOOKUP(D40,'Master List'!D:H,2,FALSE),"NA")</f>
        <v>150613</v>
      </c>
      <c r="F40" s="62" t="str">
        <f>IFERROR(VLOOKUP(D40,'Master List'!D:H,3,FALSE),"NA")</f>
        <v>150613</v>
      </c>
      <c r="G40" s="58" t="str">
        <f>IFERROR(VLOOKUP(D40,'Master List'!D:H,4,FALSE),"NA")</f>
        <v>150613</v>
      </c>
      <c r="H40" s="39" t="str">
        <f>IFERROR(VLOOKUP(D40,'Master List'!D:H,5,FALSE),"NA")</f>
        <v>Manufacturing Engineering Technology/Technician.</v>
      </c>
      <c r="I40" s="19"/>
      <c r="J40" s="20"/>
      <c r="K40" s="20"/>
      <c r="L40" s="21"/>
    </row>
    <row r="41" spans="1:12" x14ac:dyDescent="0.3">
      <c r="A41" s="33">
        <v>19</v>
      </c>
      <c r="B41" s="33" t="s">
        <v>2163</v>
      </c>
      <c r="C41" s="34" t="s">
        <v>756</v>
      </c>
      <c r="D41" s="51" t="s">
        <v>262</v>
      </c>
      <c r="E41" s="61" t="str">
        <f>IFERROR(VLOOKUP(D41,'Master List'!D:H,2,FALSE),"NA")</f>
        <v>151302</v>
      </c>
      <c r="F41" s="62" t="str">
        <f>IFERROR(VLOOKUP(D41,'Master List'!D:H,3,FALSE),"NA")</f>
        <v>151302</v>
      </c>
      <c r="G41" s="58" t="str">
        <f>IFERROR(VLOOKUP(D41,'Master List'!D:H,4,FALSE),"NA")</f>
        <v>151302</v>
      </c>
      <c r="H41" s="39" t="str">
        <f>IFERROR(VLOOKUP(D41,'Master List'!D:H,5,FALSE),"NA")</f>
        <v>CAD/CADD Drafting and/or Design Technology/Technician.</v>
      </c>
      <c r="I41" s="19"/>
      <c r="J41" s="20"/>
      <c r="K41" s="20"/>
      <c r="L41" s="21"/>
    </row>
    <row r="42" spans="1:12" x14ac:dyDescent="0.3">
      <c r="A42" s="33">
        <v>19</v>
      </c>
      <c r="B42" s="33" t="s">
        <v>2163</v>
      </c>
      <c r="C42" s="34" t="s">
        <v>756</v>
      </c>
      <c r="D42" s="51" t="s">
        <v>291</v>
      </c>
      <c r="E42" s="61" t="str">
        <f>IFERROR(VLOOKUP(D42,'Master List'!D:H,2,FALSE),"NA")</f>
        <v>480508</v>
      </c>
      <c r="F42" s="62" t="str">
        <f>IFERROR(VLOOKUP(D42,'Master List'!D:H,3,FALSE),"NA")</f>
        <v>480508</v>
      </c>
      <c r="G42" s="58" t="str">
        <f>IFERROR(VLOOKUP(D42,'Master List'!D:H,4,FALSE),"NA")</f>
        <v>480508</v>
      </c>
      <c r="H42" s="39" t="str">
        <f>IFERROR(VLOOKUP(D42,'Master List'!D:H,5,FALSE),"NA")</f>
        <v>Welding Technology/Welder.</v>
      </c>
      <c r="I42" s="19"/>
      <c r="J42" s="20"/>
      <c r="K42" s="20"/>
      <c r="L42" s="21"/>
    </row>
    <row r="43" spans="1:12" x14ac:dyDescent="0.3">
      <c r="A43" s="33">
        <v>19</v>
      </c>
      <c r="B43" s="33" t="s">
        <v>2163</v>
      </c>
      <c r="C43" s="34" t="s">
        <v>756</v>
      </c>
      <c r="D43" s="51" t="s">
        <v>456</v>
      </c>
      <c r="E43" s="61" t="str">
        <f>IFERROR(VLOOKUP(D43,'Master List'!D:H,2,FALSE),"NA")</f>
        <v>480508</v>
      </c>
      <c r="F43" s="62" t="str">
        <f>IFERROR(VLOOKUP(D43,'Master List'!D:H,3,FALSE),"NA")</f>
        <v>480508</v>
      </c>
      <c r="G43" s="58" t="str">
        <f>IFERROR(VLOOKUP(D43,'Master List'!D:H,4,FALSE),"NA")</f>
        <v>480508</v>
      </c>
      <c r="H43" s="39" t="str">
        <f>IFERROR(VLOOKUP(D43,'Master List'!D:H,5,FALSE),"NA")</f>
        <v>Welding Technology/Welder.</v>
      </c>
      <c r="I43" s="19"/>
      <c r="J43" s="20"/>
      <c r="K43" s="20"/>
      <c r="L43" s="21"/>
    </row>
    <row r="44" spans="1:12" x14ac:dyDescent="0.3">
      <c r="A44" s="33">
        <v>19</v>
      </c>
      <c r="B44" s="33" t="s">
        <v>2163</v>
      </c>
      <c r="C44" s="34" t="s">
        <v>756</v>
      </c>
      <c r="D44" s="51" t="s">
        <v>68</v>
      </c>
      <c r="E44" s="61" t="str">
        <f>IFERROR(VLOOKUP(D44,'Master List'!D:H,2,FALSE),"NA")</f>
        <v>430102</v>
      </c>
      <c r="F44" s="62" t="str">
        <f>IFERROR(VLOOKUP(D44,'Master List'!D:H,3,FALSE),"NA")</f>
        <v>430102</v>
      </c>
      <c r="G44" s="58" t="str">
        <f>IFERROR(VLOOKUP(D44,'Master List'!D:H,4,FALSE),"NA")</f>
        <v>430102</v>
      </c>
      <c r="H44" s="39" t="str">
        <f>IFERROR(VLOOKUP(D44,'Master List'!D:H,5,FALSE),"NA")</f>
        <v>Corrections.</v>
      </c>
      <c r="I44" s="19"/>
      <c r="J44" s="20"/>
      <c r="K44" s="20"/>
      <c r="L44" s="21"/>
    </row>
    <row r="45" spans="1:12" x14ac:dyDescent="0.3">
      <c r="A45" s="33">
        <v>19</v>
      </c>
      <c r="B45" s="33" t="s">
        <v>2163</v>
      </c>
      <c r="C45" s="34" t="s">
        <v>756</v>
      </c>
      <c r="D45" s="51" t="s">
        <v>484</v>
      </c>
      <c r="E45" s="61" t="str">
        <f>IFERROR(VLOOKUP(D45,'Master List'!D:H,2,FALSE),"NA")</f>
        <v>430102</v>
      </c>
      <c r="F45" s="62" t="str">
        <f>IFERROR(VLOOKUP(D45,'Master List'!D:H,3,FALSE),"NA")</f>
        <v>430102</v>
      </c>
      <c r="G45" s="58" t="str">
        <f>IFERROR(VLOOKUP(D45,'Master List'!D:H,4,FALSE),"NA")</f>
        <v>430102</v>
      </c>
      <c r="H45" s="39" t="str">
        <f>IFERROR(VLOOKUP(D45,'Master List'!D:H,5,FALSE),"NA")</f>
        <v>Corrections.</v>
      </c>
      <c r="I45" s="19"/>
      <c r="J45" s="20"/>
      <c r="K45" s="20"/>
      <c r="L45" s="21"/>
    </row>
    <row r="46" spans="1:12" x14ac:dyDescent="0.3">
      <c r="A46" s="33">
        <v>19</v>
      </c>
      <c r="B46" s="33" t="s">
        <v>2163</v>
      </c>
      <c r="C46" s="34" t="s">
        <v>756</v>
      </c>
      <c r="D46" s="51" t="s">
        <v>71</v>
      </c>
      <c r="E46" s="61" t="str">
        <f>IFERROR(VLOOKUP(D46,'Master List'!D:H,2,FALSE),"NA")</f>
        <v>430107</v>
      </c>
      <c r="F46" s="62" t="str">
        <f>IFERROR(VLOOKUP(D46,'Master List'!D:H,3,FALSE),"NA")</f>
        <v>430107</v>
      </c>
      <c r="G46" s="58" t="str">
        <f>IFERROR(VLOOKUP(D46,'Master List'!D:H,4,FALSE),"NA")</f>
        <v>430107</v>
      </c>
      <c r="H46" s="39" t="str">
        <f>IFERROR(VLOOKUP(D46,'Master List'!D:H,5,FALSE),"NA")</f>
        <v>Criminal Justice/Police Science.</v>
      </c>
      <c r="I46" s="19"/>
      <c r="J46" s="20"/>
      <c r="K46" s="20"/>
      <c r="L46" s="21"/>
    </row>
    <row r="47" spans="1:12" x14ac:dyDescent="0.3">
      <c r="A47" s="33">
        <v>19</v>
      </c>
      <c r="B47" s="33" t="s">
        <v>2163</v>
      </c>
      <c r="C47" s="34" t="s">
        <v>756</v>
      </c>
      <c r="D47" s="51" t="s">
        <v>74</v>
      </c>
      <c r="E47" s="61" t="str">
        <f>IFERROR(VLOOKUP(D47,'Master List'!D:H,2,FALSE),"NA")</f>
        <v>430107</v>
      </c>
      <c r="F47" s="62" t="str">
        <f>IFERROR(VLOOKUP(D47,'Master List'!D:H,3,FALSE),"NA")</f>
        <v>430107</v>
      </c>
      <c r="G47" s="58" t="str">
        <f>IFERROR(VLOOKUP(D47,'Master List'!D:H,4,FALSE),"NA")</f>
        <v>430107</v>
      </c>
      <c r="H47" s="39" t="str">
        <f>IFERROR(VLOOKUP(D47,'Master List'!D:H,5,FALSE),"NA")</f>
        <v>Criminal Justice/Police Science.</v>
      </c>
      <c r="I47" s="19"/>
      <c r="J47" s="20"/>
      <c r="K47" s="20"/>
      <c r="L47" s="21"/>
    </row>
    <row r="48" spans="1:12" x14ac:dyDescent="0.3">
      <c r="A48" s="33">
        <v>19</v>
      </c>
      <c r="B48" s="33" t="s">
        <v>2163</v>
      </c>
      <c r="C48" s="34" t="s">
        <v>756</v>
      </c>
      <c r="D48" s="51" t="s">
        <v>765</v>
      </c>
      <c r="E48" s="61" t="str">
        <f>IFERROR(VLOOKUP(D48,'Master List'!D:H,2,FALSE),"NA")</f>
        <v>430107</v>
      </c>
      <c r="F48" s="62" t="str">
        <f>IFERROR(VLOOKUP(D48,'Master List'!D:H,3,FALSE),"NA")</f>
        <v>430107</v>
      </c>
      <c r="G48" s="58" t="str">
        <f>IFERROR(VLOOKUP(D48,'Master List'!D:H,4,FALSE),"NA")</f>
        <v>430107</v>
      </c>
      <c r="H48" s="39" t="str">
        <f>IFERROR(VLOOKUP(D48,'Master List'!D:H,5,FALSE),"NA")</f>
        <v>Criminal Justice/Police Science.</v>
      </c>
      <c r="I48" s="19"/>
      <c r="J48" s="20"/>
      <c r="K48" s="20"/>
      <c r="L48" s="21"/>
    </row>
    <row r="49" spans="1:12" x14ac:dyDescent="0.3">
      <c r="A49" s="33">
        <v>19</v>
      </c>
      <c r="B49" s="33" t="s">
        <v>2163</v>
      </c>
      <c r="C49" s="34" t="s">
        <v>756</v>
      </c>
      <c r="D49" s="51" t="s">
        <v>318</v>
      </c>
      <c r="E49" s="61" t="str">
        <f>IFERROR(VLOOKUP(D49,'Master List'!D:H,2,FALSE),"NA")</f>
        <v>430203</v>
      </c>
      <c r="F49" s="62" t="str">
        <f>IFERROR(VLOOKUP(D49,'Master List'!D:H,3,FALSE),"NA")</f>
        <v>430203</v>
      </c>
      <c r="G49" s="58" t="str">
        <f>IFERROR(VLOOKUP(D49,'Master List'!D:H,4,FALSE),"NA")</f>
        <v>430203</v>
      </c>
      <c r="H49" s="39" t="str">
        <f>IFERROR(VLOOKUP(D49,'Master List'!D:H,5,FALSE),"NA")</f>
        <v>Fire Science/Fire-fighting.</v>
      </c>
      <c r="I49" s="19"/>
      <c r="J49" s="20"/>
      <c r="K49" s="20"/>
      <c r="L49" s="21"/>
    </row>
    <row r="50" spans="1:12" x14ac:dyDescent="0.3">
      <c r="A50" s="33">
        <v>19</v>
      </c>
      <c r="B50" s="33" t="s">
        <v>2163</v>
      </c>
      <c r="C50" s="34" t="s">
        <v>756</v>
      </c>
      <c r="D50" s="51" t="s">
        <v>766</v>
      </c>
      <c r="E50" s="61" t="str">
        <f>IFERROR(VLOOKUP(D50,'Master List'!D:H,2,FALSE),"NA")</f>
        <v>520801</v>
      </c>
      <c r="F50" s="62" t="str">
        <f>IFERROR(VLOOKUP(D50,'Master List'!D:H,3,FALSE),"NA")</f>
        <v>520801</v>
      </c>
      <c r="G50" s="58" t="str">
        <f>IFERROR(VLOOKUP(D50,'Master List'!D:H,4,FALSE),"NA")</f>
        <v>520801</v>
      </c>
      <c r="H50" s="39" t="str">
        <f>IFERROR(VLOOKUP(D50,'Master List'!D:H,5,FALSE),"NA")</f>
        <v>Finance, General.</v>
      </c>
      <c r="I50" s="19"/>
      <c r="J50" s="20"/>
      <c r="K50" s="20"/>
      <c r="L50" s="21"/>
    </row>
    <row r="51" spans="1:12" x14ac:dyDescent="0.3">
      <c r="A51" s="33">
        <v>19</v>
      </c>
      <c r="B51" s="33" t="s">
        <v>2163</v>
      </c>
      <c r="C51" s="34" t="s">
        <v>756</v>
      </c>
      <c r="D51" s="51" t="s">
        <v>767</v>
      </c>
      <c r="E51" s="61" t="str">
        <f>IFERROR(VLOOKUP(D51,'Master List'!D:H,2,FALSE),"NA")</f>
        <v>NA</v>
      </c>
      <c r="F51" s="62" t="str">
        <f>IFERROR(VLOOKUP(D51,'Master List'!D:H,3,FALSE),"NA")</f>
        <v>NA</v>
      </c>
      <c r="G51" s="58" t="str">
        <f>IFERROR(VLOOKUP(D51,'Master List'!D:H,4,FALSE),"NA")</f>
        <v>NA</v>
      </c>
      <c r="H51" s="39" t="str">
        <f>IFERROR(VLOOKUP(D51,'Master List'!D:H,5,FALSE),"NA")</f>
        <v>NA</v>
      </c>
      <c r="I51" s="19"/>
      <c r="J51" s="20"/>
      <c r="K51" s="20"/>
      <c r="L51" s="21"/>
    </row>
    <row r="52" spans="1:12" x14ac:dyDescent="0.3">
      <c r="A52" s="33">
        <v>19</v>
      </c>
      <c r="B52" s="33" t="s">
        <v>2163</v>
      </c>
      <c r="C52" s="34" t="s">
        <v>756</v>
      </c>
      <c r="D52" s="51" t="s">
        <v>84</v>
      </c>
      <c r="E52" s="61" t="str">
        <f>IFERROR(VLOOKUP(D52,'Master List'!D:H,2,FALSE),"NA")</f>
        <v>510602</v>
      </c>
      <c r="F52" s="62" t="str">
        <f>IFERROR(VLOOKUP(D52,'Master List'!D:H,3,FALSE),"NA")</f>
        <v>510602</v>
      </c>
      <c r="G52" s="58" t="str">
        <f>IFERROR(VLOOKUP(D52,'Master List'!D:H,4,FALSE),"NA")</f>
        <v>510602</v>
      </c>
      <c r="H52" s="39" t="str">
        <f>IFERROR(VLOOKUP(D52,'Master List'!D:H,5,FALSE),"NA")</f>
        <v>Dental Hygiene/Hygienist.</v>
      </c>
      <c r="I52" s="19"/>
      <c r="J52" s="20"/>
      <c r="K52" s="20"/>
      <c r="L52" s="21"/>
    </row>
    <row r="53" spans="1:12" x14ac:dyDescent="0.3">
      <c r="A53" s="33">
        <v>19</v>
      </c>
      <c r="B53" s="33" t="s">
        <v>2163</v>
      </c>
      <c r="C53" s="34" t="s">
        <v>756</v>
      </c>
      <c r="D53" s="51" t="s">
        <v>90</v>
      </c>
      <c r="E53" s="61" t="str">
        <f>IFERROR(VLOOKUP(D53,'Master List'!D:H,2,FALSE),"NA")</f>
        <v>510904</v>
      </c>
      <c r="F53" s="62" t="str">
        <f>IFERROR(VLOOKUP(D53,'Master List'!D:H,3,FALSE),"NA")</f>
        <v>510904</v>
      </c>
      <c r="G53" s="58" t="str">
        <f>IFERROR(VLOOKUP(D53,'Master List'!D:H,4,FALSE),"NA")</f>
        <v>510904</v>
      </c>
      <c r="H53" s="39" t="str">
        <f>IFERROR(VLOOKUP(D53,'Master List'!D:H,5,FALSE),"NA")</f>
        <v>Emergency Medical Technology/Technician (EMT Paramedic).</v>
      </c>
      <c r="I53" s="19"/>
      <c r="J53" s="20"/>
      <c r="K53" s="20"/>
      <c r="L53" s="21"/>
    </row>
    <row r="54" spans="1:12" x14ac:dyDescent="0.3">
      <c r="A54" s="33">
        <v>19</v>
      </c>
      <c r="B54" s="33" t="s">
        <v>2163</v>
      </c>
      <c r="C54" s="34" t="s">
        <v>756</v>
      </c>
      <c r="D54" s="51" t="s">
        <v>91</v>
      </c>
      <c r="E54" s="61" t="str">
        <f>IFERROR(VLOOKUP(D54,'Master List'!D:H,2,FALSE),"NA")</f>
        <v>510907</v>
      </c>
      <c r="F54" s="62" t="str">
        <f>IFERROR(VLOOKUP(D54,'Master List'!D:H,3,FALSE),"NA")</f>
        <v>510907</v>
      </c>
      <c r="G54" s="58">
        <f>IFERROR(VLOOKUP(D54,'Master List'!D:H,4,FALSE),"NA")</f>
        <v>510911</v>
      </c>
      <c r="H54" s="39" t="str">
        <f>IFERROR(VLOOKUP(D54,'Master List'!D:H,5,FALSE),"NA")</f>
        <v>Radiologic Technology/Science - Radiographer</v>
      </c>
      <c r="I54" s="19"/>
      <c r="J54" s="20"/>
      <c r="K54" s="20"/>
      <c r="L54" s="21"/>
    </row>
    <row r="55" spans="1:12" x14ac:dyDescent="0.3">
      <c r="A55" s="33">
        <v>19</v>
      </c>
      <c r="B55" s="33" t="s">
        <v>2163</v>
      </c>
      <c r="C55" s="34" t="s">
        <v>756</v>
      </c>
      <c r="D55" s="51" t="s">
        <v>399</v>
      </c>
      <c r="E55" s="61" t="str">
        <f>IFERROR(VLOOKUP(D55,'Master List'!D:H,2,FALSE),"NA")</f>
        <v>NA</v>
      </c>
      <c r="F55" s="62" t="str">
        <f>IFERROR(VLOOKUP(D55,'Master List'!D:H,3,FALSE),"NA")</f>
        <v>NA</v>
      </c>
      <c r="G55" s="58" t="str">
        <f>IFERROR(VLOOKUP(D55,'Master List'!D:H,4,FALSE),"NA")</f>
        <v>NA</v>
      </c>
      <c r="H55" s="39" t="str">
        <f>IFERROR(VLOOKUP(D55,'Master List'!D:H,5,FALSE),"NA")</f>
        <v>NA</v>
      </c>
      <c r="I55" s="19"/>
      <c r="J55" s="20"/>
      <c r="K55" s="20"/>
      <c r="L55" s="21"/>
    </row>
    <row r="56" spans="1:12" x14ac:dyDescent="0.3">
      <c r="A56" s="33">
        <v>19</v>
      </c>
      <c r="B56" s="33" t="s">
        <v>2163</v>
      </c>
      <c r="C56" s="34" t="s">
        <v>756</v>
      </c>
      <c r="D56" s="51" t="s">
        <v>101</v>
      </c>
      <c r="E56" s="61" t="str">
        <f>IFERROR(VLOOKUP(D56,'Master List'!D:H,2,FALSE),"NA")</f>
        <v>513801</v>
      </c>
      <c r="F56" s="62" t="str">
        <f>IFERROR(VLOOKUP(D56,'Master List'!D:H,3,FALSE),"NA")</f>
        <v>513801</v>
      </c>
      <c r="G56" s="58" t="str">
        <f>IFERROR(VLOOKUP(D56,'Master List'!D:H,4,FALSE),"NA")</f>
        <v>513801</v>
      </c>
      <c r="H56" s="39" t="str">
        <f>IFERROR(VLOOKUP(D56,'Master List'!D:H,5,FALSE),"NA")</f>
        <v>Registered Nursing/Registered Nurse.</v>
      </c>
      <c r="I56" s="19"/>
      <c r="J56" s="20"/>
      <c r="K56" s="20"/>
      <c r="L56" s="21"/>
    </row>
    <row r="57" spans="1:12" x14ac:dyDescent="0.3">
      <c r="A57" s="33">
        <v>19</v>
      </c>
      <c r="B57" s="33" t="s">
        <v>2163</v>
      </c>
      <c r="C57" s="34" t="s">
        <v>756</v>
      </c>
      <c r="D57" s="51" t="s">
        <v>170</v>
      </c>
      <c r="E57" s="61" t="str">
        <f>IFERROR(VLOOKUP(D57,'Master List'!D:H,2,FALSE),"NA")</f>
        <v>110201</v>
      </c>
      <c r="F57" s="62" t="str">
        <f>IFERROR(VLOOKUP(D57,'Master List'!D:H,3,FALSE),"NA")</f>
        <v>110201</v>
      </c>
      <c r="G57" s="58" t="str">
        <f>IFERROR(VLOOKUP(D57,'Master List'!D:H,4,FALSE),"NA")</f>
        <v>110201</v>
      </c>
      <c r="H57" s="39" t="str">
        <f>IFERROR(VLOOKUP(D57,'Master List'!D:H,5,FALSE),"NA")</f>
        <v>Computer Programming/Programmer, General.</v>
      </c>
      <c r="I57" s="19"/>
      <c r="J57" s="20"/>
      <c r="K57" s="20"/>
      <c r="L57" s="21"/>
    </row>
    <row r="58" spans="1:12" x14ac:dyDescent="0.3">
      <c r="A58" s="33">
        <v>19</v>
      </c>
      <c r="B58" s="33" t="s">
        <v>2163</v>
      </c>
      <c r="C58" s="34" t="s">
        <v>756</v>
      </c>
      <c r="D58" s="51" t="s">
        <v>686</v>
      </c>
      <c r="E58" s="61" t="str">
        <f>IFERROR(VLOOKUP(D58,'Master List'!D:H,2,FALSE),"NA")</f>
        <v>110801</v>
      </c>
      <c r="F58" s="62" t="str">
        <f>IFERROR(VLOOKUP(D58,'Master List'!D:H,3,FALSE),"NA")</f>
        <v>110801</v>
      </c>
      <c r="G58" s="58">
        <f>IFERROR(VLOOKUP(D58,'Master List'!D:H,4,FALSE),"NA")</f>
        <v>111004</v>
      </c>
      <c r="H58" s="39" t="str">
        <f>IFERROR(VLOOKUP(D58,'Master List'!D:H,5,FALSE),"NA")</f>
        <v xml:space="preserve">Web/Multimedia Management and Webmaster. </v>
      </c>
      <c r="I58" s="19"/>
      <c r="J58" s="20"/>
      <c r="K58" s="20"/>
      <c r="L58" s="21"/>
    </row>
    <row r="59" spans="1:12" x14ac:dyDescent="0.3">
      <c r="A59" s="33">
        <v>19</v>
      </c>
      <c r="B59" s="33" t="s">
        <v>2163</v>
      </c>
      <c r="C59" s="34" t="s">
        <v>756</v>
      </c>
      <c r="D59" s="51" t="s">
        <v>349</v>
      </c>
      <c r="E59" s="61" t="str">
        <f>IFERROR(VLOOKUP(D59,'Master List'!D:H,2,FALSE),"NA")</f>
        <v>NA</v>
      </c>
      <c r="F59" s="62" t="str">
        <f>IFERROR(VLOOKUP(D59,'Master List'!D:H,3,FALSE),"NA")</f>
        <v>NA</v>
      </c>
      <c r="G59" s="58" t="str">
        <f>IFERROR(VLOOKUP(D59,'Master List'!D:H,4,FALSE),"NA")</f>
        <v>NA</v>
      </c>
      <c r="H59" s="39" t="str">
        <f>IFERROR(VLOOKUP(D59,'Master List'!D:H,5,FALSE),"NA")</f>
        <v>NA</v>
      </c>
      <c r="I59" s="19"/>
      <c r="J59" s="20"/>
      <c r="K59" s="20"/>
      <c r="L59" s="21"/>
    </row>
    <row r="60" spans="1:12" x14ac:dyDescent="0.3">
      <c r="A60" s="33">
        <v>19</v>
      </c>
      <c r="B60" s="33" t="s">
        <v>2163</v>
      </c>
      <c r="C60" s="34" t="s">
        <v>756</v>
      </c>
      <c r="D60" s="51" t="s">
        <v>106</v>
      </c>
      <c r="E60" s="61" t="str">
        <f>IFERROR(VLOOKUP(D60,'Master List'!D:H,2,FALSE),"NA")</f>
        <v>111001</v>
      </c>
      <c r="F60" s="62" t="str">
        <f>IFERROR(VLOOKUP(D60,'Master List'!D:H,3,FALSE),"NA")</f>
        <v>111001</v>
      </c>
      <c r="G60" s="58" t="str">
        <f>IFERROR(VLOOKUP(D60,'Master List'!D:H,4,FALSE),"NA")</f>
        <v>111001</v>
      </c>
      <c r="H60" s="39" t="str">
        <f>IFERROR(VLOOKUP(D60,'Master List'!D:H,5,FALSE),"NA")</f>
        <v>Network and System Administration/Administrator.</v>
      </c>
      <c r="I60" s="19"/>
      <c r="J60" s="20"/>
      <c r="K60" s="20"/>
      <c r="L60" s="21"/>
    </row>
    <row r="61" spans="1:12" x14ac:dyDescent="0.3">
      <c r="A61" s="33">
        <v>19</v>
      </c>
      <c r="B61" s="33" t="s">
        <v>2163</v>
      </c>
      <c r="C61" s="34" t="s">
        <v>756</v>
      </c>
      <c r="D61" s="51" t="s">
        <v>656</v>
      </c>
      <c r="E61" s="61" t="str">
        <f>IFERROR(VLOOKUP(D61,'Master List'!D:H,2,FALSE),"NA")</f>
        <v>111003</v>
      </c>
      <c r="F61" s="62" t="str">
        <f>IFERROR(VLOOKUP(D61,'Master List'!D:H,3,FALSE),"NA")</f>
        <v>111003</v>
      </c>
      <c r="G61" s="58" t="str">
        <f>IFERROR(VLOOKUP(D61,'Master List'!D:H,4,FALSE),"NA")</f>
        <v>111003</v>
      </c>
      <c r="H61" s="39" t="str">
        <f>IFERROR(VLOOKUP(D61,'Master List'!D:H,5,FALSE),"NA")</f>
        <v>Computer and Information Systems Security/Auditing/Information Assurance.</v>
      </c>
      <c r="I61" s="19"/>
      <c r="J61" s="20"/>
      <c r="K61" s="20"/>
      <c r="L61" s="21"/>
    </row>
    <row r="62" spans="1:12" x14ac:dyDescent="0.3">
      <c r="A62" s="33">
        <v>19</v>
      </c>
      <c r="B62" s="33" t="s">
        <v>2163</v>
      </c>
      <c r="C62" s="34" t="s">
        <v>756</v>
      </c>
      <c r="D62" s="51" t="s">
        <v>107</v>
      </c>
      <c r="E62" s="61" t="str">
        <f>IFERROR(VLOOKUP(D62,'Master List'!D:H,2,FALSE),"NA")</f>
        <v>520201</v>
      </c>
      <c r="F62" s="62" t="str">
        <f>IFERROR(VLOOKUP(D62,'Master List'!D:H,3,FALSE),"NA")</f>
        <v>520201</v>
      </c>
      <c r="G62" s="58" t="str">
        <f>IFERROR(VLOOKUP(D62,'Master List'!D:H,4,FALSE),"NA")</f>
        <v>520201</v>
      </c>
      <c r="H62" s="39" t="str">
        <f>IFERROR(VLOOKUP(D62,'Master List'!D:H,5,FALSE),"NA")</f>
        <v>Business Administration and Management, General.</v>
      </c>
      <c r="I62" s="19"/>
      <c r="J62" s="20"/>
      <c r="K62" s="20"/>
      <c r="L62" s="21"/>
    </row>
    <row r="63" spans="1:12" x14ac:dyDescent="0.3">
      <c r="A63" s="33">
        <v>19</v>
      </c>
      <c r="B63" s="33" t="s">
        <v>2163</v>
      </c>
      <c r="C63" s="34" t="s">
        <v>756</v>
      </c>
      <c r="D63" s="51" t="s">
        <v>351</v>
      </c>
      <c r="E63" s="61" t="str">
        <f>IFERROR(VLOOKUP(D63,'Master List'!D:H,2,FALSE),"NA")</f>
        <v>520204</v>
      </c>
      <c r="F63" s="62" t="str">
        <f>IFERROR(VLOOKUP(D63,'Master List'!D:H,3,FALSE),"NA")</f>
        <v>520204</v>
      </c>
      <c r="G63" s="58" t="str">
        <f>IFERROR(VLOOKUP(D63,'Master List'!D:H,4,FALSE),"NA")</f>
        <v>520204</v>
      </c>
      <c r="H63" s="39" t="str">
        <f>IFERROR(VLOOKUP(D63,'Master List'!D:H,5,FALSE),"NA")</f>
        <v>Office Management and Supervision.</v>
      </c>
      <c r="I63" s="19"/>
      <c r="J63" s="20"/>
      <c r="K63" s="20"/>
      <c r="L63" s="21"/>
    </row>
    <row r="64" spans="1:12" x14ac:dyDescent="0.3">
      <c r="A64" s="33">
        <v>19</v>
      </c>
      <c r="B64" s="33" t="s">
        <v>2163</v>
      </c>
      <c r="C64" s="34" t="s">
        <v>756</v>
      </c>
      <c r="D64" s="51" t="s">
        <v>110</v>
      </c>
      <c r="E64" s="61" t="str">
        <f>IFERROR(VLOOKUP(D64,'Master List'!D:H,2,FALSE),"NA")</f>
        <v>520302</v>
      </c>
      <c r="F64" s="62" t="str">
        <f>IFERROR(VLOOKUP(D64,'Master List'!D:H,3,FALSE),"NA")</f>
        <v>520302</v>
      </c>
      <c r="G64" s="58" t="str">
        <f>IFERROR(VLOOKUP(D64,'Master List'!D:H,4,FALSE),"NA")</f>
        <v>520302</v>
      </c>
      <c r="H64" s="39" t="str">
        <f>IFERROR(VLOOKUP(D64,'Master List'!D:H,5,FALSE),"NA")</f>
        <v>Accounting Technology/Technician and Bookkeeping.</v>
      </c>
      <c r="I64" s="19"/>
      <c r="J64" s="20"/>
      <c r="K64" s="20"/>
      <c r="L64" s="21"/>
    </row>
    <row r="65" spans="1:12" x14ac:dyDescent="0.3">
      <c r="A65" s="33">
        <v>19</v>
      </c>
      <c r="B65" s="33" t="s">
        <v>2163</v>
      </c>
      <c r="C65" s="34" t="s">
        <v>756</v>
      </c>
      <c r="D65" s="51" t="s">
        <v>768</v>
      </c>
      <c r="E65" s="61" t="str">
        <f>IFERROR(VLOOKUP(D65,'Master List'!D:H,2,FALSE),"NA")</f>
        <v>521201</v>
      </c>
      <c r="F65" s="62" t="str">
        <f>IFERROR(VLOOKUP(D65,'Master List'!D:H,3,FALSE),"NA")</f>
        <v>521201</v>
      </c>
      <c r="G65" s="58" t="str">
        <f>IFERROR(VLOOKUP(D65,'Master List'!D:H,4,FALSE),"NA")</f>
        <v>521201</v>
      </c>
      <c r="H65" s="39" t="str">
        <f>IFERROR(VLOOKUP(D65,'Master List'!D:H,5,FALSE),"NA")</f>
        <v>Management Information Systems, General.</v>
      </c>
      <c r="I65" s="19"/>
      <c r="J65" s="20"/>
      <c r="K65" s="20"/>
      <c r="L65" s="21"/>
    </row>
    <row r="66" spans="1:12" x14ac:dyDescent="0.3">
      <c r="A66" s="33">
        <v>19</v>
      </c>
      <c r="B66" s="33" t="s">
        <v>2163</v>
      </c>
      <c r="C66" s="34" t="s">
        <v>756</v>
      </c>
      <c r="D66" s="51" t="s">
        <v>120</v>
      </c>
      <c r="E66" s="61" t="str">
        <f>IFERROR(VLOOKUP(D66,'Master List'!D:H,2,FALSE),"NA")</f>
        <v>150000</v>
      </c>
      <c r="F66" s="62" t="str">
        <f>IFERROR(VLOOKUP(D66,'Master List'!D:H,3,FALSE),"NA")</f>
        <v>150000</v>
      </c>
      <c r="G66" s="58" t="str">
        <f>IFERROR(VLOOKUP(D66,'Master List'!D:H,4,FALSE),"NA")</f>
        <v>150000</v>
      </c>
      <c r="H66" s="39" t="str">
        <f>IFERROR(VLOOKUP(D66,'Master List'!D:H,5,FALSE),"NA")</f>
        <v>Engineering Technologies/Technicians, General.</v>
      </c>
      <c r="I66" s="19"/>
      <c r="J66" s="20"/>
      <c r="K66" s="20"/>
      <c r="L66" s="21"/>
    </row>
    <row r="67" spans="1:12" x14ac:dyDescent="0.3">
      <c r="A67" s="33">
        <v>19</v>
      </c>
      <c r="B67" s="33" t="s">
        <v>2163</v>
      </c>
      <c r="C67" s="34" t="s">
        <v>756</v>
      </c>
      <c r="D67" s="51" t="s">
        <v>769</v>
      </c>
      <c r="E67" s="61" t="str">
        <f>IFERROR(VLOOKUP(D67,'Master List'!D:H,2,FALSE),"NA")</f>
        <v>150801</v>
      </c>
      <c r="F67" s="62" t="str">
        <f>IFERROR(VLOOKUP(D67,'Master List'!D:H,3,FALSE),"NA")</f>
        <v>150801</v>
      </c>
      <c r="G67" s="58" t="str">
        <f>IFERROR(VLOOKUP(D67,'Master List'!D:H,4,FALSE),"NA")</f>
        <v>150801</v>
      </c>
      <c r="H67" s="39" t="str">
        <f>IFERROR(VLOOKUP(D67,'Master List'!D:H,5,FALSE),"NA")</f>
        <v>Aeronautical/Aerospace Engineering Technology/Technician.</v>
      </c>
      <c r="I67" s="19"/>
      <c r="J67" s="20"/>
      <c r="K67" s="20"/>
      <c r="L67" s="21"/>
    </row>
    <row r="68" spans="1:12" x14ac:dyDescent="0.3">
      <c r="A68" s="33">
        <v>19</v>
      </c>
      <c r="B68" s="33" t="s">
        <v>2163</v>
      </c>
      <c r="C68" s="34" t="s">
        <v>756</v>
      </c>
      <c r="D68" s="51" t="s">
        <v>405</v>
      </c>
      <c r="E68" s="61" t="str">
        <f>IFERROR(VLOOKUP(D68,'Master List'!D:H,2,FALSE),"NA")</f>
        <v>151301</v>
      </c>
      <c r="F68" s="62" t="str">
        <f>IFERROR(VLOOKUP(D68,'Master List'!D:H,3,FALSE),"NA")</f>
        <v>151301</v>
      </c>
      <c r="G68" s="58">
        <f>IFERROR(VLOOKUP(D68,'Master List'!D:H,4,FALSE),"NA")</f>
        <v>151302</v>
      </c>
      <c r="H68" s="39" t="str">
        <f>IFERROR(VLOOKUP(D68,'Master List'!D:H,5,FALSE),"NA")</f>
        <v>CAD/CADD Drafting and/or Design Technology/Technician</v>
      </c>
      <c r="I68" s="19"/>
      <c r="J68" s="20"/>
      <c r="K68" s="20"/>
      <c r="L68" s="21"/>
    </row>
    <row r="69" spans="1:12" x14ac:dyDescent="0.3">
      <c r="A69" s="33">
        <v>19</v>
      </c>
      <c r="B69" s="33" t="s">
        <v>2163</v>
      </c>
      <c r="C69" s="34" t="s">
        <v>756</v>
      </c>
      <c r="D69" s="51" t="s">
        <v>361</v>
      </c>
      <c r="E69" s="61" t="str">
        <f>IFERROR(VLOOKUP(D69,'Master List'!D:H,2,FALSE),"NA")</f>
        <v>470607</v>
      </c>
      <c r="F69" s="62" t="str">
        <f>IFERROR(VLOOKUP(D69,'Master List'!D:H,3,FALSE),"NA")</f>
        <v>470607</v>
      </c>
      <c r="G69" s="58" t="str">
        <f>IFERROR(VLOOKUP(D69,'Master List'!D:H,4,FALSE),"NA")</f>
        <v>470607</v>
      </c>
      <c r="H69" s="39" t="str">
        <f>IFERROR(VLOOKUP(D69,'Master List'!D:H,5,FALSE),"NA")</f>
        <v>Airframe Mechanics and Aircraft Maintenance Technology/Technician.</v>
      </c>
      <c r="I69" s="19"/>
      <c r="J69" s="20"/>
      <c r="K69" s="20"/>
      <c r="L69" s="21"/>
    </row>
    <row r="70" spans="1:12" x14ac:dyDescent="0.3">
      <c r="A70" s="33">
        <v>19</v>
      </c>
      <c r="B70" s="33" t="s">
        <v>2163</v>
      </c>
      <c r="C70" s="34" t="s">
        <v>756</v>
      </c>
      <c r="D70" s="51" t="s">
        <v>362</v>
      </c>
      <c r="E70" s="61" t="str">
        <f>IFERROR(VLOOKUP(D70,'Master List'!D:H,2,FALSE),"NA")</f>
        <v>490102</v>
      </c>
      <c r="F70" s="62" t="str">
        <f>IFERROR(VLOOKUP(D70,'Master List'!D:H,3,FALSE),"NA")</f>
        <v>490102</v>
      </c>
      <c r="G70" s="58" t="str">
        <f>IFERROR(VLOOKUP(D70,'Master List'!D:H,4,FALSE),"NA")</f>
        <v>490102</v>
      </c>
      <c r="H70" s="39" t="str">
        <f>IFERROR(VLOOKUP(D70,'Master List'!D:H,5,FALSE),"NA")</f>
        <v>Airline/Commercial/Professional Pilot and Flight Crew.</v>
      </c>
      <c r="I70" s="19"/>
      <c r="J70" s="20"/>
      <c r="K70" s="20"/>
      <c r="L70" s="21"/>
    </row>
    <row r="71" spans="1:12" x14ac:dyDescent="0.3">
      <c r="A71" s="33">
        <v>19</v>
      </c>
      <c r="B71" s="33" t="s">
        <v>2163</v>
      </c>
      <c r="C71" s="34" t="s">
        <v>756</v>
      </c>
      <c r="D71" s="51" t="s">
        <v>365</v>
      </c>
      <c r="E71" s="61" t="str">
        <f>IFERROR(VLOOKUP(D71,'Master List'!D:H,2,FALSE),"NA")</f>
        <v>490104</v>
      </c>
      <c r="F71" s="62" t="str">
        <f>IFERROR(VLOOKUP(D71,'Master List'!D:H,3,FALSE),"NA")</f>
        <v>490104</v>
      </c>
      <c r="G71" s="58" t="str">
        <f>IFERROR(VLOOKUP(D71,'Master List'!D:H,4,FALSE),"NA")</f>
        <v>490104</v>
      </c>
      <c r="H71" s="39" t="str">
        <f>IFERROR(VLOOKUP(D71,'Master List'!D:H,5,FALSE),"NA")</f>
        <v>Aviation/Airway Management and Operations.</v>
      </c>
      <c r="I71" s="19"/>
      <c r="J71" s="20"/>
      <c r="K71" s="20"/>
      <c r="L71" s="21"/>
    </row>
    <row r="72" spans="1:12" x14ac:dyDescent="0.3">
      <c r="A72" s="33">
        <v>19</v>
      </c>
      <c r="B72" s="33" t="s">
        <v>2163</v>
      </c>
      <c r="C72" s="34" t="s">
        <v>756</v>
      </c>
      <c r="D72" s="51" t="s">
        <v>367</v>
      </c>
      <c r="E72" s="61" t="str">
        <f>IFERROR(VLOOKUP(D72,'Master List'!D:H,2,FALSE),"NA")</f>
        <v>520205</v>
      </c>
      <c r="F72" s="62" t="str">
        <f>IFERROR(VLOOKUP(D72,'Master List'!D:H,3,FALSE),"NA")</f>
        <v>520205</v>
      </c>
      <c r="G72" s="58" t="str">
        <f>IFERROR(VLOOKUP(D72,'Master List'!D:H,4,FALSE),"NA")</f>
        <v>520205</v>
      </c>
      <c r="H72" s="39" t="str">
        <f>IFERROR(VLOOKUP(D72,'Master List'!D:H,5,FALSE),"NA")</f>
        <v>Operations Management and Supervision.</v>
      </c>
      <c r="I72" s="19"/>
      <c r="J72" s="20"/>
      <c r="K72" s="20"/>
      <c r="L72" s="21"/>
    </row>
    <row r="73" spans="1:12" x14ac:dyDescent="0.3">
      <c r="A73" s="33">
        <v>19</v>
      </c>
      <c r="B73" s="33" t="s">
        <v>2163</v>
      </c>
      <c r="C73" s="34" t="s">
        <v>756</v>
      </c>
      <c r="D73" s="51" t="s">
        <v>125</v>
      </c>
      <c r="E73" s="61" t="str">
        <f>IFERROR(VLOOKUP(D73,'Master List'!D:H,2,FALSE),"NA")</f>
        <v>220302</v>
      </c>
      <c r="F73" s="62" t="str">
        <f>IFERROR(VLOOKUP(D73,'Master List'!D:H,3,FALSE),"NA")</f>
        <v>220302</v>
      </c>
      <c r="G73" s="58" t="str">
        <f>IFERROR(VLOOKUP(D73,'Master List'!D:H,4,FALSE),"NA")</f>
        <v>220302</v>
      </c>
      <c r="H73" s="39" t="str">
        <f>IFERROR(VLOOKUP(D73,'Master List'!D:H,5,FALSE),"NA")</f>
        <v>Legal Assistant/Paralegal.</v>
      </c>
      <c r="I73" s="19"/>
      <c r="J73" s="20"/>
      <c r="K73" s="20"/>
      <c r="L73" s="21"/>
    </row>
    <row r="74" spans="1:12" x14ac:dyDescent="0.3">
      <c r="A74" s="33">
        <v>19</v>
      </c>
      <c r="B74" s="33" t="s">
        <v>2163</v>
      </c>
      <c r="C74" s="34" t="s">
        <v>756</v>
      </c>
      <c r="D74" s="51" t="s">
        <v>128</v>
      </c>
      <c r="E74" s="61" t="str">
        <f>IFERROR(VLOOKUP(D74,'Master List'!D:H,2,FALSE),"NA")</f>
        <v>430103</v>
      </c>
      <c r="F74" s="62" t="str">
        <f>IFERROR(VLOOKUP(D74,'Master List'!D:H,3,FALSE),"NA")</f>
        <v>430103</v>
      </c>
      <c r="G74" s="58" t="str">
        <f>IFERROR(VLOOKUP(D74,'Master List'!D:H,4,FALSE),"NA")</f>
        <v>430103</v>
      </c>
      <c r="H74" s="39" t="str">
        <f>IFERROR(VLOOKUP(D74,'Master List'!D:H,5,FALSE),"NA")</f>
        <v>Criminal Justice/Law Enforcement Administration.</v>
      </c>
      <c r="I74" s="19"/>
      <c r="J74" s="20"/>
      <c r="K74" s="20"/>
      <c r="L74" s="21"/>
    </row>
    <row r="75" spans="1:12" x14ac:dyDescent="0.3">
      <c r="A75" s="33">
        <v>19</v>
      </c>
      <c r="B75" s="33" t="s">
        <v>2163</v>
      </c>
      <c r="C75" s="34" t="s">
        <v>756</v>
      </c>
      <c r="D75" s="51" t="s">
        <v>375</v>
      </c>
      <c r="E75" s="61" t="str">
        <f>IFERROR(VLOOKUP(D75,'Master List'!D:H,2,FALSE),"NA")</f>
        <v>430201</v>
      </c>
      <c r="F75" s="62" t="str">
        <f>IFERROR(VLOOKUP(D75,'Master List'!D:H,3,FALSE),"NA")</f>
        <v>430201</v>
      </c>
      <c r="G75" s="58" t="str">
        <f>IFERROR(VLOOKUP(D75,'Master List'!D:H,4,FALSE),"NA")</f>
        <v>430201</v>
      </c>
      <c r="H75" s="39" t="str">
        <f>IFERROR(VLOOKUP(D75,'Master List'!D:H,5,FALSE),"NA")</f>
        <v>Fire Prevention and Safety Technology/Technician.</v>
      </c>
      <c r="I75" s="19"/>
      <c r="J75" s="20"/>
      <c r="K75" s="20"/>
      <c r="L75" s="21"/>
    </row>
  </sheetData>
  <sheetProtection algorithmName="SHA-512" hashValue="KUCaev6l+ghCox1h1j/QobZx21cQFN7YM6FAJPRKdLq/AMdkYye5JXHfUMR+OD1vZknIqIr3O1apMRU7Pv7daw==" saltValue="G6KMUOGZWZ7x6WaPs2+q0A==" spinCount="100000" sheet="1" objects="1" scenarios="1" sort="0" autoFilter="0"/>
  <autoFilter ref="A2:L75"/>
  <mergeCells count="3">
    <mergeCell ref="A1:D1"/>
    <mergeCell ref="E1:H1"/>
    <mergeCell ref="I1:L1"/>
  </mergeCells>
  <dataValidations count="1">
    <dataValidation type="list" allowBlank="1" showInputMessage="1" showErrorMessage="1" sqref="I3:I75">
      <formula1>"Agree,Disagree"</formula1>
    </dataValidation>
  </dataValidation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20.109375" style="17" customWidth="1"/>
    <col min="5" max="5" width="14.88671875" style="54" customWidth="1"/>
    <col min="6" max="6" width="12.5546875" style="54" customWidth="1"/>
    <col min="7" max="7" width="14.6640625" style="54" customWidth="1"/>
    <col min="8" max="8" width="78" style="25" bestFit="1" customWidth="1"/>
    <col min="9" max="9" width="27" style="17" customWidth="1"/>
    <col min="10" max="10" width="26.88671875" style="17" customWidth="1"/>
    <col min="11" max="11" width="34.88671875" style="17" customWidth="1"/>
    <col min="12" max="12" width="27.6640625" style="17" customWidth="1"/>
    <col min="13" max="16384" width="8.88671875" style="17"/>
  </cols>
  <sheetData>
    <row r="1" spans="1:12" s="27" customFormat="1" ht="60" customHeight="1" x14ac:dyDescent="0.3">
      <c r="A1" s="101"/>
      <c r="B1" s="102"/>
      <c r="C1" s="102"/>
      <c r="D1" s="103"/>
      <c r="E1" s="104" t="s">
        <v>2145</v>
      </c>
      <c r="F1" s="105"/>
      <c r="G1" s="105"/>
      <c r="H1" s="106"/>
      <c r="I1" s="107" t="s">
        <v>0</v>
      </c>
      <c r="J1" s="108"/>
      <c r="K1" s="108"/>
      <c r="L1" s="109"/>
    </row>
    <row r="2" spans="1:12" s="27" customFormat="1" ht="57.6" x14ac:dyDescent="0.3">
      <c r="A2" s="28" t="s">
        <v>1</v>
      </c>
      <c r="B2" s="28" t="s">
        <v>2146</v>
      </c>
      <c r="C2" s="28" t="s">
        <v>2147</v>
      </c>
      <c r="D2" s="28" t="s">
        <v>2148</v>
      </c>
      <c r="E2" s="59" t="s">
        <v>3</v>
      </c>
      <c r="F2" s="60" t="s">
        <v>4</v>
      </c>
      <c r="G2" s="57" t="s">
        <v>2149</v>
      </c>
      <c r="H2" s="50" t="s">
        <v>2217</v>
      </c>
      <c r="I2" s="15" t="s">
        <v>2151</v>
      </c>
      <c r="J2" s="15" t="s">
        <v>2152</v>
      </c>
      <c r="K2" s="15" t="s">
        <v>5</v>
      </c>
      <c r="L2" s="15" t="s">
        <v>2153</v>
      </c>
    </row>
    <row r="3" spans="1:12" x14ac:dyDescent="0.3">
      <c r="A3" s="33">
        <v>20</v>
      </c>
      <c r="B3" s="33" t="s">
        <v>2164</v>
      </c>
      <c r="C3" s="34" t="s">
        <v>703</v>
      </c>
      <c r="D3" s="51" t="s">
        <v>146</v>
      </c>
      <c r="E3" s="61" t="str">
        <f>IFERROR(VLOOKUP(D3,'Master List'!D:H,2,FALSE),"NA")</f>
        <v>520904</v>
      </c>
      <c r="F3" s="62" t="str">
        <f>IFERROR(VLOOKUP(D3,'Master List'!D:H,3,FALSE),"NA")</f>
        <v>520904</v>
      </c>
      <c r="G3" s="58" t="str">
        <f>IFERROR(VLOOKUP(D3,'Master List'!D:H,4,FALSE),"NA")</f>
        <v>520904</v>
      </c>
      <c r="H3" s="39" t="str">
        <f>IFERROR(VLOOKUP(D3,'Master List'!D:H,5,FALSE),"NA")</f>
        <v>Hotel/Motel Administration/Management.</v>
      </c>
      <c r="I3" s="19"/>
      <c r="J3" s="18"/>
      <c r="K3" s="18"/>
      <c r="L3" s="22"/>
    </row>
    <row r="4" spans="1:12" x14ac:dyDescent="0.3">
      <c r="A4" s="33">
        <v>20</v>
      </c>
      <c r="B4" s="33" t="s">
        <v>2164</v>
      </c>
      <c r="C4" s="34" t="s">
        <v>703</v>
      </c>
      <c r="D4" s="51" t="s">
        <v>149</v>
      </c>
      <c r="E4" s="61" t="str">
        <f>IFERROR(VLOOKUP(D4,'Master List'!D:H,2,FALSE),"NA")</f>
        <v>520904</v>
      </c>
      <c r="F4" s="62" t="str">
        <f>IFERROR(VLOOKUP(D4,'Master List'!D:H,3,FALSE),"NA")</f>
        <v>520904</v>
      </c>
      <c r="G4" s="58" t="str">
        <f>IFERROR(VLOOKUP(D4,'Master List'!D:H,4,FALSE),"NA")</f>
        <v>520904</v>
      </c>
      <c r="H4" s="39" t="str">
        <f>IFERROR(VLOOKUP(D4,'Master List'!D:H,5,FALSE),"NA")</f>
        <v>Hotel/Motel Administration/Management.</v>
      </c>
      <c r="I4" s="19"/>
      <c r="J4" s="18"/>
      <c r="K4" s="18"/>
      <c r="L4" s="22"/>
    </row>
    <row r="5" spans="1:12" x14ac:dyDescent="0.3">
      <c r="A5" s="33">
        <v>20</v>
      </c>
      <c r="B5" s="33" t="s">
        <v>2164</v>
      </c>
      <c r="C5" s="34" t="s">
        <v>703</v>
      </c>
      <c r="D5" s="51" t="s">
        <v>176</v>
      </c>
      <c r="E5" s="61" t="str">
        <f>IFERROR(VLOOKUP(D5,'Master List'!D:H,2,FALSE),"NA")</f>
        <v>520905</v>
      </c>
      <c r="F5" s="62" t="str">
        <f>IFERROR(VLOOKUP(D5,'Master List'!D:H,3,FALSE),"NA")</f>
        <v>520905</v>
      </c>
      <c r="G5" s="58" t="str">
        <f>IFERROR(VLOOKUP(D5,'Master List'!D:H,4,FALSE),"NA")</f>
        <v>520905</v>
      </c>
      <c r="H5" s="39" t="str">
        <f>IFERROR(VLOOKUP(D5,'Master List'!D:H,5,FALSE),"NA")</f>
        <v>Restaurant/Food Services Management.</v>
      </c>
      <c r="I5" s="19"/>
      <c r="J5" s="18"/>
      <c r="K5" s="18"/>
      <c r="L5" s="22"/>
    </row>
    <row r="6" spans="1:12" x14ac:dyDescent="0.3">
      <c r="A6" s="33">
        <v>20</v>
      </c>
      <c r="B6" s="33" t="s">
        <v>2164</v>
      </c>
      <c r="C6" s="34" t="s">
        <v>703</v>
      </c>
      <c r="D6" s="51" t="s">
        <v>536</v>
      </c>
      <c r="E6" s="61" t="str">
        <f>IFERROR(VLOOKUP(D6,'Master List'!D:H,2,FALSE),"NA")</f>
        <v>520909</v>
      </c>
      <c r="F6" s="62" t="str">
        <f>IFERROR(VLOOKUP(D6,'Master List'!D:H,3,FALSE),"NA")</f>
        <v>520909</v>
      </c>
      <c r="G6" s="58" t="str">
        <f>IFERROR(VLOOKUP(D6,'Master List'!D:H,4,FALSE),"NA")</f>
        <v>520909</v>
      </c>
      <c r="H6" s="39" t="str">
        <f>IFERROR(VLOOKUP(D6,'Master List'!D:H,5,FALSE),"NA")</f>
        <v>Hotel, Motel, and Restaurant Management.</v>
      </c>
      <c r="I6" s="19"/>
      <c r="J6" s="18"/>
      <c r="K6" s="18"/>
      <c r="L6" s="22"/>
    </row>
    <row r="7" spans="1:12" x14ac:dyDescent="0.3">
      <c r="A7" s="33">
        <v>20</v>
      </c>
      <c r="B7" s="33" t="s">
        <v>2164</v>
      </c>
      <c r="C7" s="34" t="s">
        <v>703</v>
      </c>
      <c r="D7" s="51" t="s">
        <v>198</v>
      </c>
      <c r="E7" s="61" t="str">
        <f>IFERROR(VLOOKUP(D7,'Master List'!D:H,2,FALSE),"NA")</f>
        <v>510707</v>
      </c>
      <c r="F7" s="62" t="str">
        <f>IFERROR(VLOOKUP(D7,'Master List'!D:H,3,FALSE),"NA")</f>
        <v>510707</v>
      </c>
      <c r="G7" s="58">
        <f>IFERROR(VLOOKUP(D7,'Master List'!D:H,4,FALSE),"NA")</f>
        <v>510714</v>
      </c>
      <c r="H7" s="39" t="str">
        <f>IFERROR(VLOOKUP(D7,'Master List'!D:H,5,FALSE),"NA")</f>
        <v>Medical Insurance Specialist/Medical Biller</v>
      </c>
      <c r="I7" s="19"/>
      <c r="J7" s="18"/>
      <c r="K7" s="18"/>
      <c r="L7" s="22"/>
    </row>
    <row r="8" spans="1:12" x14ac:dyDescent="0.3">
      <c r="A8" s="33">
        <v>20</v>
      </c>
      <c r="B8" s="33" t="s">
        <v>2164</v>
      </c>
      <c r="C8" s="34" t="s">
        <v>703</v>
      </c>
      <c r="D8" s="51" t="s">
        <v>199</v>
      </c>
      <c r="E8" s="61" t="str">
        <f>IFERROR(VLOOKUP(D8,'Master List'!D:H,2,FALSE),"NA")</f>
        <v>510801</v>
      </c>
      <c r="F8" s="62" t="str">
        <f>IFERROR(VLOOKUP(D8,'Master List'!D:H,3,FALSE),"NA")</f>
        <v>510801</v>
      </c>
      <c r="G8" s="58" t="str">
        <f>IFERROR(VLOOKUP(D8,'Master List'!D:H,4,FALSE),"NA")</f>
        <v>510801</v>
      </c>
      <c r="H8" s="39" t="str">
        <f>IFERROR(VLOOKUP(D8,'Master List'!D:H,5,FALSE),"NA")</f>
        <v>Medical/Clinical Assistant.</v>
      </c>
      <c r="I8" s="19"/>
      <c r="J8" s="18"/>
      <c r="K8" s="18"/>
      <c r="L8" s="22"/>
    </row>
    <row r="9" spans="1:12" x14ac:dyDescent="0.3">
      <c r="A9" s="33">
        <v>20</v>
      </c>
      <c r="B9" s="33" t="s">
        <v>2164</v>
      </c>
      <c r="C9" s="34" t="s">
        <v>703</v>
      </c>
      <c r="D9" s="51" t="s">
        <v>11</v>
      </c>
      <c r="E9" s="61" t="str">
        <f>IFERROR(VLOOKUP(D9,'Master List'!D:H,2,FALSE),"NA")</f>
        <v>510805</v>
      </c>
      <c r="F9" s="62" t="str">
        <f>IFERROR(VLOOKUP(D9,'Master List'!D:H,3,FALSE),"NA")</f>
        <v>510805</v>
      </c>
      <c r="G9" s="58" t="str">
        <f>IFERROR(VLOOKUP(D9,'Master List'!D:H,4,FALSE),"NA")</f>
        <v>510805</v>
      </c>
      <c r="H9" s="39" t="str">
        <f>IFERROR(VLOOKUP(D9,'Master List'!D:H,5,FALSE),"NA")</f>
        <v>Pharmacy Technician/Assistant.</v>
      </c>
      <c r="I9" s="19"/>
      <c r="J9" s="18"/>
      <c r="K9" s="18"/>
      <c r="L9" s="22"/>
    </row>
    <row r="10" spans="1:12" x14ac:dyDescent="0.3">
      <c r="A10" s="33">
        <v>20</v>
      </c>
      <c r="B10" s="33" t="s">
        <v>2164</v>
      </c>
      <c r="C10" s="34" t="s">
        <v>703</v>
      </c>
      <c r="D10" s="51" t="s">
        <v>704</v>
      </c>
      <c r="E10" s="61" t="str">
        <f>IFERROR(VLOOKUP(D10,'Master List'!D:H,2,FALSE),"NA")</f>
        <v>510902</v>
      </c>
      <c r="F10" s="62" t="str">
        <f>IFERROR(VLOOKUP(D10,'Master List'!D:H,3,FALSE),"NA")</f>
        <v>510902</v>
      </c>
      <c r="G10" s="58" t="str">
        <f>IFERROR(VLOOKUP(D10,'Master List'!D:H,4,FALSE),"NA")</f>
        <v>510902</v>
      </c>
      <c r="H10" s="39" t="str">
        <f>IFERROR(VLOOKUP(D10,'Master List'!D:H,5,FALSE),"NA")</f>
        <v>Electrocardiograph Technology/Technician.</v>
      </c>
      <c r="I10" s="19"/>
      <c r="J10" s="18"/>
      <c r="K10" s="18"/>
      <c r="L10" s="22"/>
    </row>
    <row r="11" spans="1:12" x14ac:dyDescent="0.3">
      <c r="A11" s="33">
        <v>20</v>
      </c>
      <c r="B11" s="33" t="s">
        <v>2164</v>
      </c>
      <c r="C11" s="34" t="s">
        <v>703</v>
      </c>
      <c r="D11" s="51" t="s">
        <v>14</v>
      </c>
      <c r="E11" s="61" t="str">
        <f>IFERROR(VLOOKUP(D11,'Master List'!D:H,2,FALSE),"NA")</f>
        <v>510904</v>
      </c>
      <c r="F11" s="62" t="str">
        <f>IFERROR(VLOOKUP(D11,'Master List'!D:H,3,FALSE),"NA")</f>
        <v>510904</v>
      </c>
      <c r="G11" s="58" t="str">
        <f>IFERROR(VLOOKUP(D11,'Master List'!D:H,4,FALSE),"NA")</f>
        <v>510904</v>
      </c>
      <c r="H11" s="39" t="str">
        <f>IFERROR(VLOOKUP(D11,'Master List'!D:H,5,FALSE),"NA")</f>
        <v>Emergency Medical Technology/Technician (EMT Paramedic).</v>
      </c>
      <c r="I11" s="19"/>
      <c r="J11" s="18"/>
      <c r="K11" s="18"/>
      <c r="L11" s="22"/>
    </row>
    <row r="12" spans="1:12" x14ac:dyDescent="0.3">
      <c r="A12" s="33">
        <v>20</v>
      </c>
      <c r="B12" s="33" t="s">
        <v>2164</v>
      </c>
      <c r="C12" s="34" t="s">
        <v>703</v>
      </c>
      <c r="D12" s="51" t="s">
        <v>17</v>
      </c>
      <c r="E12" s="61" t="str">
        <f>IFERROR(VLOOKUP(D12,'Master List'!D:H,2,FALSE),"NA")</f>
        <v>510904</v>
      </c>
      <c r="F12" s="62" t="str">
        <f>IFERROR(VLOOKUP(D12,'Master List'!D:H,3,FALSE),"NA")</f>
        <v>510904</v>
      </c>
      <c r="G12" s="58" t="str">
        <f>IFERROR(VLOOKUP(D12,'Master List'!D:H,4,FALSE),"NA")</f>
        <v>510904</v>
      </c>
      <c r="H12" s="39" t="str">
        <f>IFERROR(VLOOKUP(D12,'Master List'!D:H,5,FALSE),"NA")</f>
        <v>Emergency Medical Technology/Technician (EMT Paramedic).</v>
      </c>
      <c r="I12" s="19"/>
      <c r="J12" s="18"/>
      <c r="K12" s="18"/>
      <c r="L12" s="22"/>
    </row>
    <row r="13" spans="1:12" x14ac:dyDescent="0.3">
      <c r="A13" s="33">
        <v>20</v>
      </c>
      <c r="B13" s="33" t="s">
        <v>2164</v>
      </c>
      <c r="C13" s="34" t="s">
        <v>703</v>
      </c>
      <c r="D13" s="51" t="s">
        <v>207</v>
      </c>
      <c r="E13" s="61" t="str">
        <f>IFERROR(VLOOKUP(D13,'Master List'!D:H,2,FALSE),"NA")</f>
        <v>510909</v>
      </c>
      <c r="F13" s="62" t="str">
        <f>IFERROR(VLOOKUP(D13,'Master List'!D:H,3,FALSE),"NA")</f>
        <v>510909</v>
      </c>
      <c r="G13" s="58" t="str">
        <f>IFERROR(VLOOKUP(D13,'Master List'!D:H,4,FALSE),"NA")</f>
        <v>510909</v>
      </c>
      <c r="H13" s="39" t="str">
        <f>IFERROR(VLOOKUP(D13,'Master List'!D:H,5,FALSE),"NA")</f>
        <v>Surgical Technology/Technologist.</v>
      </c>
      <c r="I13" s="19"/>
      <c r="J13" s="18"/>
      <c r="K13" s="18"/>
      <c r="L13" s="22"/>
    </row>
    <row r="14" spans="1:12" x14ac:dyDescent="0.3">
      <c r="A14" s="33">
        <v>20</v>
      </c>
      <c r="B14" s="33" t="s">
        <v>2164</v>
      </c>
      <c r="C14" s="34" t="s">
        <v>703</v>
      </c>
      <c r="D14" s="51" t="s">
        <v>410</v>
      </c>
      <c r="E14" s="61" t="str">
        <f>IFERROR(VLOOKUP(D14,'Master List'!D:H,2,FALSE),"NA")</f>
        <v>511009</v>
      </c>
      <c r="F14" s="62" t="str">
        <f>IFERROR(VLOOKUP(D14,'Master List'!D:H,3,FALSE),"NA")</f>
        <v>511009</v>
      </c>
      <c r="G14" s="58" t="str">
        <f>IFERROR(VLOOKUP(D14,'Master List'!D:H,4,FALSE),"NA")</f>
        <v>511009</v>
      </c>
      <c r="H14" s="39" t="str">
        <f>IFERROR(VLOOKUP(D14,'Master List'!D:H,5,FALSE),"NA")</f>
        <v>Phlebotomy Technician/Phlebotomist.</v>
      </c>
      <c r="I14" s="19"/>
      <c r="J14" s="18"/>
      <c r="K14" s="18"/>
      <c r="L14" s="22"/>
    </row>
    <row r="15" spans="1:12" x14ac:dyDescent="0.3">
      <c r="A15" s="33">
        <v>20</v>
      </c>
      <c r="B15" s="33" t="s">
        <v>2164</v>
      </c>
      <c r="C15" s="34" t="s">
        <v>703</v>
      </c>
      <c r="D15" s="51" t="s">
        <v>211</v>
      </c>
      <c r="E15" s="61" t="str">
        <f>IFERROR(VLOOKUP(D15,'Master List'!D:H,2,FALSE),"NA")</f>
        <v>513501</v>
      </c>
      <c r="F15" s="62" t="str">
        <f>IFERROR(VLOOKUP(D15,'Master List'!D:H,3,FALSE),"NA")</f>
        <v>513501</v>
      </c>
      <c r="G15" s="58" t="str">
        <f>IFERROR(VLOOKUP(D15,'Master List'!D:H,4,FALSE),"NA")</f>
        <v>513501</v>
      </c>
      <c r="H15" s="39" t="str">
        <f>IFERROR(VLOOKUP(D15,'Master List'!D:H,5,FALSE),"NA")</f>
        <v>Massage Therapy/Therapeutic Massage.</v>
      </c>
      <c r="I15" s="19"/>
      <c r="J15" s="18"/>
      <c r="K15" s="18"/>
      <c r="L15" s="22"/>
    </row>
    <row r="16" spans="1:12" x14ac:dyDescent="0.3">
      <c r="A16" s="33">
        <v>20</v>
      </c>
      <c r="B16" s="33" t="s">
        <v>2164</v>
      </c>
      <c r="C16" s="34" t="s">
        <v>703</v>
      </c>
      <c r="D16" s="51" t="s">
        <v>413</v>
      </c>
      <c r="E16" s="61" t="str">
        <f>IFERROR(VLOOKUP(D16,'Master List'!D:H,2,FALSE),"NA")</f>
        <v>513901</v>
      </c>
      <c r="F16" s="62" t="str">
        <f>IFERROR(VLOOKUP(D16,'Master List'!D:H,3,FALSE),"NA")</f>
        <v>513901</v>
      </c>
      <c r="G16" s="58" t="str">
        <f>IFERROR(VLOOKUP(D16,'Master List'!D:H,4,FALSE),"NA")</f>
        <v>513901</v>
      </c>
      <c r="H16" s="39" t="str">
        <f>IFERROR(VLOOKUP(D16,'Master List'!D:H,5,FALSE),"NA")</f>
        <v>Licensed Practical/Vocational Nurse Training.</v>
      </c>
      <c r="I16" s="19"/>
      <c r="J16" s="18"/>
      <c r="K16" s="18"/>
      <c r="L16" s="22"/>
    </row>
    <row r="17" spans="1:12" x14ac:dyDescent="0.3">
      <c r="A17" s="33">
        <v>20</v>
      </c>
      <c r="B17" s="33" t="s">
        <v>2164</v>
      </c>
      <c r="C17" s="34" t="s">
        <v>703</v>
      </c>
      <c r="D17" s="51" t="s">
        <v>707</v>
      </c>
      <c r="E17" s="61" t="str">
        <f>IFERROR(VLOOKUP(D17,'Master List'!D:H,2,FALSE),"NA")</f>
        <v>513902</v>
      </c>
      <c r="F17" s="62" t="str">
        <f>IFERROR(VLOOKUP(D17,'Master List'!D:H,3,FALSE),"NA")</f>
        <v>513902</v>
      </c>
      <c r="G17" s="58" t="str">
        <f>IFERROR(VLOOKUP(D17,'Master List'!D:H,4,FALSE),"NA")</f>
        <v>513902</v>
      </c>
      <c r="H17" s="39" t="str">
        <f>IFERROR(VLOOKUP(D17,'Master List'!D:H,5,FALSE),"NA")</f>
        <v>Nursing Assistant/Aide and Patient Care Assistant/Aide.</v>
      </c>
      <c r="I17" s="19"/>
      <c r="J17" s="18"/>
      <c r="K17" s="18"/>
      <c r="L17" s="22"/>
    </row>
    <row r="18" spans="1:12" x14ac:dyDescent="0.3">
      <c r="A18" s="33">
        <v>20</v>
      </c>
      <c r="B18" s="33" t="s">
        <v>2164</v>
      </c>
      <c r="C18" s="34" t="s">
        <v>703</v>
      </c>
      <c r="D18" s="51" t="s">
        <v>28</v>
      </c>
      <c r="E18" s="61" t="str">
        <f>IFERROR(VLOOKUP(D18,'Master List'!D:H,2,FALSE),"NA")</f>
        <v>190709</v>
      </c>
      <c r="F18" s="62" t="str">
        <f>IFERROR(VLOOKUP(D18,'Master List'!D:H,3,FALSE),"NA")</f>
        <v>190709</v>
      </c>
      <c r="G18" s="58" t="str">
        <f>IFERROR(VLOOKUP(D18,'Master List'!D:H,4,FALSE),"NA")</f>
        <v>190709</v>
      </c>
      <c r="H18" s="39" t="str">
        <f>IFERROR(VLOOKUP(D18,'Master List'!D:H,5,FALSE),"NA")</f>
        <v>Child Care Provider/Assistant.</v>
      </c>
      <c r="I18" s="19"/>
      <c r="J18" s="18"/>
      <c r="K18" s="18"/>
      <c r="L18" s="22"/>
    </row>
    <row r="19" spans="1:12" x14ac:dyDescent="0.3">
      <c r="A19" s="33">
        <v>20</v>
      </c>
      <c r="B19" s="33" t="s">
        <v>2164</v>
      </c>
      <c r="C19" s="34" t="s">
        <v>703</v>
      </c>
      <c r="D19" s="51" t="s">
        <v>588</v>
      </c>
      <c r="E19" s="61" t="str">
        <f>IFERROR(VLOOKUP(D19,'Master List'!D:H,2,FALSE),"NA")</f>
        <v>190709</v>
      </c>
      <c r="F19" s="62" t="str">
        <f>IFERROR(VLOOKUP(D19,'Master List'!D:H,3,FALSE),"NA")</f>
        <v>190709</v>
      </c>
      <c r="G19" s="58" t="str">
        <f>IFERROR(VLOOKUP(D19,'Master List'!D:H,4,FALSE),"NA")</f>
        <v>190709</v>
      </c>
      <c r="H19" s="39" t="str">
        <f>IFERROR(VLOOKUP(D19,'Master List'!D:H,5,FALSE),"NA")</f>
        <v>Child Care Provider/Assistant.</v>
      </c>
      <c r="I19" s="19"/>
      <c r="J19" s="18"/>
      <c r="K19" s="18"/>
      <c r="L19" s="22"/>
    </row>
    <row r="20" spans="1:12" x14ac:dyDescent="0.3">
      <c r="A20" s="33">
        <v>20</v>
      </c>
      <c r="B20" s="33" t="s">
        <v>2164</v>
      </c>
      <c r="C20" s="34" t="s">
        <v>703</v>
      </c>
      <c r="D20" s="51" t="s">
        <v>589</v>
      </c>
      <c r="E20" s="61" t="str">
        <f>IFERROR(VLOOKUP(D20,'Master List'!D:H,2,FALSE),"NA")</f>
        <v>190709</v>
      </c>
      <c r="F20" s="62" t="str">
        <f>IFERROR(VLOOKUP(D20,'Master List'!D:H,3,FALSE),"NA")</f>
        <v>190709</v>
      </c>
      <c r="G20" s="58" t="str">
        <f>IFERROR(VLOOKUP(D20,'Master List'!D:H,4,FALSE),"NA")</f>
        <v>190709</v>
      </c>
      <c r="H20" s="39" t="str">
        <f>IFERROR(VLOOKUP(D20,'Master List'!D:H,5,FALSE),"NA")</f>
        <v>Child Care Provider/Assistant.</v>
      </c>
      <c r="I20" s="19"/>
      <c r="J20" s="18"/>
      <c r="K20" s="18"/>
      <c r="L20" s="22"/>
    </row>
    <row r="21" spans="1:12" x14ac:dyDescent="0.3">
      <c r="A21" s="33">
        <v>20</v>
      </c>
      <c r="B21" s="33" t="s">
        <v>2164</v>
      </c>
      <c r="C21" s="34" t="s">
        <v>703</v>
      </c>
      <c r="D21" s="51" t="s">
        <v>390</v>
      </c>
      <c r="E21" s="61" t="str">
        <f>IFERROR(VLOOKUP(D21,'Master List'!D:H,2,FALSE),"NA")</f>
        <v>110202</v>
      </c>
      <c r="F21" s="62" t="str">
        <f>IFERROR(VLOOKUP(D21,'Master List'!D:H,3,FALSE),"NA")</f>
        <v>110202</v>
      </c>
      <c r="G21" s="58" t="str">
        <f>IFERROR(VLOOKUP(D21,'Master List'!D:H,4,FALSE),"NA")</f>
        <v>110202</v>
      </c>
      <c r="H21" s="39" t="str">
        <f>IFERROR(VLOOKUP(D21,'Master List'!D:H,5,FALSE),"NA")</f>
        <v>Computer Programming, Specific Applications.</v>
      </c>
      <c r="I21" s="19"/>
      <c r="J21" s="18"/>
      <c r="K21" s="18"/>
      <c r="L21" s="22"/>
    </row>
    <row r="22" spans="1:12" x14ac:dyDescent="0.3">
      <c r="A22" s="33">
        <v>20</v>
      </c>
      <c r="B22" s="33" t="s">
        <v>2164</v>
      </c>
      <c r="C22" s="34" t="s">
        <v>703</v>
      </c>
      <c r="D22" s="51" t="s">
        <v>507</v>
      </c>
      <c r="E22" s="61" t="str">
        <f>IFERROR(VLOOKUP(D22,'Master List'!D:H,2,FALSE),"NA")</f>
        <v>520201</v>
      </c>
      <c r="F22" s="62" t="str">
        <f>IFERROR(VLOOKUP(D22,'Master List'!D:H,3,FALSE),"NA")</f>
        <v>520201</v>
      </c>
      <c r="G22" s="58" t="str">
        <f>IFERROR(VLOOKUP(D22,'Master List'!D:H,4,FALSE),"NA")</f>
        <v>520201</v>
      </c>
      <c r="H22" s="39" t="str">
        <f>IFERROR(VLOOKUP(D22,'Master List'!D:H,5,FALSE),"NA")</f>
        <v>Business Administration and Management, General.</v>
      </c>
      <c r="I22" s="19"/>
      <c r="J22" s="18"/>
      <c r="K22" s="18"/>
      <c r="L22" s="22"/>
    </row>
    <row r="23" spans="1:12" x14ac:dyDescent="0.3">
      <c r="A23" s="33">
        <v>20</v>
      </c>
      <c r="B23" s="33" t="s">
        <v>2164</v>
      </c>
      <c r="C23" s="34" t="s">
        <v>703</v>
      </c>
      <c r="D23" s="51" t="s">
        <v>40</v>
      </c>
      <c r="E23" s="61" t="str">
        <f>IFERROR(VLOOKUP(D23,'Master List'!D:H,2,FALSE),"NA")</f>
        <v>520302</v>
      </c>
      <c r="F23" s="62" t="str">
        <f>IFERROR(VLOOKUP(D23,'Master List'!D:H,3,FALSE),"NA")</f>
        <v>520302</v>
      </c>
      <c r="G23" s="58" t="str">
        <f>IFERROR(VLOOKUP(D23,'Master List'!D:H,4,FALSE),"NA")</f>
        <v>520302</v>
      </c>
      <c r="H23" s="39" t="str">
        <f>IFERROR(VLOOKUP(D23,'Master List'!D:H,5,FALSE),"NA")</f>
        <v>Accounting Technology/Technician and Bookkeeping.</v>
      </c>
      <c r="I23" s="19"/>
      <c r="J23" s="18"/>
      <c r="K23" s="18"/>
      <c r="L23" s="22"/>
    </row>
    <row r="24" spans="1:12" x14ac:dyDescent="0.3">
      <c r="A24" s="33">
        <v>20</v>
      </c>
      <c r="B24" s="33" t="s">
        <v>2164</v>
      </c>
      <c r="C24" s="34" t="s">
        <v>703</v>
      </c>
      <c r="D24" s="51" t="s">
        <v>232</v>
      </c>
      <c r="E24" s="61" t="str">
        <f>IFERROR(VLOOKUP(D24,'Master List'!D:H,2,FALSE),"NA")</f>
        <v>520701</v>
      </c>
      <c r="F24" s="62" t="str">
        <f>IFERROR(VLOOKUP(D24,'Master List'!D:H,3,FALSE),"NA")</f>
        <v>520701</v>
      </c>
      <c r="G24" s="58" t="str">
        <f>IFERROR(VLOOKUP(D24,'Master List'!D:H,4,FALSE),"NA")</f>
        <v>520701</v>
      </c>
      <c r="H24" s="39" t="str">
        <f>IFERROR(VLOOKUP(D24,'Master List'!D:H,5,FALSE),"NA")</f>
        <v>Entrepreneurship/Entrepreneurial Studies.</v>
      </c>
      <c r="I24" s="19"/>
      <c r="J24" s="18"/>
      <c r="K24" s="18"/>
      <c r="L24" s="22"/>
    </row>
    <row r="25" spans="1:12" x14ac:dyDescent="0.3">
      <c r="A25" s="33">
        <v>20</v>
      </c>
      <c r="B25" s="33" t="s">
        <v>2164</v>
      </c>
      <c r="C25" s="34" t="s">
        <v>703</v>
      </c>
      <c r="D25" s="51" t="s">
        <v>233</v>
      </c>
      <c r="E25" s="61" t="str">
        <f>IFERROR(VLOOKUP(D25,'Master List'!D:H,2,FALSE),"NA")</f>
        <v>520703</v>
      </c>
      <c r="F25" s="62" t="str">
        <f>IFERROR(VLOOKUP(D25,'Master List'!D:H,3,FALSE),"NA")</f>
        <v>520703</v>
      </c>
      <c r="G25" s="58" t="str">
        <f>IFERROR(VLOOKUP(D25,'Master List'!D:H,4,FALSE),"NA")</f>
        <v>520703</v>
      </c>
      <c r="H25" s="39" t="str">
        <f>IFERROR(VLOOKUP(D25,'Master List'!D:H,5,FALSE),"NA")</f>
        <v>Small Business Administration/Management.</v>
      </c>
      <c r="I25" s="19"/>
      <c r="J25" s="18"/>
      <c r="K25" s="18"/>
      <c r="L25" s="22"/>
    </row>
    <row r="26" spans="1:12" x14ac:dyDescent="0.3">
      <c r="A26" s="33">
        <v>20</v>
      </c>
      <c r="B26" s="33" t="s">
        <v>2164</v>
      </c>
      <c r="C26" s="34" t="s">
        <v>703</v>
      </c>
      <c r="D26" s="51" t="s">
        <v>709</v>
      </c>
      <c r="E26" s="61" t="str">
        <f>IFERROR(VLOOKUP(D26,'Master List'!D:H,2,FALSE),"NA")</f>
        <v>111002</v>
      </c>
      <c r="F26" s="62" t="str">
        <f>IFERROR(VLOOKUP(D26,'Master List'!D:H,3,FALSE),"NA")</f>
        <v>111002</v>
      </c>
      <c r="G26" s="58" t="str">
        <f>IFERROR(VLOOKUP(D26,'Master List'!D:H,4,FALSE),"NA")</f>
        <v>111002</v>
      </c>
      <c r="H26" s="39" t="str">
        <f>IFERROR(VLOOKUP(D26,'Master List'!D:H,5,FALSE),"NA")</f>
        <v>System, Networking, and LAN/WAN Management/Manager.</v>
      </c>
      <c r="I26" s="19"/>
      <c r="J26" s="18"/>
      <c r="K26" s="18"/>
      <c r="L26" s="22"/>
    </row>
    <row r="27" spans="1:12" x14ac:dyDescent="0.3">
      <c r="A27" s="33">
        <v>20</v>
      </c>
      <c r="B27" s="33" t="s">
        <v>2164</v>
      </c>
      <c r="C27" s="34" t="s">
        <v>703</v>
      </c>
      <c r="D27" s="51" t="s">
        <v>240</v>
      </c>
      <c r="E27" s="61" t="str">
        <f>IFERROR(VLOOKUP(D27,'Master List'!D:H,2,FALSE),"NA")</f>
        <v>120401</v>
      </c>
      <c r="F27" s="62" t="str">
        <f>IFERROR(VLOOKUP(D27,'Master List'!D:H,3,FALSE),"NA")</f>
        <v>120401</v>
      </c>
      <c r="G27" s="58" t="str">
        <f>IFERROR(VLOOKUP(D27,'Master List'!D:H,4,FALSE),"NA")</f>
        <v>120401</v>
      </c>
      <c r="H27" s="39" t="str">
        <f>IFERROR(VLOOKUP(D27,'Master List'!D:H,5,FALSE),"NA")</f>
        <v>Cosmetology/Cosmetologist, General.</v>
      </c>
      <c r="I27" s="19"/>
      <c r="J27" s="18"/>
      <c r="K27" s="18"/>
      <c r="L27" s="22"/>
    </row>
    <row r="28" spans="1:12" x14ac:dyDescent="0.3">
      <c r="A28" s="33">
        <v>20</v>
      </c>
      <c r="B28" s="33" t="s">
        <v>2164</v>
      </c>
      <c r="C28" s="34" t="s">
        <v>703</v>
      </c>
      <c r="D28" s="51" t="s">
        <v>430</v>
      </c>
      <c r="E28" s="61" t="str">
        <f>IFERROR(VLOOKUP(D28,'Master List'!D:H,2,FALSE),"NA")</f>
        <v>120402</v>
      </c>
      <c r="F28" s="62" t="str">
        <f>IFERROR(VLOOKUP(D28,'Master List'!D:H,3,FALSE),"NA")</f>
        <v>120402</v>
      </c>
      <c r="G28" s="58" t="str">
        <f>IFERROR(VLOOKUP(D28,'Master List'!D:H,4,FALSE),"NA")</f>
        <v>120402</v>
      </c>
      <c r="H28" s="39" t="str">
        <f>IFERROR(VLOOKUP(D28,'Master List'!D:H,5,FALSE),"NA")</f>
        <v>Barbering/Barber.</v>
      </c>
      <c r="I28" s="19"/>
      <c r="J28" s="18"/>
      <c r="K28" s="18"/>
      <c r="L28" s="22"/>
    </row>
    <row r="29" spans="1:12" x14ac:dyDescent="0.3">
      <c r="A29" s="33">
        <v>20</v>
      </c>
      <c r="B29" s="33" t="s">
        <v>2164</v>
      </c>
      <c r="C29" s="34" t="s">
        <v>703</v>
      </c>
      <c r="D29" s="51" t="s">
        <v>243</v>
      </c>
      <c r="E29" s="61" t="str">
        <f>IFERROR(VLOOKUP(D29,'Master List'!D:H,2,FALSE),"NA")</f>
        <v>120408</v>
      </c>
      <c r="F29" s="62" t="str">
        <f>IFERROR(VLOOKUP(D29,'Master List'!D:H,3,FALSE),"NA")</f>
        <v>120408</v>
      </c>
      <c r="G29" s="58" t="str">
        <f>IFERROR(VLOOKUP(D29,'Master List'!D:H,4,FALSE),"NA")</f>
        <v>120408</v>
      </c>
      <c r="H29" s="39" t="str">
        <f>IFERROR(VLOOKUP(D29,'Master List'!D:H,5,FALSE),"NA")</f>
        <v>Facial Treatment Specialist/Facialist.</v>
      </c>
      <c r="I29" s="19"/>
      <c r="J29" s="18"/>
      <c r="K29" s="18"/>
      <c r="L29" s="22"/>
    </row>
    <row r="30" spans="1:12" x14ac:dyDescent="0.3">
      <c r="A30" s="33">
        <v>20</v>
      </c>
      <c r="B30" s="33" t="s">
        <v>2164</v>
      </c>
      <c r="C30" s="34" t="s">
        <v>703</v>
      </c>
      <c r="D30" s="51" t="s">
        <v>712</v>
      </c>
      <c r="E30" s="61" t="str">
        <f>IFERROR(VLOOKUP(D30,'Master List'!D:H,2,FALSE),"NA")</f>
        <v>120409</v>
      </c>
      <c r="F30" s="62" t="str">
        <f>IFERROR(VLOOKUP(D30,'Master List'!D:H,3,FALSE),"NA")</f>
        <v>120409</v>
      </c>
      <c r="G30" s="58" t="str">
        <f>IFERROR(VLOOKUP(D30,'Master List'!D:H,4,FALSE),"NA")</f>
        <v>120409</v>
      </c>
      <c r="H30" s="39" t="str">
        <f>IFERROR(VLOOKUP(D30,'Master List'!D:H,5,FALSE),"NA")</f>
        <v>Aesthetician/Esthetician and Skin Care Specialist.</v>
      </c>
      <c r="I30" s="19"/>
      <c r="J30" s="18"/>
      <c r="K30" s="18"/>
      <c r="L30" s="22"/>
    </row>
    <row r="31" spans="1:12" x14ac:dyDescent="0.3">
      <c r="A31" s="33">
        <v>20</v>
      </c>
      <c r="B31" s="33" t="s">
        <v>2164</v>
      </c>
      <c r="C31" s="34" t="s">
        <v>703</v>
      </c>
      <c r="D31" s="51" t="s">
        <v>715</v>
      </c>
      <c r="E31" s="61" t="str">
        <f>IFERROR(VLOOKUP(D31,'Master List'!D:H,2,FALSE),"NA")</f>
        <v>120410</v>
      </c>
      <c r="F31" s="62" t="str">
        <f>IFERROR(VLOOKUP(D31,'Master List'!D:H,3,FALSE),"NA")</f>
        <v>120410</v>
      </c>
      <c r="G31" s="58" t="str">
        <f>IFERROR(VLOOKUP(D31,'Master List'!D:H,4,FALSE),"NA")</f>
        <v>120410</v>
      </c>
      <c r="H31" s="39" t="str">
        <f>IFERROR(VLOOKUP(D31,'Master List'!D:H,5,FALSE),"NA")</f>
        <v>Nail Technician/Specialist and Manicurist.</v>
      </c>
      <c r="I31" s="19"/>
      <c r="J31" s="18"/>
      <c r="K31" s="18"/>
      <c r="L31" s="22"/>
    </row>
    <row r="32" spans="1:12" x14ac:dyDescent="0.3">
      <c r="A32" s="33">
        <v>20</v>
      </c>
      <c r="B32" s="33" t="s">
        <v>2164</v>
      </c>
      <c r="C32" s="34" t="s">
        <v>703</v>
      </c>
      <c r="D32" s="51" t="s">
        <v>46</v>
      </c>
      <c r="E32" s="61" t="str">
        <f>IFERROR(VLOOKUP(D32,'Master List'!D:H,2,FALSE),"NA")</f>
        <v>120503</v>
      </c>
      <c r="F32" s="62" t="str">
        <f>IFERROR(VLOOKUP(D32,'Master List'!D:H,3,FALSE),"NA")</f>
        <v>120503</v>
      </c>
      <c r="G32" s="58" t="str">
        <f>IFERROR(VLOOKUP(D32,'Master List'!D:H,4,FALSE),"NA")</f>
        <v>120503</v>
      </c>
      <c r="H32" s="39" t="str">
        <f>IFERROR(VLOOKUP(D32,'Master List'!D:H,5,FALSE),"NA")</f>
        <v>Culinary Arts/Chef Training.</v>
      </c>
      <c r="I32" s="19"/>
      <c r="J32" s="18"/>
      <c r="K32" s="18"/>
      <c r="L32" s="22"/>
    </row>
    <row r="33" spans="1:12" x14ac:dyDescent="0.3">
      <c r="A33" s="33">
        <v>20</v>
      </c>
      <c r="B33" s="33" t="s">
        <v>2164</v>
      </c>
      <c r="C33" s="34" t="s">
        <v>703</v>
      </c>
      <c r="D33" s="51" t="s">
        <v>246</v>
      </c>
      <c r="E33" s="61" t="str">
        <f>IFERROR(VLOOKUP(D33,'Master List'!D:H,2,FALSE),"NA")</f>
        <v>150000</v>
      </c>
      <c r="F33" s="62" t="str">
        <f>IFERROR(VLOOKUP(D33,'Master List'!D:H,3,FALSE),"NA")</f>
        <v>150000</v>
      </c>
      <c r="G33" s="58" t="str">
        <f>IFERROR(VLOOKUP(D33,'Master List'!D:H,4,FALSE),"NA")</f>
        <v>150000</v>
      </c>
      <c r="H33" s="39" t="str">
        <f>IFERROR(VLOOKUP(D33,'Master List'!D:H,5,FALSE),"NA")</f>
        <v>Engineering Technologies/Technicians, General.</v>
      </c>
      <c r="I33" s="19"/>
      <c r="J33" s="18"/>
      <c r="K33" s="18"/>
      <c r="L33" s="22"/>
    </row>
    <row r="34" spans="1:12" x14ac:dyDescent="0.3">
      <c r="A34" s="33">
        <v>20</v>
      </c>
      <c r="B34" s="33" t="s">
        <v>2164</v>
      </c>
      <c r="C34" s="34" t="s">
        <v>703</v>
      </c>
      <c r="D34" s="51" t="s">
        <v>719</v>
      </c>
      <c r="E34" s="61" t="str">
        <f>IFERROR(VLOOKUP(D34,'Master List'!D:H,2,FALSE),"NA")</f>
        <v>150000</v>
      </c>
      <c r="F34" s="62" t="str">
        <f>IFERROR(VLOOKUP(D34,'Master List'!D:H,3,FALSE),"NA")</f>
        <v>150000</v>
      </c>
      <c r="G34" s="58" t="str">
        <f>IFERROR(VLOOKUP(D34,'Master List'!D:H,4,FALSE),"NA")</f>
        <v>150000</v>
      </c>
      <c r="H34" s="39" t="str">
        <f>IFERROR(VLOOKUP(D34,'Master List'!D:H,5,FALSE),"NA")</f>
        <v>Engineering Technologies/Technicians, General.</v>
      </c>
      <c r="I34" s="19"/>
      <c r="J34" s="18"/>
      <c r="K34" s="18"/>
      <c r="L34" s="22"/>
    </row>
    <row r="35" spans="1:12" x14ac:dyDescent="0.3">
      <c r="A35" s="33">
        <v>20</v>
      </c>
      <c r="B35" s="33" t="s">
        <v>2164</v>
      </c>
      <c r="C35" s="34" t="s">
        <v>703</v>
      </c>
      <c r="D35" s="51" t="s">
        <v>556</v>
      </c>
      <c r="E35" s="61" t="str">
        <f>IFERROR(VLOOKUP(D35,'Master List'!D:H,2,FALSE),"NA")</f>
        <v>150303</v>
      </c>
      <c r="F35" s="62" t="str">
        <f>IFERROR(VLOOKUP(D35,'Master List'!D:H,3,FALSE),"NA")</f>
        <v>150303</v>
      </c>
      <c r="G35" s="58" t="str">
        <f>IFERROR(VLOOKUP(D35,'Master List'!D:H,4,FALSE),"NA")</f>
        <v>150303</v>
      </c>
      <c r="H35" s="39" t="str">
        <f>IFERROR(VLOOKUP(D35,'Master List'!D:H,5,FALSE),"NA")</f>
        <v>Electrical, Electronic, and Communications Engineering Technology/Technician.</v>
      </c>
      <c r="I35" s="19"/>
      <c r="J35" s="18"/>
      <c r="K35" s="18"/>
      <c r="L35" s="22"/>
    </row>
    <row r="36" spans="1:12" x14ac:dyDescent="0.3">
      <c r="A36" s="33">
        <v>20</v>
      </c>
      <c r="B36" s="33" t="s">
        <v>2164</v>
      </c>
      <c r="C36" s="34" t="s">
        <v>703</v>
      </c>
      <c r="D36" s="51" t="s">
        <v>53</v>
      </c>
      <c r="E36" s="61" t="str">
        <f>IFERROR(VLOOKUP(D36,'Master List'!D:H,2,FALSE),"NA")</f>
        <v>150303</v>
      </c>
      <c r="F36" s="62" t="str">
        <f>IFERROR(VLOOKUP(D36,'Master List'!D:H,3,FALSE),"NA")</f>
        <v>150303</v>
      </c>
      <c r="G36" s="58" t="str">
        <f>IFERROR(VLOOKUP(D36,'Master List'!D:H,4,FALSE),"NA")</f>
        <v>150303</v>
      </c>
      <c r="H36" s="39" t="str">
        <f>IFERROR(VLOOKUP(D36,'Master List'!D:H,5,FALSE),"NA")</f>
        <v>Electrical, Electronic, and Communications Engineering Technology/Technician.</v>
      </c>
      <c r="I36" s="19"/>
      <c r="J36" s="18"/>
      <c r="K36" s="18"/>
      <c r="L36" s="22"/>
    </row>
    <row r="37" spans="1:12" x14ac:dyDescent="0.3">
      <c r="A37" s="33">
        <v>20</v>
      </c>
      <c r="B37" s="33" t="s">
        <v>2164</v>
      </c>
      <c r="C37" s="34" t="s">
        <v>703</v>
      </c>
      <c r="D37" s="51" t="s">
        <v>561</v>
      </c>
      <c r="E37" s="61" t="str">
        <f>IFERROR(VLOOKUP(D37,'Master List'!D:H,2,FALSE),"NA")</f>
        <v>150405</v>
      </c>
      <c r="F37" s="62" t="str">
        <f>IFERROR(VLOOKUP(D37,'Master List'!D:H,3,FALSE),"NA")</f>
        <v>150405</v>
      </c>
      <c r="G37" s="58" t="str">
        <f>IFERROR(VLOOKUP(D37,'Master List'!D:H,4,FALSE),"NA")</f>
        <v>150405</v>
      </c>
      <c r="H37" s="39" t="str">
        <f>IFERROR(VLOOKUP(D37,'Master List'!D:H,5,FALSE),"NA")</f>
        <v>Robotics Technology/Technician.</v>
      </c>
      <c r="I37" s="19"/>
      <c r="J37" s="18"/>
      <c r="K37" s="18"/>
      <c r="L37" s="22"/>
    </row>
    <row r="38" spans="1:12" x14ac:dyDescent="0.3">
      <c r="A38" s="33">
        <v>20</v>
      </c>
      <c r="B38" s="33" t="s">
        <v>2164</v>
      </c>
      <c r="C38" s="34" t="s">
        <v>703</v>
      </c>
      <c r="D38" s="51" t="s">
        <v>56</v>
      </c>
      <c r="E38" s="61" t="str">
        <f>IFERROR(VLOOKUP(D38,'Master List'!D:H,2,FALSE),"NA")</f>
        <v>150406</v>
      </c>
      <c r="F38" s="62" t="str">
        <f>IFERROR(VLOOKUP(D38,'Master List'!D:H,3,FALSE),"NA")</f>
        <v>150406</v>
      </c>
      <c r="G38" s="58" t="str">
        <f>IFERROR(VLOOKUP(D38,'Master List'!D:H,4,FALSE),"NA")</f>
        <v>150406</v>
      </c>
      <c r="H38" s="39" t="str">
        <f>IFERROR(VLOOKUP(D38,'Master List'!D:H,5,FALSE),"NA")</f>
        <v>Automation Engineer Technology/Technician.</v>
      </c>
      <c r="I38" s="19"/>
      <c r="J38" s="18"/>
      <c r="K38" s="18"/>
      <c r="L38" s="22"/>
    </row>
    <row r="39" spans="1:12" x14ac:dyDescent="0.3">
      <c r="A39" s="33">
        <v>20</v>
      </c>
      <c r="B39" s="33" t="s">
        <v>2164</v>
      </c>
      <c r="C39" s="34" t="s">
        <v>703</v>
      </c>
      <c r="D39" s="51" t="s">
        <v>252</v>
      </c>
      <c r="E39" s="61" t="str">
        <f>IFERROR(VLOOKUP(D39,'Master List'!D:H,2,FALSE),"NA")</f>
        <v>150613</v>
      </c>
      <c r="F39" s="62" t="str">
        <f>IFERROR(VLOOKUP(D39,'Master List'!D:H,3,FALSE),"NA")</f>
        <v>150613</v>
      </c>
      <c r="G39" s="58" t="str">
        <f>IFERROR(VLOOKUP(D39,'Master List'!D:H,4,FALSE),"NA")</f>
        <v>150613</v>
      </c>
      <c r="H39" s="39" t="str">
        <f>IFERROR(VLOOKUP(D39,'Master List'!D:H,5,FALSE),"NA")</f>
        <v>Manufacturing Engineering Technology/Technician.</v>
      </c>
      <c r="I39" s="19"/>
      <c r="J39" s="18"/>
      <c r="K39" s="18"/>
      <c r="L39" s="22"/>
    </row>
    <row r="40" spans="1:12" x14ac:dyDescent="0.3">
      <c r="A40" s="33">
        <v>20</v>
      </c>
      <c r="B40" s="33" t="s">
        <v>2164</v>
      </c>
      <c r="C40" s="34" t="s">
        <v>703</v>
      </c>
      <c r="D40" s="51" t="s">
        <v>720</v>
      </c>
      <c r="E40" s="61" t="str">
        <f>IFERROR(VLOOKUP(D40,'Master List'!D:H,2,FALSE),"NA")</f>
        <v>150805</v>
      </c>
      <c r="F40" s="62" t="str">
        <f>IFERROR(VLOOKUP(D40,'Master List'!D:H,3,FALSE),"NA")</f>
        <v>150805</v>
      </c>
      <c r="G40" s="58" t="str">
        <f>IFERROR(VLOOKUP(D40,'Master List'!D:H,4,FALSE),"NA")</f>
        <v>150805</v>
      </c>
      <c r="H40" s="39" t="str">
        <f>IFERROR(VLOOKUP(D40,'Master List'!D:H,5,FALSE),"NA")</f>
        <v>Mechanical/Mechanical Engineering Technology/Technician.</v>
      </c>
      <c r="I40" s="19"/>
      <c r="J40" s="18"/>
      <c r="K40" s="18"/>
      <c r="L40" s="22"/>
    </row>
    <row r="41" spans="1:12" x14ac:dyDescent="0.3">
      <c r="A41" s="33">
        <v>20</v>
      </c>
      <c r="B41" s="33" t="s">
        <v>2164</v>
      </c>
      <c r="C41" s="34" t="s">
        <v>703</v>
      </c>
      <c r="D41" s="51" t="s">
        <v>519</v>
      </c>
      <c r="E41" s="61" t="str">
        <f>IFERROR(VLOOKUP(D41,'Master List'!D:H,2,FALSE),"NA")</f>
        <v>150805</v>
      </c>
      <c r="F41" s="62" t="str">
        <f>IFERROR(VLOOKUP(D41,'Master List'!D:H,3,FALSE),"NA")</f>
        <v>150805</v>
      </c>
      <c r="G41" s="58" t="str">
        <f>IFERROR(VLOOKUP(D41,'Master List'!D:H,4,FALSE),"NA")</f>
        <v>150805</v>
      </c>
      <c r="H41" s="39" t="str">
        <f>IFERROR(VLOOKUP(D41,'Master List'!D:H,5,FALSE),"NA")</f>
        <v>Mechanical/Mechanical Engineering Technology/Technician.</v>
      </c>
      <c r="I41" s="19"/>
      <c r="J41" s="18"/>
      <c r="K41" s="18"/>
      <c r="L41" s="22"/>
    </row>
    <row r="42" spans="1:12" x14ac:dyDescent="0.3">
      <c r="A42" s="33">
        <v>20</v>
      </c>
      <c r="B42" s="33" t="s">
        <v>2164</v>
      </c>
      <c r="C42" s="34" t="s">
        <v>703</v>
      </c>
      <c r="D42" s="51" t="s">
        <v>259</v>
      </c>
      <c r="E42" s="61" t="str">
        <f>IFERROR(VLOOKUP(D42,'Master List'!D:H,2,FALSE),"NA")</f>
        <v>151301</v>
      </c>
      <c r="F42" s="62" t="str">
        <f>IFERROR(VLOOKUP(D42,'Master List'!D:H,3,FALSE),"NA")</f>
        <v>151301</v>
      </c>
      <c r="G42" s="58">
        <f>IFERROR(VLOOKUP(D42,'Master List'!D:H,4,FALSE),"NA")</f>
        <v>151302</v>
      </c>
      <c r="H42" s="39" t="str">
        <f>IFERROR(VLOOKUP(D42,'Master List'!D:H,5,FALSE),"NA")</f>
        <v>CAD/CADD Drafting and/or Design Technology/Technician</v>
      </c>
      <c r="I42" s="19"/>
      <c r="J42" s="18"/>
      <c r="K42" s="18"/>
      <c r="L42" s="22"/>
    </row>
    <row r="43" spans="1:12" x14ac:dyDescent="0.3">
      <c r="A43" s="33">
        <v>20</v>
      </c>
      <c r="B43" s="33" t="s">
        <v>2164</v>
      </c>
      <c r="C43" s="34" t="s">
        <v>703</v>
      </c>
      <c r="D43" s="51" t="s">
        <v>721</v>
      </c>
      <c r="E43" s="61" t="str">
        <f>IFERROR(VLOOKUP(D43,'Master List'!D:H,2,FALSE),"NA")</f>
        <v>460201</v>
      </c>
      <c r="F43" s="62" t="str">
        <f>IFERROR(VLOOKUP(D43,'Master List'!D:H,3,FALSE),"NA")</f>
        <v>460201</v>
      </c>
      <c r="G43" s="58" t="str">
        <f>IFERROR(VLOOKUP(D43,'Master List'!D:H,4,FALSE),"NA")</f>
        <v>460201</v>
      </c>
      <c r="H43" s="39" t="str">
        <f>IFERROR(VLOOKUP(D43,'Master List'!D:H,5,FALSE),"NA")</f>
        <v>Carpentry/Carpenter.</v>
      </c>
      <c r="I43" s="19"/>
      <c r="J43" s="18"/>
      <c r="K43" s="18"/>
      <c r="L43" s="22"/>
    </row>
    <row r="44" spans="1:12" x14ac:dyDescent="0.3">
      <c r="A44" s="33">
        <v>20</v>
      </c>
      <c r="B44" s="33" t="s">
        <v>2164</v>
      </c>
      <c r="C44" s="34" t="s">
        <v>703</v>
      </c>
      <c r="D44" s="51" t="s">
        <v>272</v>
      </c>
      <c r="E44" s="61" t="str">
        <f>IFERROR(VLOOKUP(D44,'Master List'!D:H,2,FALSE),"NA")</f>
        <v>460302</v>
      </c>
      <c r="F44" s="62" t="str">
        <f>IFERROR(VLOOKUP(D44,'Master List'!D:H,3,FALSE),"NA")</f>
        <v>460302</v>
      </c>
      <c r="G44" s="58" t="str">
        <f>IFERROR(VLOOKUP(D44,'Master List'!D:H,4,FALSE),"NA")</f>
        <v>460302</v>
      </c>
      <c r="H44" s="39" t="str">
        <f>IFERROR(VLOOKUP(D44,'Master List'!D:H,5,FALSE),"NA")</f>
        <v>Electrician.</v>
      </c>
      <c r="I44" s="19"/>
      <c r="J44" s="18"/>
      <c r="K44" s="18"/>
      <c r="L44" s="22"/>
    </row>
    <row r="45" spans="1:12" x14ac:dyDescent="0.3">
      <c r="A45" s="33">
        <v>20</v>
      </c>
      <c r="B45" s="33" t="s">
        <v>2164</v>
      </c>
      <c r="C45" s="34" t="s">
        <v>703</v>
      </c>
      <c r="D45" s="51" t="s">
        <v>634</v>
      </c>
      <c r="E45" s="61" t="str">
        <f>IFERROR(VLOOKUP(D45,'Master List'!D:H,2,FALSE),"NA")</f>
        <v>460503</v>
      </c>
      <c r="F45" s="62" t="str">
        <f>IFERROR(VLOOKUP(D45,'Master List'!D:H,3,FALSE),"NA")</f>
        <v>460503</v>
      </c>
      <c r="G45" s="58" t="str">
        <f>IFERROR(VLOOKUP(D45,'Master List'!D:H,4,FALSE),"NA")</f>
        <v>460503</v>
      </c>
      <c r="H45" s="39" t="str">
        <f>IFERROR(VLOOKUP(D45,'Master List'!D:H,5,FALSE),"NA")</f>
        <v>Plumbing Technology/Plumber.</v>
      </c>
      <c r="I45" s="19"/>
      <c r="J45" s="18"/>
      <c r="K45" s="18"/>
      <c r="L45" s="22"/>
    </row>
    <row r="46" spans="1:12" x14ac:dyDescent="0.3">
      <c r="A46" s="33">
        <v>20</v>
      </c>
      <c r="B46" s="33" t="s">
        <v>2164</v>
      </c>
      <c r="C46" s="34" t="s">
        <v>703</v>
      </c>
      <c r="D46" s="51" t="s">
        <v>275</v>
      </c>
      <c r="E46" s="61" t="str">
        <f>IFERROR(VLOOKUP(D46,'Master List'!D:H,2,FALSE),"NA")</f>
        <v>470201</v>
      </c>
      <c r="F46" s="62" t="str">
        <f>IFERROR(VLOOKUP(D46,'Master List'!D:H,3,FALSE),"NA")</f>
        <v>470201</v>
      </c>
      <c r="G46" s="58" t="str">
        <f>IFERROR(VLOOKUP(D46,'Master List'!D:H,4,FALSE),"NA")</f>
        <v>470201</v>
      </c>
      <c r="H46" s="39" t="str">
        <f>IFERROR(VLOOKUP(D46,'Master List'!D:H,5,FALSE),"NA")</f>
        <v>Heating, Air Conditioning, Ventilation and Refrigeration Maintenance Technology/Technician.</v>
      </c>
      <c r="I46" s="19"/>
      <c r="J46" s="18"/>
      <c r="K46" s="18"/>
      <c r="L46" s="22"/>
    </row>
    <row r="47" spans="1:12" x14ac:dyDescent="0.3">
      <c r="A47" s="33">
        <v>20</v>
      </c>
      <c r="B47" s="33" t="s">
        <v>2164</v>
      </c>
      <c r="C47" s="34" t="s">
        <v>703</v>
      </c>
      <c r="D47" s="51" t="s">
        <v>291</v>
      </c>
      <c r="E47" s="61" t="str">
        <f>IFERROR(VLOOKUP(D47,'Master List'!D:H,2,FALSE),"NA")</f>
        <v>480508</v>
      </c>
      <c r="F47" s="62" t="str">
        <f>IFERROR(VLOOKUP(D47,'Master List'!D:H,3,FALSE),"NA")</f>
        <v>480508</v>
      </c>
      <c r="G47" s="58" t="str">
        <f>IFERROR(VLOOKUP(D47,'Master List'!D:H,4,FALSE),"NA")</f>
        <v>480508</v>
      </c>
      <c r="H47" s="39" t="str">
        <f>IFERROR(VLOOKUP(D47,'Master List'!D:H,5,FALSE),"NA")</f>
        <v>Welding Technology/Welder.</v>
      </c>
      <c r="I47" s="19"/>
      <c r="J47" s="18"/>
      <c r="K47" s="18"/>
      <c r="L47" s="22"/>
    </row>
    <row r="48" spans="1:12" x14ac:dyDescent="0.3">
      <c r="A48" s="33">
        <v>20</v>
      </c>
      <c r="B48" s="33" t="s">
        <v>2164</v>
      </c>
      <c r="C48" s="34" t="s">
        <v>703</v>
      </c>
      <c r="D48" s="51" t="s">
        <v>456</v>
      </c>
      <c r="E48" s="61" t="str">
        <f>IFERROR(VLOOKUP(D48,'Master List'!D:H,2,FALSE),"NA")</f>
        <v>480508</v>
      </c>
      <c r="F48" s="62" t="str">
        <f>IFERROR(VLOOKUP(D48,'Master List'!D:H,3,FALSE),"NA")</f>
        <v>480508</v>
      </c>
      <c r="G48" s="58" t="str">
        <f>IFERROR(VLOOKUP(D48,'Master List'!D:H,4,FALSE),"NA")</f>
        <v>480508</v>
      </c>
      <c r="H48" s="39" t="str">
        <f>IFERROR(VLOOKUP(D48,'Master List'!D:H,5,FALSE),"NA")</f>
        <v>Welding Technology/Welder.</v>
      </c>
      <c r="I48" s="19"/>
      <c r="J48" s="18"/>
      <c r="K48" s="18"/>
      <c r="L48" s="22"/>
    </row>
    <row r="49" spans="1:12" x14ac:dyDescent="0.3">
      <c r="A49" s="33">
        <v>20</v>
      </c>
      <c r="B49" s="33" t="s">
        <v>2164</v>
      </c>
      <c r="C49" s="34" t="s">
        <v>703</v>
      </c>
      <c r="D49" s="51" t="s">
        <v>294</v>
      </c>
      <c r="E49" s="61" t="str">
        <f>IFERROR(VLOOKUP(D49,'Master List'!D:H,2,FALSE),"NA")</f>
        <v>480510</v>
      </c>
      <c r="F49" s="62" t="str">
        <f>IFERROR(VLOOKUP(D49,'Master List'!D:H,3,FALSE),"NA")</f>
        <v>480510</v>
      </c>
      <c r="G49" s="58" t="str">
        <f>IFERROR(VLOOKUP(D49,'Master List'!D:H,4,FALSE),"NA")</f>
        <v>480510</v>
      </c>
      <c r="H49" s="39" t="str">
        <f>IFERROR(VLOOKUP(D49,'Master List'!D:H,5,FALSE),"NA")</f>
        <v>Computer Numerically Controlled (CNC) Machinist Technology/CNC Machinist.</v>
      </c>
      <c r="I49" s="19"/>
      <c r="J49" s="18"/>
      <c r="K49" s="18"/>
      <c r="L49" s="22"/>
    </row>
    <row r="50" spans="1:12" x14ac:dyDescent="0.3">
      <c r="A50" s="33">
        <v>20</v>
      </c>
      <c r="B50" s="33" t="s">
        <v>2164</v>
      </c>
      <c r="C50" s="34" t="s">
        <v>703</v>
      </c>
      <c r="D50" s="51" t="s">
        <v>304</v>
      </c>
      <c r="E50" s="61" t="str">
        <f>IFERROR(VLOOKUP(D50,'Master List'!D:H,2,FALSE),"NA")</f>
        <v>490205</v>
      </c>
      <c r="F50" s="62" t="str">
        <f>IFERROR(VLOOKUP(D50,'Master List'!D:H,3,FALSE),"NA")</f>
        <v>490205</v>
      </c>
      <c r="G50" s="58" t="str">
        <f>IFERROR(VLOOKUP(D50,'Master List'!D:H,4,FALSE),"NA")</f>
        <v>490205</v>
      </c>
      <c r="H50" s="39" t="str">
        <f>IFERROR(VLOOKUP(D50,'Master List'!D:H,5,FALSE),"NA")</f>
        <v>Truck and Bus Driver/Commercial Vehicle Operator and Instructor.</v>
      </c>
      <c r="I50" s="19"/>
      <c r="J50" s="18"/>
      <c r="K50" s="18"/>
      <c r="L50" s="22"/>
    </row>
    <row r="51" spans="1:12" x14ac:dyDescent="0.3">
      <c r="A51" s="33">
        <v>20</v>
      </c>
      <c r="B51" s="33" t="s">
        <v>2164</v>
      </c>
      <c r="C51" s="34" t="s">
        <v>703</v>
      </c>
      <c r="D51" s="51" t="s">
        <v>395</v>
      </c>
      <c r="E51" s="61" t="str">
        <f>IFERROR(VLOOKUP(D51,'Master List'!D:H,2,FALSE),"NA")</f>
        <v>430106</v>
      </c>
      <c r="F51" s="62" t="str">
        <f>IFERROR(VLOOKUP(D51,'Master List'!D:H,3,FALSE),"NA")</f>
        <v>430406</v>
      </c>
      <c r="G51" s="58" t="str">
        <f>IFERROR(VLOOKUP(D51,'Master List'!D:H,4,FALSE),"NA")</f>
        <v>430406</v>
      </c>
      <c r="H51" s="39" t="str">
        <f>IFERROR(VLOOKUP(D51,'Master List'!D:H,5,FALSE),"NA")</f>
        <v>Forensic Science and Technology.</v>
      </c>
      <c r="I51" s="19"/>
      <c r="J51" s="18"/>
      <c r="K51" s="18"/>
      <c r="L51" s="22"/>
    </row>
    <row r="52" spans="1:12" x14ac:dyDescent="0.3">
      <c r="A52" s="33">
        <v>20</v>
      </c>
      <c r="B52" s="33" t="s">
        <v>2164</v>
      </c>
      <c r="C52" s="34" t="s">
        <v>703</v>
      </c>
      <c r="D52" s="51" t="s">
        <v>79</v>
      </c>
      <c r="E52" s="61" t="str">
        <f>IFERROR(VLOOKUP(D52,'Master List'!D:H,2,FALSE),"NA")</f>
        <v>520901</v>
      </c>
      <c r="F52" s="62" t="str">
        <f>IFERROR(VLOOKUP(D52,'Master List'!D:H,3,FALSE),"NA")</f>
        <v>520901</v>
      </c>
      <c r="G52" s="58" t="str">
        <f>IFERROR(VLOOKUP(D52,'Master List'!D:H,4,FALSE),"NA")</f>
        <v>520901</v>
      </c>
      <c r="H52" s="39" t="str">
        <f>IFERROR(VLOOKUP(D52,'Master List'!D:H,5,FALSE),"NA")</f>
        <v>Hospitality Administration/Management, General.</v>
      </c>
      <c r="I52" s="19"/>
      <c r="J52" s="18"/>
      <c r="K52" s="18"/>
      <c r="L52" s="22"/>
    </row>
    <row r="53" spans="1:12" x14ac:dyDescent="0.3">
      <c r="A53" s="33">
        <v>20</v>
      </c>
      <c r="B53" s="33" t="s">
        <v>2164</v>
      </c>
      <c r="C53" s="34" t="s">
        <v>703</v>
      </c>
      <c r="D53" s="51" t="s">
        <v>84</v>
      </c>
      <c r="E53" s="61" t="str">
        <f>IFERROR(VLOOKUP(D53,'Master List'!D:H,2,FALSE),"NA")</f>
        <v>510602</v>
      </c>
      <c r="F53" s="62" t="str">
        <f>IFERROR(VLOOKUP(D53,'Master List'!D:H,3,FALSE),"NA")</f>
        <v>510602</v>
      </c>
      <c r="G53" s="58" t="str">
        <f>IFERROR(VLOOKUP(D53,'Master List'!D:H,4,FALSE),"NA")</f>
        <v>510602</v>
      </c>
      <c r="H53" s="39" t="str">
        <f>IFERROR(VLOOKUP(D53,'Master List'!D:H,5,FALSE),"NA")</f>
        <v>Dental Hygiene/Hygienist.</v>
      </c>
      <c r="I53" s="19"/>
      <c r="J53" s="18"/>
      <c r="K53" s="18"/>
      <c r="L53" s="22"/>
    </row>
    <row r="54" spans="1:12" x14ac:dyDescent="0.3">
      <c r="A54" s="33">
        <v>20</v>
      </c>
      <c r="B54" s="33" t="s">
        <v>2164</v>
      </c>
      <c r="C54" s="34" t="s">
        <v>703</v>
      </c>
      <c r="D54" s="51" t="s">
        <v>612</v>
      </c>
      <c r="E54" s="61" t="str">
        <f>IFERROR(VLOOKUP(D54,'Master List'!D:H,2,FALSE),"NA")</f>
        <v>510701</v>
      </c>
      <c r="F54" s="62" t="str">
        <f>IFERROR(VLOOKUP(D54,'Master List'!D:H,3,FALSE),"NA")</f>
        <v>510701</v>
      </c>
      <c r="G54" s="58" t="str">
        <f>IFERROR(VLOOKUP(D54,'Master List'!D:H,4,FALSE),"NA")</f>
        <v>510701</v>
      </c>
      <c r="H54" s="39" t="str">
        <f>IFERROR(VLOOKUP(D54,'Master List'!D:H,5,FALSE),"NA")</f>
        <v>Health/Health Care Administration/Management.</v>
      </c>
      <c r="I54" s="19"/>
      <c r="J54" s="18"/>
      <c r="K54" s="18"/>
      <c r="L54" s="22"/>
    </row>
    <row r="55" spans="1:12" x14ac:dyDescent="0.3">
      <c r="A55" s="33">
        <v>20</v>
      </c>
      <c r="B55" s="33" t="s">
        <v>2164</v>
      </c>
      <c r="C55" s="34" t="s">
        <v>703</v>
      </c>
      <c r="D55" s="51" t="s">
        <v>325</v>
      </c>
      <c r="E55" s="61" t="str">
        <f>IFERROR(VLOOKUP(D55,'Master List'!D:H,2,FALSE),"NA")</f>
        <v>510707</v>
      </c>
      <c r="F55" s="62" t="str">
        <f>IFERROR(VLOOKUP(D55,'Master List'!D:H,3,FALSE),"NA")</f>
        <v>510707</v>
      </c>
      <c r="G55" s="58" t="str">
        <f>IFERROR(VLOOKUP(D55,'Master List'!D:H,4,FALSE),"NA")</f>
        <v>510707</v>
      </c>
      <c r="H55" s="39" t="str">
        <f>IFERROR(VLOOKUP(D55,'Master List'!D:H,5,FALSE),"NA")</f>
        <v>Health Information/Medical Records Technology/Technician.</v>
      </c>
      <c r="I55" s="19"/>
      <c r="J55" s="18"/>
      <c r="K55" s="18"/>
      <c r="L55" s="22"/>
    </row>
    <row r="56" spans="1:12" x14ac:dyDescent="0.3">
      <c r="A56" s="33">
        <v>20</v>
      </c>
      <c r="B56" s="33" t="s">
        <v>2164</v>
      </c>
      <c r="C56" s="34" t="s">
        <v>703</v>
      </c>
      <c r="D56" s="51" t="s">
        <v>597</v>
      </c>
      <c r="E56" s="61" t="str">
        <f>IFERROR(VLOOKUP(D56,'Master List'!D:H,2,FALSE),"NA")</f>
        <v>510805</v>
      </c>
      <c r="F56" s="62" t="str">
        <f>IFERROR(VLOOKUP(D56,'Master List'!D:H,3,FALSE),"NA")</f>
        <v>510805</v>
      </c>
      <c r="G56" s="58" t="str">
        <f>IFERROR(VLOOKUP(D56,'Master List'!D:H,4,FALSE),"NA")</f>
        <v>510805</v>
      </c>
      <c r="H56" s="39" t="str">
        <f>IFERROR(VLOOKUP(D56,'Master List'!D:H,5,FALSE),"NA")</f>
        <v>Pharmacy Technician/Assistant.</v>
      </c>
      <c r="I56" s="19"/>
      <c r="J56" s="18"/>
      <c r="K56" s="18"/>
      <c r="L56" s="22"/>
    </row>
    <row r="57" spans="1:12" x14ac:dyDescent="0.3">
      <c r="A57" s="33">
        <v>20</v>
      </c>
      <c r="B57" s="33" t="s">
        <v>2164</v>
      </c>
      <c r="C57" s="34" t="s">
        <v>703</v>
      </c>
      <c r="D57" s="51" t="s">
        <v>87</v>
      </c>
      <c r="E57" s="61" t="str">
        <f>IFERROR(VLOOKUP(D57,'Master List'!D:H,2,FALSE),"NA")</f>
        <v>510806</v>
      </c>
      <c r="F57" s="62" t="str">
        <f>IFERROR(VLOOKUP(D57,'Master List'!D:H,3,FALSE),"NA")</f>
        <v>510806</v>
      </c>
      <c r="G57" s="58" t="str">
        <f>IFERROR(VLOOKUP(D57,'Master List'!D:H,4,FALSE),"NA")</f>
        <v>510806</v>
      </c>
      <c r="H57" s="39" t="str">
        <f>IFERROR(VLOOKUP(D57,'Master List'!D:H,5,FALSE),"NA")</f>
        <v>Physical Therapy Assistant.</v>
      </c>
      <c r="I57" s="19"/>
      <c r="J57" s="18"/>
      <c r="K57" s="18"/>
      <c r="L57" s="22"/>
    </row>
    <row r="58" spans="1:12" x14ac:dyDescent="0.3">
      <c r="A58" s="33">
        <v>20</v>
      </c>
      <c r="B58" s="33" t="s">
        <v>2164</v>
      </c>
      <c r="C58" s="34" t="s">
        <v>703</v>
      </c>
      <c r="D58" s="51" t="s">
        <v>679</v>
      </c>
      <c r="E58" s="61" t="str">
        <f>IFERROR(VLOOKUP(D58,'Master List'!D:H,2,FALSE),"NA")</f>
        <v>510808</v>
      </c>
      <c r="F58" s="62" t="str">
        <f>IFERROR(VLOOKUP(D58,'Master List'!D:H,3,FALSE),"NA")</f>
        <v>018301</v>
      </c>
      <c r="G58" s="58" t="str">
        <f>IFERROR(VLOOKUP(D58,'Master List'!D:H,4,FALSE),"NA")</f>
        <v>018301</v>
      </c>
      <c r="H58" s="39" t="str">
        <f>IFERROR(VLOOKUP(D58,'Master List'!D:H,5,FALSE),"NA")</f>
        <v>Veterinary/Animal Health Technology/Technician and Veterinary Assistant.</v>
      </c>
      <c r="I58" s="19"/>
      <c r="J58" s="18"/>
      <c r="K58" s="18"/>
      <c r="L58" s="22"/>
    </row>
    <row r="59" spans="1:12" x14ac:dyDescent="0.3">
      <c r="A59" s="33">
        <v>20</v>
      </c>
      <c r="B59" s="33" t="s">
        <v>2164</v>
      </c>
      <c r="C59" s="34" t="s">
        <v>703</v>
      </c>
      <c r="D59" s="51" t="s">
        <v>90</v>
      </c>
      <c r="E59" s="61" t="str">
        <f>IFERROR(VLOOKUP(D59,'Master List'!D:H,2,FALSE),"NA")</f>
        <v>510904</v>
      </c>
      <c r="F59" s="62" t="str">
        <f>IFERROR(VLOOKUP(D59,'Master List'!D:H,3,FALSE),"NA")</f>
        <v>510904</v>
      </c>
      <c r="G59" s="58" t="str">
        <f>IFERROR(VLOOKUP(D59,'Master List'!D:H,4,FALSE),"NA")</f>
        <v>510904</v>
      </c>
      <c r="H59" s="39" t="str">
        <f>IFERROR(VLOOKUP(D59,'Master List'!D:H,5,FALSE),"NA")</f>
        <v>Emergency Medical Technology/Technician (EMT Paramedic).</v>
      </c>
      <c r="I59" s="19"/>
      <c r="J59" s="18"/>
      <c r="K59" s="18"/>
      <c r="L59" s="22"/>
    </row>
    <row r="60" spans="1:12" x14ac:dyDescent="0.3">
      <c r="A60" s="33">
        <v>20</v>
      </c>
      <c r="B60" s="33" t="s">
        <v>2164</v>
      </c>
      <c r="C60" s="34" t="s">
        <v>703</v>
      </c>
      <c r="D60" s="51" t="s">
        <v>91</v>
      </c>
      <c r="E60" s="61" t="str">
        <f>IFERROR(VLOOKUP(D60,'Master List'!D:H,2,FALSE),"NA")</f>
        <v>510907</v>
      </c>
      <c r="F60" s="62" t="str">
        <f>IFERROR(VLOOKUP(D60,'Master List'!D:H,3,FALSE),"NA")</f>
        <v>510907</v>
      </c>
      <c r="G60" s="58">
        <f>IFERROR(VLOOKUP(D60,'Master List'!D:H,4,FALSE),"NA")</f>
        <v>510911</v>
      </c>
      <c r="H60" s="39" t="str">
        <f>IFERROR(VLOOKUP(D60,'Master List'!D:H,5,FALSE),"NA")</f>
        <v>Radiologic Technology/Science - Radiographer</v>
      </c>
      <c r="I60" s="19"/>
      <c r="J60" s="18"/>
      <c r="K60" s="18"/>
      <c r="L60" s="22"/>
    </row>
    <row r="61" spans="1:12" x14ac:dyDescent="0.3">
      <c r="A61" s="33">
        <v>20</v>
      </c>
      <c r="B61" s="33" t="s">
        <v>2164</v>
      </c>
      <c r="C61" s="34" t="s">
        <v>703</v>
      </c>
      <c r="D61" s="51" t="s">
        <v>98</v>
      </c>
      <c r="E61" s="61" t="str">
        <f>IFERROR(VLOOKUP(D61,'Master List'!D:H,2,FALSE),"NA")</f>
        <v>510910</v>
      </c>
      <c r="F61" s="62" t="str">
        <f>IFERROR(VLOOKUP(D61,'Master List'!D:H,3,FALSE),"NA")</f>
        <v>510910</v>
      </c>
      <c r="G61" s="58" t="str">
        <f>IFERROR(VLOOKUP(D61,'Master List'!D:H,4,FALSE),"NA")</f>
        <v>510910</v>
      </c>
      <c r="H61" s="39" t="str">
        <f>IFERROR(VLOOKUP(D61,'Master List'!D:H,5,FALSE),"NA")</f>
        <v>Diagnostic Medical Sonography/Sonographer and Ultrasound Technician.</v>
      </c>
      <c r="I61" s="19"/>
      <c r="J61" s="18"/>
      <c r="K61" s="18"/>
      <c r="L61" s="22"/>
    </row>
    <row r="62" spans="1:12" x14ac:dyDescent="0.3">
      <c r="A62" s="33">
        <v>20</v>
      </c>
      <c r="B62" s="33" t="s">
        <v>2164</v>
      </c>
      <c r="C62" s="34" t="s">
        <v>703</v>
      </c>
      <c r="D62" s="51" t="s">
        <v>101</v>
      </c>
      <c r="E62" s="61" t="str">
        <f>IFERROR(VLOOKUP(D62,'Master List'!D:H,2,FALSE),"NA")</f>
        <v>513801</v>
      </c>
      <c r="F62" s="62" t="str">
        <f>IFERROR(VLOOKUP(D62,'Master List'!D:H,3,FALSE),"NA")</f>
        <v>513801</v>
      </c>
      <c r="G62" s="58" t="str">
        <f>IFERROR(VLOOKUP(D62,'Master List'!D:H,4,FALSE),"NA")</f>
        <v>513801</v>
      </c>
      <c r="H62" s="39" t="str">
        <f>IFERROR(VLOOKUP(D62,'Master List'!D:H,5,FALSE),"NA")</f>
        <v>Registered Nursing/Registered Nurse.</v>
      </c>
      <c r="I62" s="19"/>
      <c r="J62" s="18"/>
      <c r="K62" s="18"/>
      <c r="L62" s="22"/>
    </row>
    <row r="63" spans="1:12" x14ac:dyDescent="0.3">
      <c r="A63" s="33">
        <v>20</v>
      </c>
      <c r="B63" s="33" t="s">
        <v>2164</v>
      </c>
      <c r="C63" s="34" t="s">
        <v>703</v>
      </c>
      <c r="D63" s="51" t="s">
        <v>400</v>
      </c>
      <c r="E63" s="61" t="str">
        <f>IFERROR(VLOOKUP(D63,'Master List'!D:H,2,FALSE),"NA")</f>
        <v>131210</v>
      </c>
      <c r="F63" s="62" t="str">
        <f>IFERROR(VLOOKUP(D63,'Master List'!D:H,3,FALSE),"NA")</f>
        <v>131210</v>
      </c>
      <c r="G63" s="58" t="str">
        <f>IFERROR(VLOOKUP(D63,'Master List'!D:H,4,FALSE),"NA")</f>
        <v>131210</v>
      </c>
      <c r="H63" s="39" t="str">
        <f>IFERROR(VLOOKUP(D63,'Master List'!D:H,5,FALSE),"NA")</f>
        <v>Early Childhood Education and Teaching.</v>
      </c>
      <c r="I63" s="19"/>
      <c r="J63" s="18"/>
      <c r="K63" s="18"/>
      <c r="L63" s="22"/>
    </row>
    <row r="64" spans="1:12" x14ac:dyDescent="0.3">
      <c r="A64" s="33">
        <v>20</v>
      </c>
      <c r="B64" s="33" t="s">
        <v>2164</v>
      </c>
      <c r="C64" s="34" t="s">
        <v>703</v>
      </c>
      <c r="D64" s="51" t="s">
        <v>167</v>
      </c>
      <c r="E64" s="61" t="str">
        <f>IFERROR(VLOOKUP(D64,'Master List'!D:H,2,FALSE),"NA")</f>
        <v>110103</v>
      </c>
      <c r="F64" s="62" t="str">
        <f>IFERROR(VLOOKUP(D64,'Master List'!D:H,3,FALSE),"NA")</f>
        <v>110103</v>
      </c>
      <c r="G64" s="58" t="str">
        <f>IFERROR(VLOOKUP(D64,'Master List'!D:H,4,FALSE),"NA")</f>
        <v>110103</v>
      </c>
      <c r="H64" s="39" t="str">
        <f>IFERROR(VLOOKUP(D64,'Master List'!D:H,5,FALSE),"NA")</f>
        <v>Information Technology.</v>
      </c>
      <c r="I64" s="19"/>
      <c r="J64" s="18"/>
      <c r="K64" s="18"/>
      <c r="L64" s="22"/>
    </row>
    <row r="65" spans="1:12" x14ac:dyDescent="0.3">
      <c r="A65" s="33">
        <v>20</v>
      </c>
      <c r="B65" s="33" t="s">
        <v>2164</v>
      </c>
      <c r="C65" s="34" t="s">
        <v>703</v>
      </c>
      <c r="D65" s="51" t="s">
        <v>170</v>
      </c>
      <c r="E65" s="61" t="str">
        <f>IFERROR(VLOOKUP(D65,'Master List'!D:H,2,FALSE),"NA")</f>
        <v>110201</v>
      </c>
      <c r="F65" s="62" t="str">
        <f>IFERROR(VLOOKUP(D65,'Master List'!D:H,3,FALSE),"NA")</f>
        <v>110201</v>
      </c>
      <c r="G65" s="58" t="str">
        <f>IFERROR(VLOOKUP(D65,'Master List'!D:H,4,FALSE),"NA")</f>
        <v>110201</v>
      </c>
      <c r="H65" s="39" t="str">
        <f>IFERROR(VLOOKUP(D65,'Master List'!D:H,5,FALSE),"NA")</f>
        <v>Computer Programming/Programmer, General.</v>
      </c>
      <c r="I65" s="19"/>
      <c r="J65" s="18"/>
      <c r="K65" s="18"/>
      <c r="L65" s="22"/>
    </row>
    <row r="66" spans="1:12" x14ac:dyDescent="0.3">
      <c r="A66" s="33">
        <v>20</v>
      </c>
      <c r="B66" s="33" t="s">
        <v>2164</v>
      </c>
      <c r="C66" s="34" t="s">
        <v>703</v>
      </c>
      <c r="D66" s="51" t="s">
        <v>725</v>
      </c>
      <c r="E66" s="61" t="str">
        <f>IFERROR(VLOOKUP(D66,'Master List'!D:H,2,FALSE),"NA")</f>
        <v>111003</v>
      </c>
      <c r="F66" s="62" t="str">
        <f>IFERROR(VLOOKUP(D66,'Master List'!D:H,3,FALSE),"NA")</f>
        <v>111003</v>
      </c>
      <c r="G66" s="58" t="str">
        <f>IFERROR(VLOOKUP(D66,'Master List'!D:H,4,FALSE),"NA")</f>
        <v>111003</v>
      </c>
      <c r="H66" s="39" t="str">
        <f>IFERROR(VLOOKUP(D66,'Master List'!D:H,5,FALSE),"NA")</f>
        <v>Computer and Information Systems Security/Auditing/Information Assurance.</v>
      </c>
      <c r="I66" s="19"/>
      <c r="J66" s="18"/>
      <c r="K66" s="18"/>
      <c r="L66" s="22"/>
    </row>
    <row r="67" spans="1:12" x14ac:dyDescent="0.3">
      <c r="A67" s="33">
        <v>20</v>
      </c>
      <c r="B67" s="33" t="s">
        <v>2164</v>
      </c>
      <c r="C67" s="34" t="s">
        <v>703</v>
      </c>
      <c r="D67" s="51" t="s">
        <v>107</v>
      </c>
      <c r="E67" s="61" t="str">
        <f>IFERROR(VLOOKUP(D67,'Master List'!D:H,2,FALSE),"NA")</f>
        <v>520201</v>
      </c>
      <c r="F67" s="62" t="str">
        <f>IFERROR(VLOOKUP(D67,'Master List'!D:H,3,FALSE),"NA")</f>
        <v>520201</v>
      </c>
      <c r="G67" s="58" t="str">
        <f>IFERROR(VLOOKUP(D67,'Master List'!D:H,4,FALSE),"NA")</f>
        <v>520201</v>
      </c>
      <c r="H67" s="39" t="str">
        <f>IFERROR(VLOOKUP(D67,'Master List'!D:H,5,FALSE),"NA")</f>
        <v>Business Administration and Management, General.</v>
      </c>
      <c r="I67" s="19"/>
      <c r="J67" s="18"/>
      <c r="K67" s="18"/>
      <c r="L67" s="22"/>
    </row>
    <row r="68" spans="1:12" x14ac:dyDescent="0.3">
      <c r="A68" s="33">
        <v>20</v>
      </c>
      <c r="B68" s="33" t="s">
        <v>2164</v>
      </c>
      <c r="C68" s="34" t="s">
        <v>703</v>
      </c>
      <c r="D68" s="51" t="s">
        <v>110</v>
      </c>
      <c r="E68" s="61" t="str">
        <f>IFERROR(VLOOKUP(D68,'Master List'!D:H,2,FALSE),"NA")</f>
        <v>520302</v>
      </c>
      <c r="F68" s="62" t="str">
        <f>IFERROR(VLOOKUP(D68,'Master List'!D:H,3,FALSE),"NA")</f>
        <v>520302</v>
      </c>
      <c r="G68" s="58" t="str">
        <f>IFERROR(VLOOKUP(D68,'Master List'!D:H,4,FALSE),"NA")</f>
        <v>520302</v>
      </c>
      <c r="H68" s="39" t="str">
        <f>IFERROR(VLOOKUP(D68,'Master List'!D:H,5,FALSE),"NA")</f>
        <v>Accounting Technology/Technician and Bookkeeping.</v>
      </c>
      <c r="I68" s="19"/>
      <c r="J68" s="18"/>
      <c r="K68" s="18"/>
      <c r="L68" s="22"/>
    </row>
    <row r="69" spans="1:12" x14ac:dyDescent="0.3">
      <c r="A69" s="33">
        <v>20</v>
      </c>
      <c r="B69" s="33" t="s">
        <v>2164</v>
      </c>
      <c r="C69" s="34" t="s">
        <v>703</v>
      </c>
      <c r="D69" s="51" t="s">
        <v>111</v>
      </c>
      <c r="E69" s="61" t="str">
        <f>IFERROR(VLOOKUP(D69,'Master List'!D:H,2,FALSE),"NA")</f>
        <v>520703</v>
      </c>
      <c r="F69" s="62" t="str">
        <f>IFERROR(VLOOKUP(D69,'Master List'!D:H,3,FALSE),"NA")</f>
        <v>520703</v>
      </c>
      <c r="G69" s="58" t="str">
        <f>IFERROR(VLOOKUP(D69,'Master List'!D:H,4,FALSE),"NA")</f>
        <v>520703</v>
      </c>
      <c r="H69" s="39" t="str">
        <f>IFERROR(VLOOKUP(D69,'Master List'!D:H,5,FALSE),"NA")</f>
        <v>Small Business Administration/Management.</v>
      </c>
      <c r="I69" s="19"/>
      <c r="J69" s="18"/>
      <c r="K69" s="18"/>
      <c r="L69" s="22"/>
    </row>
    <row r="70" spans="1:12" x14ac:dyDescent="0.3">
      <c r="A70" s="33">
        <v>20</v>
      </c>
      <c r="B70" s="33" t="s">
        <v>2164</v>
      </c>
      <c r="C70" s="34" t="s">
        <v>703</v>
      </c>
      <c r="D70" s="51" t="s">
        <v>353</v>
      </c>
      <c r="E70" s="61" t="str">
        <f>IFERROR(VLOOKUP(D70,'Master List'!D:H,2,FALSE),"NA")</f>
        <v>040901</v>
      </c>
      <c r="F70" s="62" t="str">
        <f>IFERROR(VLOOKUP(D70,'Master List'!D:H,3,FALSE),"NA")</f>
        <v>040901</v>
      </c>
      <c r="G70" s="58" t="str">
        <f>IFERROR(VLOOKUP(D70,'Master List'!D:H,4,FALSE),"NA")</f>
        <v>040901</v>
      </c>
      <c r="H70" s="39" t="str">
        <f>IFERROR(VLOOKUP(D70,'Master List'!D:H,5,FALSE),"NA")</f>
        <v>Architectural Technology/Technician.</v>
      </c>
      <c r="I70" s="19"/>
      <c r="J70" s="18"/>
      <c r="K70" s="18"/>
      <c r="L70" s="22"/>
    </row>
    <row r="71" spans="1:12" x14ac:dyDescent="0.3">
      <c r="A71" s="33">
        <v>20</v>
      </c>
      <c r="B71" s="33" t="s">
        <v>2164</v>
      </c>
      <c r="C71" s="34" t="s">
        <v>703</v>
      </c>
      <c r="D71" s="51" t="s">
        <v>583</v>
      </c>
      <c r="E71" s="61" t="str">
        <f>IFERROR(VLOOKUP(D71,'Master List'!D:H,2,FALSE),"NA")</f>
        <v>110803</v>
      </c>
      <c r="F71" s="62" t="str">
        <f>IFERROR(VLOOKUP(D71,'Master List'!D:H,3,FALSE),"NA")</f>
        <v>110803</v>
      </c>
      <c r="G71" s="58" t="str">
        <f>IFERROR(VLOOKUP(D71,'Master List'!D:H,4,FALSE),"NA")</f>
        <v>110803</v>
      </c>
      <c r="H71" s="39" t="str">
        <f>IFERROR(VLOOKUP(D71,'Master List'!D:H,5,FALSE),"NA")</f>
        <v>Computer Graphics.</v>
      </c>
      <c r="I71" s="19"/>
      <c r="J71" s="18"/>
      <c r="K71" s="18"/>
      <c r="L71" s="22"/>
    </row>
    <row r="72" spans="1:12" x14ac:dyDescent="0.3">
      <c r="A72" s="33">
        <v>20</v>
      </c>
      <c r="B72" s="33" t="s">
        <v>2164</v>
      </c>
      <c r="C72" s="34" t="s">
        <v>703</v>
      </c>
      <c r="D72" s="51" t="s">
        <v>117</v>
      </c>
      <c r="E72" s="61" t="str">
        <f>IFERROR(VLOOKUP(D72,'Master List'!D:H,2,FALSE),"NA")</f>
        <v>120504</v>
      </c>
      <c r="F72" s="62" t="str">
        <f>IFERROR(VLOOKUP(D72,'Master List'!D:H,3,FALSE),"NA")</f>
        <v>120504</v>
      </c>
      <c r="G72" s="58" t="str">
        <f>IFERROR(VLOOKUP(D72,'Master List'!D:H,4,FALSE),"NA")</f>
        <v>120504</v>
      </c>
      <c r="H72" s="39" t="str">
        <f>IFERROR(VLOOKUP(D72,'Master List'!D:H,5,FALSE),"NA")</f>
        <v>Restaurant, Culinary, and Catering Management/Manager.</v>
      </c>
      <c r="I72" s="19"/>
      <c r="J72" s="18"/>
      <c r="K72" s="18"/>
      <c r="L72" s="22"/>
    </row>
    <row r="73" spans="1:12" x14ac:dyDescent="0.3">
      <c r="A73" s="33">
        <v>20</v>
      </c>
      <c r="B73" s="33" t="s">
        <v>2164</v>
      </c>
      <c r="C73" s="34" t="s">
        <v>703</v>
      </c>
      <c r="D73" s="51" t="s">
        <v>120</v>
      </c>
      <c r="E73" s="61" t="str">
        <f>IFERROR(VLOOKUP(D73,'Master List'!D:H,2,FALSE),"NA")</f>
        <v>150000</v>
      </c>
      <c r="F73" s="62" t="str">
        <f>IFERROR(VLOOKUP(D73,'Master List'!D:H,3,FALSE),"NA")</f>
        <v>150000</v>
      </c>
      <c r="G73" s="58" t="str">
        <f>IFERROR(VLOOKUP(D73,'Master List'!D:H,4,FALSE),"NA")</f>
        <v>150000</v>
      </c>
      <c r="H73" s="39" t="str">
        <f>IFERROR(VLOOKUP(D73,'Master List'!D:H,5,FALSE),"NA")</f>
        <v>Engineering Technologies/Technicians, General.</v>
      </c>
      <c r="I73" s="19"/>
      <c r="J73" s="18"/>
      <c r="K73" s="18"/>
      <c r="L73" s="22"/>
    </row>
    <row r="74" spans="1:12" x14ac:dyDescent="0.3">
      <c r="A74" s="33">
        <v>20</v>
      </c>
      <c r="B74" s="33" t="s">
        <v>2164</v>
      </c>
      <c r="C74" s="34" t="s">
        <v>703</v>
      </c>
      <c r="D74" s="51" t="s">
        <v>468</v>
      </c>
      <c r="E74" s="61" t="str">
        <f>IFERROR(VLOOKUP(D74,'Master List'!D:H,2,FALSE),"NA")</f>
        <v>150303</v>
      </c>
      <c r="F74" s="62" t="str">
        <f>IFERROR(VLOOKUP(D74,'Master List'!D:H,3,FALSE),"NA")</f>
        <v>150303</v>
      </c>
      <c r="G74" s="58" t="str">
        <f>IFERROR(VLOOKUP(D74,'Master List'!D:H,4,FALSE),"NA")</f>
        <v>150303</v>
      </c>
      <c r="H74" s="39" t="str">
        <f>IFERROR(VLOOKUP(D74,'Master List'!D:H,5,FALSE),"NA")</f>
        <v>Electrical, Electronic, and Communications Engineering Technology/Technician.</v>
      </c>
      <c r="I74" s="19"/>
      <c r="J74" s="18"/>
      <c r="K74" s="18"/>
      <c r="L74" s="22"/>
    </row>
    <row r="75" spans="1:12" x14ac:dyDescent="0.3">
      <c r="A75" s="33">
        <v>20</v>
      </c>
      <c r="B75" s="33" t="s">
        <v>2164</v>
      </c>
      <c r="C75" s="34" t="s">
        <v>703</v>
      </c>
      <c r="D75" s="51" t="s">
        <v>475</v>
      </c>
      <c r="E75" s="61" t="str">
        <f>IFERROR(VLOOKUP(D75,'Master List'!D:H,2,FALSE),"NA")</f>
        <v>500605</v>
      </c>
      <c r="F75" s="62" t="str">
        <f>IFERROR(VLOOKUP(D75,'Master List'!D:H,3,FALSE),"NA")</f>
        <v>500605</v>
      </c>
      <c r="G75" s="58" t="str">
        <f>IFERROR(VLOOKUP(D75,'Master List'!D:H,4,FALSE),"NA")</f>
        <v>500605</v>
      </c>
      <c r="H75" s="39" t="str">
        <f>IFERROR(VLOOKUP(D75,'Master List'!D:H,5,FALSE),"NA")</f>
        <v>Photography.</v>
      </c>
      <c r="I75" s="19"/>
      <c r="J75" s="18"/>
      <c r="K75" s="18"/>
      <c r="L75" s="22"/>
    </row>
    <row r="76" spans="1:12" x14ac:dyDescent="0.3">
      <c r="A76" s="33">
        <v>20</v>
      </c>
      <c r="B76" s="33" t="s">
        <v>2164</v>
      </c>
      <c r="C76" s="34" t="s">
        <v>703</v>
      </c>
      <c r="D76" s="51" t="s">
        <v>367</v>
      </c>
      <c r="E76" s="61" t="str">
        <f>IFERROR(VLOOKUP(D76,'Master List'!D:H,2,FALSE),"NA")</f>
        <v>520205</v>
      </c>
      <c r="F76" s="62" t="str">
        <f>IFERROR(VLOOKUP(D76,'Master List'!D:H,3,FALSE),"NA")</f>
        <v>520205</v>
      </c>
      <c r="G76" s="58" t="str">
        <f>IFERROR(VLOOKUP(D76,'Master List'!D:H,4,FALSE),"NA")</f>
        <v>520205</v>
      </c>
      <c r="H76" s="39" t="str">
        <f>IFERROR(VLOOKUP(D76,'Master List'!D:H,5,FALSE),"NA")</f>
        <v>Operations Management and Supervision.</v>
      </c>
      <c r="I76" s="19"/>
      <c r="J76" s="18"/>
      <c r="K76" s="18"/>
      <c r="L76" s="22"/>
    </row>
    <row r="77" spans="1:12" x14ac:dyDescent="0.3">
      <c r="A77" s="33">
        <v>20</v>
      </c>
      <c r="B77" s="33" t="s">
        <v>2164</v>
      </c>
      <c r="C77" s="34" t="s">
        <v>703</v>
      </c>
      <c r="D77" s="51" t="s">
        <v>125</v>
      </c>
      <c r="E77" s="61" t="str">
        <f>IFERROR(VLOOKUP(D77,'Master List'!D:H,2,FALSE),"NA")</f>
        <v>220302</v>
      </c>
      <c r="F77" s="62" t="str">
        <f>IFERROR(VLOOKUP(D77,'Master List'!D:H,3,FALSE),"NA")</f>
        <v>220302</v>
      </c>
      <c r="G77" s="58" t="str">
        <f>IFERROR(VLOOKUP(D77,'Master List'!D:H,4,FALSE),"NA")</f>
        <v>220302</v>
      </c>
      <c r="H77" s="39" t="str">
        <f>IFERROR(VLOOKUP(D77,'Master List'!D:H,5,FALSE),"NA")</f>
        <v>Legal Assistant/Paralegal.</v>
      </c>
      <c r="I77" s="19"/>
      <c r="J77" s="18"/>
      <c r="K77" s="18"/>
      <c r="L77" s="22"/>
    </row>
    <row r="78" spans="1:12" x14ac:dyDescent="0.3">
      <c r="A78" s="33">
        <v>20</v>
      </c>
      <c r="B78" s="33" t="s">
        <v>2164</v>
      </c>
      <c r="C78" s="34" t="s">
        <v>703</v>
      </c>
      <c r="D78" s="51" t="s">
        <v>486</v>
      </c>
      <c r="E78" s="61" t="str">
        <f>IFERROR(VLOOKUP(D78,'Master List'!D:H,2,FALSE),"NA")</f>
        <v>310507</v>
      </c>
      <c r="F78" s="62" t="str">
        <f>IFERROR(VLOOKUP(D78,'Master List'!D:H,3,FALSE),"NA")</f>
        <v>310507</v>
      </c>
      <c r="G78" s="58" t="str">
        <f>IFERROR(VLOOKUP(D78,'Master List'!D:H,4,FALSE),"NA")</f>
        <v>310507</v>
      </c>
      <c r="H78" s="39" t="str">
        <f>IFERROR(VLOOKUP(D78,'Master List'!D:H,5,FALSE),"NA")</f>
        <v>Physical Fitness Technician.</v>
      </c>
      <c r="I78" s="19"/>
      <c r="J78" s="18"/>
      <c r="K78" s="18"/>
      <c r="L78" s="22"/>
    </row>
    <row r="79" spans="1:12" x14ac:dyDescent="0.3">
      <c r="A79" s="33">
        <v>20</v>
      </c>
      <c r="B79" s="33" t="s">
        <v>2164</v>
      </c>
      <c r="C79" s="34" t="s">
        <v>703</v>
      </c>
      <c r="D79" s="51" t="s">
        <v>128</v>
      </c>
      <c r="E79" s="61" t="str">
        <f>IFERROR(VLOOKUP(D79,'Master List'!D:H,2,FALSE),"NA")</f>
        <v>430103</v>
      </c>
      <c r="F79" s="62" t="str">
        <f>IFERROR(VLOOKUP(D79,'Master List'!D:H,3,FALSE),"NA")</f>
        <v>430103</v>
      </c>
      <c r="G79" s="58" t="str">
        <f>IFERROR(VLOOKUP(D79,'Master List'!D:H,4,FALSE),"NA")</f>
        <v>430103</v>
      </c>
      <c r="H79" s="39" t="str">
        <f>IFERROR(VLOOKUP(D79,'Master List'!D:H,5,FALSE),"NA")</f>
        <v>Criminal Justice/Law Enforcement Administration.</v>
      </c>
      <c r="I79" s="19"/>
      <c r="J79" s="18"/>
      <c r="K79" s="18"/>
      <c r="L79" s="22"/>
    </row>
    <row r="80" spans="1:12" x14ac:dyDescent="0.3">
      <c r="A80" s="33">
        <v>20</v>
      </c>
      <c r="B80" s="33" t="s">
        <v>2164</v>
      </c>
      <c r="C80" s="34" t="s">
        <v>703</v>
      </c>
      <c r="D80" s="51" t="s">
        <v>690</v>
      </c>
      <c r="E80" s="61" t="str">
        <f>IFERROR(VLOOKUP(D80,'Master List'!D:H,2,FALSE),"NA")</f>
        <v>430116</v>
      </c>
      <c r="F80" s="62" t="str">
        <f>IFERROR(VLOOKUP(D80,'Master List'!D:H,3,FALSE),"NA")</f>
        <v>430403</v>
      </c>
      <c r="G80" s="58" t="str">
        <f>IFERROR(VLOOKUP(D80,'Master List'!D:H,4,FALSE),"NA")</f>
        <v>430403</v>
      </c>
      <c r="H80" s="39" t="str">
        <f>IFERROR(VLOOKUP(D80,'Master List'!D:H,5,FALSE),"NA")</f>
        <v>Cyber/Computer Forensics and Counterterrorism.</v>
      </c>
      <c r="I80" s="19"/>
      <c r="J80" s="18"/>
      <c r="K80" s="18"/>
      <c r="L80" s="22"/>
    </row>
    <row r="81" spans="10:12" x14ac:dyDescent="0.3">
      <c r="J81" s="26"/>
      <c r="K81" s="26"/>
      <c r="L81" s="26"/>
    </row>
    <row r="82" spans="10:12" x14ac:dyDescent="0.3">
      <c r="J82" s="26"/>
      <c r="K82" s="26"/>
      <c r="L82" s="26"/>
    </row>
    <row r="83" spans="10:12" x14ac:dyDescent="0.3">
      <c r="J83" s="26"/>
      <c r="K83" s="26"/>
      <c r="L83" s="26"/>
    </row>
    <row r="84" spans="10:12" x14ac:dyDescent="0.3">
      <c r="J84" s="26"/>
      <c r="K84" s="26"/>
      <c r="L84" s="26"/>
    </row>
    <row r="85" spans="10:12" x14ac:dyDescent="0.3">
      <c r="J85" s="26"/>
      <c r="K85" s="26"/>
      <c r="L85" s="26"/>
    </row>
    <row r="86" spans="10:12" x14ac:dyDescent="0.3">
      <c r="J86" s="26"/>
      <c r="K86" s="26"/>
      <c r="L86" s="26"/>
    </row>
    <row r="87" spans="10:12" x14ac:dyDescent="0.3">
      <c r="J87" s="26"/>
      <c r="K87" s="26"/>
      <c r="L87" s="26"/>
    </row>
    <row r="88" spans="10:12" x14ac:dyDescent="0.3">
      <c r="J88" s="26"/>
      <c r="K88" s="26"/>
      <c r="L88" s="26"/>
    </row>
    <row r="89" spans="10:12" x14ac:dyDescent="0.3">
      <c r="J89" s="26"/>
      <c r="K89" s="26"/>
      <c r="L89" s="26"/>
    </row>
    <row r="90" spans="10:12" x14ac:dyDescent="0.3">
      <c r="J90" s="26"/>
      <c r="K90" s="26"/>
      <c r="L90" s="26"/>
    </row>
    <row r="91" spans="10:12" x14ac:dyDescent="0.3">
      <c r="J91" s="26"/>
      <c r="K91" s="26"/>
      <c r="L91" s="26"/>
    </row>
    <row r="92" spans="10:12" x14ac:dyDescent="0.3">
      <c r="J92" s="26"/>
      <c r="K92" s="26"/>
      <c r="L92" s="26"/>
    </row>
    <row r="93" spans="10:12" x14ac:dyDescent="0.3">
      <c r="J93" s="26"/>
      <c r="K93" s="26"/>
      <c r="L93" s="26"/>
    </row>
    <row r="94" spans="10:12" x14ac:dyDescent="0.3">
      <c r="J94" s="26"/>
      <c r="K94" s="26"/>
      <c r="L94" s="26"/>
    </row>
    <row r="95" spans="10:12" x14ac:dyDescent="0.3">
      <c r="J95" s="26"/>
      <c r="K95" s="26"/>
      <c r="L95" s="26"/>
    </row>
    <row r="96" spans="10:12" x14ac:dyDescent="0.3">
      <c r="J96" s="26"/>
      <c r="K96" s="26"/>
      <c r="L96" s="26"/>
    </row>
    <row r="97" spans="10:12" x14ac:dyDescent="0.3">
      <c r="J97" s="26"/>
      <c r="K97" s="26"/>
      <c r="L97" s="26"/>
    </row>
    <row r="98" spans="10:12" x14ac:dyDescent="0.3">
      <c r="J98" s="26"/>
      <c r="K98" s="26"/>
      <c r="L98" s="26"/>
    </row>
    <row r="99" spans="10:12" x14ac:dyDescent="0.3">
      <c r="J99" s="26"/>
      <c r="K99" s="26"/>
      <c r="L99" s="26"/>
    </row>
    <row r="100" spans="10:12" x14ac:dyDescent="0.3">
      <c r="J100" s="26"/>
      <c r="K100" s="26"/>
      <c r="L100" s="26"/>
    </row>
    <row r="101" spans="10:12" x14ac:dyDescent="0.3">
      <c r="J101" s="26"/>
      <c r="K101" s="26"/>
      <c r="L101" s="26"/>
    </row>
    <row r="102" spans="10:12" x14ac:dyDescent="0.3">
      <c r="J102" s="26"/>
      <c r="K102" s="26"/>
      <c r="L102" s="26"/>
    </row>
    <row r="103" spans="10:12" x14ac:dyDescent="0.3">
      <c r="J103" s="26"/>
      <c r="K103" s="26"/>
      <c r="L103" s="26"/>
    </row>
    <row r="104" spans="10:12" x14ac:dyDescent="0.3">
      <c r="J104" s="26"/>
      <c r="K104" s="26"/>
      <c r="L104" s="26"/>
    </row>
    <row r="105" spans="10:12" x14ac:dyDescent="0.3">
      <c r="J105" s="26"/>
      <c r="K105" s="26"/>
      <c r="L105" s="26"/>
    </row>
    <row r="106" spans="10:12" x14ac:dyDescent="0.3">
      <c r="J106" s="26"/>
      <c r="K106" s="26"/>
      <c r="L106" s="26"/>
    </row>
    <row r="107" spans="10:12" x14ac:dyDescent="0.3">
      <c r="J107" s="26"/>
      <c r="K107" s="26"/>
      <c r="L107" s="26"/>
    </row>
    <row r="108" spans="10:12" x14ac:dyDescent="0.3">
      <c r="J108" s="26"/>
      <c r="K108" s="26"/>
      <c r="L108" s="26"/>
    </row>
    <row r="109" spans="10:12" x14ac:dyDescent="0.3">
      <c r="J109" s="26"/>
      <c r="K109" s="26"/>
      <c r="L109" s="26"/>
    </row>
    <row r="110" spans="10:12" x14ac:dyDescent="0.3">
      <c r="J110" s="26"/>
      <c r="K110" s="26"/>
      <c r="L110" s="26"/>
    </row>
    <row r="111" spans="10:12" x14ac:dyDescent="0.3">
      <c r="J111" s="26"/>
      <c r="K111" s="26"/>
      <c r="L111" s="26"/>
    </row>
    <row r="112" spans="10:12" x14ac:dyDescent="0.3">
      <c r="J112" s="26"/>
      <c r="K112" s="26"/>
      <c r="L112" s="26"/>
    </row>
    <row r="113" spans="10:12" x14ac:dyDescent="0.3">
      <c r="J113" s="26"/>
      <c r="K113" s="26"/>
      <c r="L113" s="26"/>
    </row>
    <row r="114" spans="10:12" x14ac:dyDescent="0.3">
      <c r="J114" s="26"/>
      <c r="K114" s="26"/>
      <c r="L114" s="26"/>
    </row>
    <row r="115" spans="10:12" x14ac:dyDescent="0.3">
      <c r="J115" s="26"/>
      <c r="K115" s="26"/>
      <c r="L115" s="26"/>
    </row>
    <row r="116" spans="10:12" x14ac:dyDescent="0.3">
      <c r="J116" s="26"/>
      <c r="K116" s="26"/>
      <c r="L116" s="26"/>
    </row>
    <row r="117" spans="10:12" x14ac:dyDescent="0.3">
      <c r="J117" s="26"/>
      <c r="K117" s="26"/>
      <c r="L117" s="26"/>
    </row>
    <row r="118" spans="10:12" x14ac:dyDescent="0.3">
      <c r="J118" s="26"/>
      <c r="K118" s="26"/>
      <c r="L118" s="26"/>
    </row>
    <row r="119" spans="10:12" x14ac:dyDescent="0.3">
      <c r="J119" s="26"/>
      <c r="K119" s="26"/>
      <c r="L119" s="26"/>
    </row>
    <row r="120" spans="10:12" x14ac:dyDescent="0.3">
      <c r="J120" s="26"/>
      <c r="K120" s="26"/>
      <c r="L120" s="26"/>
    </row>
    <row r="121" spans="10:12" x14ac:dyDescent="0.3">
      <c r="J121" s="26"/>
      <c r="K121" s="26"/>
      <c r="L121" s="26"/>
    </row>
    <row r="122" spans="10:12" x14ac:dyDescent="0.3">
      <c r="J122" s="26"/>
      <c r="K122" s="26"/>
      <c r="L122" s="26"/>
    </row>
    <row r="123" spans="10:12" x14ac:dyDescent="0.3">
      <c r="J123" s="26"/>
      <c r="K123" s="26"/>
      <c r="L123" s="26"/>
    </row>
    <row r="124" spans="10:12" x14ac:dyDescent="0.3">
      <c r="J124" s="26"/>
      <c r="K124" s="26"/>
      <c r="L124" s="26"/>
    </row>
    <row r="125" spans="10:12" x14ac:dyDescent="0.3">
      <c r="J125" s="26"/>
      <c r="K125" s="26"/>
      <c r="L125" s="26"/>
    </row>
    <row r="126" spans="10:12" x14ac:dyDescent="0.3">
      <c r="J126" s="26"/>
      <c r="K126" s="26"/>
      <c r="L126" s="26"/>
    </row>
    <row r="127" spans="10:12" x14ac:dyDescent="0.3">
      <c r="J127" s="26"/>
      <c r="K127" s="26"/>
      <c r="L127" s="26"/>
    </row>
    <row r="128" spans="10:12" x14ac:dyDescent="0.3">
      <c r="J128" s="26"/>
      <c r="K128" s="26"/>
      <c r="L128" s="26"/>
    </row>
    <row r="129" spans="10:12" x14ac:dyDescent="0.3">
      <c r="J129" s="26"/>
      <c r="K129" s="26"/>
      <c r="L129" s="26"/>
    </row>
    <row r="130" spans="10:12" x14ac:dyDescent="0.3">
      <c r="J130" s="26"/>
      <c r="K130" s="26"/>
      <c r="L130" s="26"/>
    </row>
    <row r="131" spans="10:12" x14ac:dyDescent="0.3">
      <c r="J131" s="26"/>
      <c r="K131" s="26"/>
      <c r="L131" s="26"/>
    </row>
    <row r="132" spans="10:12" x14ac:dyDescent="0.3">
      <c r="J132" s="26"/>
      <c r="K132" s="26"/>
      <c r="L132" s="26"/>
    </row>
    <row r="133" spans="10:12" x14ac:dyDescent="0.3">
      <c r="J133" s="26"/>
      <c r="K133" s="26"/>
      <c r="L133" s="26"/>
    </row>
    <row r="134" spans="10:12" x14ac:dyDescent="0.3">
      <c r="J134" s="26"/>
      <c r="K134" s="26"/>
      <c r="L134" s="26"/>
    </row>
    <row r="135" spans="10:12" x14ac:dyDescent="0.3">
      <c r="J135" s="26"/>
      <c r="K135" s="26"/>
      <c r="L135" s="26"/>
    </row>
    <row r="136" spans="10:12" x14ac:dyDescent="0.3">
      <c r="J136" s="26"/>
      <c r="K136" s="26"/>
      <c r="L136" s="26"/>
    </row>
  </sheetData>
  <sheetProtection algorithmName="SHA-512" hashValue="Hr+JET6D+VUCaxhhxyL0lhZ2gxlcy1sAl+kncadOeDue1ZaviKPkFrDg6NWzCvyFgyIuarwhDBCembyZ+8c60Q==" saltValue="2XYD//jJ+V3w4utzkjC0PA==" spinCount="100000" sheet="1" objects="1" scenarios="1" sort="0" autoFilter="0"/>
  <autoFilter ref="A2:L80"/>
  <mergeCells count="3">
    <mergeCell ref="A1:D1"/>
    <mergeCell ref="E1:H1"/>
    <mergeCell ref="I1:L1"/>
  </mergeCells>
  <dataValidations count="1">
    <dataValidation type="list" allowBlank="1" showInputMessage="1" showErrorMessage="1" sqref="I3:I80">
      <formula1>"Agree,Disagree"</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5.6640625" style="17" customWidth="1"/>
    <col min="5" max="5" width="14.88671875" style="54" customWidth="1"/>
    <col min="6" max="6" width="12.5546875" style="54" customWidth="1"/>
    <col min="7" max="7" width="13.5546875" style="54" customWidth="1"/>
    <col min="8" max="8" width="70.44140625" style="25" customWidth="1"/>
    <col min="9" max="10" width="25.6640625" style="17" customWidth="1"/>
    <col min="11" max="11" width="34.88671875" style="17" customWidth="1"/>
    <col min="12" max="12" width="35.6640625" style="17" customWidth="1"/>
    <col min="13" max="16384" width="8.88671875" style="17"/>
  </cols>
  <sheetData>
    <row r="1" spans="1:12" s="27" customFormat="1" ht="68.400000000000006" customHeight="1" x14ac:dyDescent="0.3">
      <c r="A1" s="95"/>
      <c r="B1" s="95"/>
      <c r="C1" s="95"/>
      <c r="D1" s="95"/>
      <c r="E1" s="96" t="s">
        <v>2145</v>
      </c>
      <c r="F1" s="96"/>
      <c r="G1" s="96"/>
      <c r="H1" s="96"/>
      <c r="I1" s="97" t="s">
        <v>0</v>
      </c>
      <c r="J1" s="98"/>
      <c r="K1" s="98"/>
      <c r="L1" s="99"/>
    </row>
    <row r="2" spans="1:12" s="27" customFormat="1" ht="57.6"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21</v>
      </c>
      <c r="B3" s="33" t="s">
        <v>2165</v>
      </c>
      <c r="C3" s="34" t="s">
        <v>698</v>
      </c>
      <c r="D3" s="51" t="s">
        <v>198</v>
      </c>
      <c r="E3" s="61" t="str">
        <f>IFERROR(VLOOKUP(D3,'Master List'!D:H,2,FALSE),"NA")</f>
        <v>510707</v>
      </c>
      <c r="F3" s="62" t="str">
        <f>IFERROR(VLOOKUP(D3,'Master List'!D:H,3,FALSE),"NA")</f>
        <v>510707</v>
      </c>
      <c r="G3" s="58">
        <f>IFERROR(VLOOKUP(D3,'Master List'!D:H,4,FALSE),"NA")</f>
        <v>510714</v>
      </c>
      <c r="H3" s="39" t="str">
        <f>IFERROR(VLOOKUP(D3,'Master List'!D:H,5,FALSE),"NA")</f>
        <v>Medical Insurance Specialist/Medical Biller</v>
      </c>
      <c r="I3" s="19"/>
      <c r="J3" s="20"/>
      <c r="K3" s="18"/>
      <c r="L3" s="22"/>
    </row>
    <row r="4" spans="1:12" x14ac:dyDescent="0.3">
      <c r="A4" s="33">
        <v>21</v>
      </c>
      <c r="B4" s="33" t="s">
        <v>2165</v>
      </c>
      <c r="C4" s="34" t="s">
        <v>698</v>
      </c>
      <c r="D4" s="51" t="s">
        <v>14</v>
      </c>
      <c r="E4" s="61" t="str">
        <f>IFERROR(VLOOKUP(D4,'Master List'!D:H,2,FALSE),"NA")</f>
        <v>510904</v>
      </c>
      <c r="F4" s="62" t="str">
        <f>IFERROR(VLOOKUP(D4,'Master List'!D:H,3,FALSE),"NA")</f>
        <v>510904</v>
      </c>
      <c r="G4" s="58" t="str">
        <f>IFERROR(VLOOKUP(D4,'Master List'!D:H,4,FALSE),"NA")</f>
        <v>510904</v>
      </c>
      <c r="H4" s="39" t="str">
        <f>IFERROR(VLOOKUP(D4,'Master List'!D:H,5,FALSE),"NA")</f>
        <v>Emergency Medical Technology/Technician (EMT Paramedic).</v>
      </c>
      <c r="I4" s="19"/>
      <c r="J4" s="20"/>
      <c r="K4" s="18"/>
      <c r="L4" s="22"/>
    </row>
    <row r="5" spans="1:12" x14ac:dyDescent="0.3">
      <c r="A5" s="33">
        <v>21</v>
      </c>
      <c r="B5" s="33" t="s">
        <v>2165</v>
      </c>
      <c r="C5" s="34" t="s">
        <v>698</v>
      </c>
      <c r="D5" s="51" t="s">
        <v>17</v>
      </c>
      <c r="E5" s="61" t="str">
        <f>IFERROR(VLOOKUP(D5,'Master List'!D:H,2,FALSE),"NA")</f>
        <v>510904</v>
      </c>
      <c r="F5" s="62" t="str">
        <f>IFERROR(VLOOKUP(D5,'Master List'!D:H,3,FALSE),"NA")</f>
        <v>510904</v>
      </c>
      <c r="G5" s="58" t="str">
        <f>IFERROR(VLOOKUP(D5,'Master List'!D:H,4,FALSE),"NA")</f>
        <v>510904</v>
      </c>
      <c r="H5" s="39" t="str">
        <f>IFERROR(VLOOKUP(D5,'Master List'!D:H,5,FALSE),"NA")</f>
        <v>Emergency Medical Technology/Technician (EMT Paramedic).</v>
      </c>
      <c r="I5" s="19"/>
      <c r="J5" s="20"/>
      <c r="K5" s="18"/>
      <c r="L5" s="22"/>
    </row>
    <row r="6" spans="1:12" x14ac:dyDescent="0.3">
      <c r="A6" s="33">
        <v>21</v>
      </c>
      <c r="B6" s="33" t="s">
        <v>2165</v>
      </c>
      <c r="C6" s="34" t="s">
        <v>698</v>
      </c>
      <c r="D6" s="51" t="s">
        <v>483</v>
      </c>
      <c r="E6" s="61" t="str">
        <f>IFERROR(VLOOKUP(D6,'Master List'!D:H,2,FALSE),"NA")</f>
        <v>190709</v>
      </c>
      <c r="F6" s="62" t="str">
        <f>IFERROR(VLOOKUP(D6,'Master List'!D:H,3,FALSE),"NA")</f>
        <v>190709</v>
      </c>
      <c r="G6" s="58" t="str">
        <f>IFERROR(VLOOKUP(D6,'Master List'!D:H,4,FALSE),"NA")</f>
        <v>190709</v>
      </c>
      <c r="H6" s="39" t="str">
        <f>IFERROR(VLOOKUP(D6,'Master List'!D:H,5,FALSE),"NA")</f>
        <v>Child Care Provider/Assistant.</v>
      </c>
      <c r="I6" s="19"/>
      <c r="J6" s="20"/>
      <c r="K6" s="18"/>
      <c r="L6" s="22"/>
    </row>
    <row r="7" spans="1:12" x14ac:dyDescent="0.3">
      <c r="A7" s="33">
        <v>21</v>
      </c>
      <c r="B7" s="33" t="s">
        <v>2165</v>
      </c>
      <c r="C7" s="34" t="s">
        <v>698</v>
      </c>
      <c r="D7" s="51" t="s">
        <v>589</v>
      </c>
      <c r="E7" s="61" t="str">
        <f>IFERROR(VLOOKUP(D7,'Master List'!D:H,2,FALSE),"NA")</f>
        <v>190709</v>
      </c>
      <c r="F7" s="62" t="str">
        <f>IFERROR(VLOOKUP(D7,'Master List'!D:H,3,FALSE),"NA")</f>
        <v>190709</v>
      </c>
      <c r="G7" s="58" t="str">
        <f>IFERROR(VLOOKUP(D7,'Master List'!D:H,4,FALSE),"NA")</f>
        <v>190709</v>
      </c>
      <c r="H7" s="39" t="str">
        <f>IFERROR(VLOOKUP(D7,'Master List'!D:H,5,FALSE),"NA")</f>
        <v>Child Care Provider/Assistant.</v>
      </c>
      <c r="I7" s="19"/>
      <c r="J7" s="20"/>
      <c r="K7" s="18"/>
      <c r="L7" s="22"/>
    </row>
    <row r="8" spans="1:12" x14ac:dyDescent="0.3">
      <c r="A8" s="33">
        <v>21</v>
      </c>
      <c r="B8" s="33" t="s">
        <v>2165</v>
      </c>
      <c r="C8" s="34" t="s">
        <v>698</v>
      </c>
      <c r="D8" s="51" t="s">
        <v>31</v>
      </c>
      <c r="E8" s="61" t="str">
        <f>IFERROR(VLOOKUP(D8,'Master List'!D:H,2,FALSE),"NA")</f>
        <v>111001</v>
      </c>
      <c r="F8" s="62" t="str">
        <f>IFERROR(VLOOKUP(D8,'Master List'!D:H,3,FALSE),"NA")</f>
        <v>111001</v>
      </c>
      <c r="G8" s="58" t="str">
        <f>IFERROR(VLOOKUP(D8,'Master List'!D:H,4,FALSE),"NA")</f>
        <v>111001</v>
      </c>
      <c r="H8" s="39" t="str">
        <f>IFERROR(VLOOKUP(D8,'Master List'!D:H,5,FALSE),"NA")</f>
        <v>Network and System Administration/Administrator.</v>
      </c>
      <c r="I8" s="19"/>
      <c r="J8" s="20"/>
      <c r="K8" s="18"/>
      <c r="L8" s="22"/>
    </row>
    <row r="9" spans="1:12" x14ac:dyDescent="0.3">
      <c r="A9" s="33">
        <v>21</v>
      </c>
      <c r="B9" s="33" t="s">
        <v>2165</v>
      </c>
      <c r="C9" s="34" t="s">
        <v>698</v>
      </c>
      <c r="D9" s="51" t="s">
        <v>34</v>
      </c>
      <c r="E9" s="61" t="str">
        <f>IFERROR(VLOOKUP(D9,'Master List'!D:H,2,FALSE),"NA")</f>
        <v>111001</v>
      </c>
      <c r="F9" s="62" t="str">
        <f>IFERROR(VLOOKUP(D9,'Master List'!D:H,3,FALSE),"NA")</f>
        <v>111001</v>
      </c>
      <c r="G9" s="58" t="str">
        <f>IFERROR(VLOOKUP(D9,'Master List'!D:H,4,FALSE),"NA")</f>
        <v>111001</v>
      </c>
      <c r="H9" s="39" t="str">
        <f>IFERROR(VLOOKUP(D9,'Master List'!D:H,5,FALSE),"NA")</f>
        <v>Network and System Administration/Administrator.</v>
      </c>
      <c r="I9" s="19"/>
      <c r="J9" s="20"/>
      <c r="K9" s="18"/>
      <c r="L9" s="22"/>
    </row>
    <row r="10" spans="1:12" x14ac:dyDescent="0.3">
      <c r="A10" s="33">
        <v>21</v>
      </c>
      <c r="B10" s="33" t="s">
        <v>2165</v>
      </c>
      <c r="C10" s="34" t="s">
        <v>698</v>
      </c>
      <c r="D10" s="51" t="s">
        <v>36</v>
      </c>
      <c r="E10" s="61" t="str">
        <f>IFERROR(VLOOKUP(D10,'Master List'!D:H,2,FALSE),"NA")</f>
        <v>111001</v>
      </c>
      <c r="F10" s="62" t="str">
        <f>IFERROR(VLOOKUP(D10,'Master List'!D:H,3,FALSE),"NA")</f>
        <v>111001</v>
      </c>
      <c r="G10" s="58" t="str">
        <f>IFERROR(VLOOKUP(D10,'Master List'!D:H,4,FALSE),"NA")</f>
        <v>111001</v>
      </c>
      <c r="H10" s="39" t="str">
        <f>IFERROR(VLOOKUP(D10,'Master List'!D:H,5,FALSE),"NA")</f>
        <v>Network and System Administration/Administrator.</v>
      </c>
      <c r="I10" s="19"/>
      <c r="J10" s="20"/>
      <c r="K10" s="18"/>
      <c r="L10" s="22"/>
    </row>
    <row r="11" spans="1:12" x14ac:dyDescent="0.3">
      <c r="A11" s="33">
        <v>21</v>
      </c>
      <c r="B11" s="33" t="s">
        <v>2165</v>
      </c>
      <c r="C11" s="34" t="s">
        <v>698</v>
      </c>
      <c r="D11" s="51" t="s">
        <v>227</v>
      </c>
      <c r="E11" s="61" t="str">
        <f>IFERROR(VLOOKUP(D11,'Master List'!D:H,2,FALSE),"NA")</f>
        <v>520302</v>
      </c>
      <c r="F11" s="62" t="str">
        <f>IFERROR(VLOOKUP(D11,'Master List'!D:H,3,FALSE),"NA")</f>
        <v>520302</v>
      </c>
      <c r="G11" s="58" t="str">
        <f>IFERROR(VLOOKUP(D11,'Master List'!D:H,4,FALSE),"NA")</f>
        <v>520302</v>
      </c>
      <c r="H11" s="39" t="str">
        <f>IFERROR(VLOOKUP(D11,'Master List'!D:H,5,FALSE),"NA")</f>
        <v>Accounting Technology/Technician and Bookkeeping.</v>
      </c>
      <c r="I11" s="19"/>
      <c r="J11" s="20"/>
      <c r="K11" s="18"/>
      <c r="L11" s="22"/>
    </row>
    <row r="12" spans="1:12" x14ac:dyDescent="0.3">
      <c r="A12" s="33">
        <v>21</v>
      </c>
      <c r="B12" s="33" t="s">
        <v>2165</v>
      </c>
      <c r="C12" s="34" t="s">
        <v>698</v>
      </c>
      <c r="D12" s="51" t="s">
        <v>233</v>
      </c>
      <c r="E12" s="61" t="str">
        <f>IFERROR(VLOOKUP(D12,'Master List'!D:H,2,FALSE),"NA")</f>
        <v>520703</v>
      </c>
      <c r="F12" s="62" t="str">
        <f>IFERROR(VLOOKUP(D12,'Master List'!D:H,3,FALSE),"NA")</f>
        <v>520703</v>
      </c>
      <c r="G12" s="58" t="str">
        <f>IFERROR(VLOOKUP(D12,'Master List'!D:H,4,FALSE),"NA")</f>
        <v>520703</v>
      </c>
      <c r="H12" s="39" t="str">
        <f>IFERROR(VLOOKUP(D12,'Master List'!D:H,5,FALSE),"NA")</f>
        <v>Small Business Administration/Management.</v>
      </c>
      <c r="I12" s="19"/>
      <c r="J12" s="20"/>
      <c r="K12" s="18"/>
      <c r="L12" s="22"/>
    </row>
    <row r="13" spans="1:12" x14ac:dyDescent="0.3">
      <c r="A13" s="33">
        <v>21</v>
      </c>
      <c r="B13" s="33" t="s">
        <v>2165</v>
      </c>
      <c r="C13" s="34" t="s">
        <v>698</v>
      </c>
      <c r="D13" s="51" t="s">
        <v>234</v>
      </c>
      <c r="E13" s="61" t="str">
        <f>IFERROR(VLOOKUP(D13,'Master List'!D:H,2,FALSE),"NA")</f>
        <v>090702</v>
      </c>
      <c r="F13" s="62" t="str">
        <f>IFERROR(VLOOKUP(D13,'Master List'!D:H,3,FALSE),"NA")</f>
        <v>090702</v>
      </c>
      <c r="G13" s="58" t="str">
        <f>IFERROR(VLOOKUP(D13,'Master List'!D:H,4,FALSE),"NA")</f>
        <v>090702</v>
      </c>
      <c r="H13" s="39" t="str">
        <f>IFERROR(VLOOKUP(D13,'Master List'!D:H,5,FALSE),"NA")</f>
        <v>Digital Communication and Media/Multimedia.</v>
      </c>
      <c r="I13" s="19"/>
      <c r="J13" s="20"/>
      <c r="K13" s="18"/>
      <c r="L13" s="22"/>
    </row>
    <row r="14" spans="1:12" x14ac:dyDescent="0.3">
      <c r="A14" s="33">
        <v>21</v>
      </c>
      <c r="B14" s="33" t="s">
        <v>2165</v>
      </c>
      <c r="C14" s="34" t="s">
        <v>698</v>
      </c>
      <c r="D14" s="51" t="s">
        <v>43</v>
      </c>
      <c r="E14" s="61" t="str">
        <f>IFERROR(VLOOKUP(D14,'Master List'!D:H,2,FALSE),"NA")</f>
        <v>100105</v>
      </c>
      <c r="F14" s="62" t="str">
        <f>IFERROR(VLOOKUP(D14,'Master List'!D:H,3,FALSE),"NA")</f>
        <v>100105</v>
      </c>
      <c r="G14" s="58" t="str">
        <f>IFERROR(VLOOKUP(D14,'Master List'!D:H,4,FALSE),"NA")</f>
        <v>100105</v>
      </c>
      <c r="H14" s="39" t="str">
        <f>IFERROR(VLOOKUP(D14,'Master List'!D:H,5,FALSE),"NA")</f>
        <v>Communications Technology/Technician.</v>
      </c>
      <c r="I14" s="19"/>
      <c r="J14" s="20"/>
      <c r="K14" s="18"/>
      <c r="L14" s="22"/>
    </row>
    <row r="15" spans="1:12" x14ac:dyDescent="0.3">
      <c r="A15" s="33">
        <v>21</v>
      </c>
      <c r="B15" s="33" t="s">
        <v>2165</v>
      </c>
      <c r="C15" s="34" t="s">
        <v>698</v>
      </c>
      <c r="D15" s="51" t="s">
        <v>246</v>
      </c>
      <c r="E15" s="61" t="str">
        <f>IFERROR(VLOOKUP(D15,'Master List'!D:H,2,FALSE),"NA")</f>
        <v>150000</v>
      </c>
      <c r="F15" s="62" t="str">
        <f>IFERROR(VLOOKUP(D15,'Master List'!D:H,3,FALSE),"NA")</f>
        <v>150000</v>
      </c>
      <c r="G15" s="58" t="str">
        <f>IFERROR(VLOOKUP(D15,'Master List'!D:H,4,FALSE),"NA")</f>
        <v>150000</v>
      </c>
      <c r="H15" s="39" t="str">
        <f>IFERROR(VLOOKUP(D15,'Master List'!D:H,5,FALSE),"NA")</f>
        <v>Engineering Technologies/Technicians, General.</v>
      </c>
      <c r="I15" s="19"/>
      <c r="J15" s="20"/>
      <c r="K15" s="18"/>
      <c r="L15" s="22"/>
    </row>
    <row r="16" spans="1:12" x14ac:dyDescent="0.3">
      <c r="A16" s="33">
        <v>21</v>
      </c>
      <c r="B16" s="33" t="s">
        <v>2165</v>
      </c>
      <c r="C16" s="34" t="s">
        <v>698</v>
      </c>
      <c r="D16" s="51" t="s">
        <v>700</v>
      </c>
      <c r="E16" s="61" t="str">
        <f>IFERROR(VLOOKUP(D16,'Master List'!D:H,2,FALSE),"NA")</f>
        <v>460301</v>
      </c>
      <c r="F16" s="62" t="str">
        <f>IFERROR(VLOOKUP(D16,'Master List'!D:H,3,FALSE),"NA")</f>
        <v>460301</v>
      </c>
      <c r="G16" s="58">
        <f>IFERROR(VLOOKUP(D16,'Master List'!D:H,4,FALSE),"NA")</f>
        <v>460303</v>
      </c>
      <c r="H16" s="39" t="str">
        <f>IFERROR(VLOOKUP(D16,'Master List'!D:H,5,FALSE),"NA")</f>
        <v>Lineworker</v>
      </c>
      <c r="I16" s="19"/>
      <c r="J16" s="20"/>
      <c r="K16" s="18"/>
      <c r="L16" s="22"/>
    </row>
    <row r="17" spans="1:12" x14ac:dyDescent="0.3">
      <c r="A17" s="33">
        <v>21</v>
      </c>
      <c r="B17" s="33" t="s">
        <v>2165</v>
      </c>
      <c r="C17" s="34" t="s">
        <v>698</v>
      </c>
      <c r="D17" s="51" t="s">
        <v>59</v>
      </c>
      <c r="E17" s="61" t="str">
        <f>IFERROR(VLOOKUP(D17,'Master List'!D:H,2,FALSE),"NA")</f>
        <v>500102</v>
      </c>
      <c r="F17" s="62" t="str">
        <f>IFERROR(VLOOKUP(D17,'Master List'!D:H,3,FALSE),"NA")</f>
        <v>500102</v>
      </c>
      <c r="G17" s="58" t="str">
        <f>IFERROR(VLOOKUP(D17,'Master List'!D:H,4,FALSE),"NA")</f>
        <v>500102</v>
      </c>
      <c r="H17" s="39" t="str">
        <f>IFERROR(VLOOKUP(D17,'Master List'!D:H,5,FALSE),"NA")</f>
        <v>Digital Arts.</v>
      </c>
      <c r="I17" s="19"/>
      <c r="J17" s="20"/>
      <c r="K17" s="18"/>
      <c r="L17" s="22"/>
    </row>
    <row r="18" spans="1:12" x14ac:dyDescent="0.3">
      <c r="A18" s="33">
        <v>21</v>
      </c>
      <c r="B18" s="33" t="s">
        <v>2165</v>
      </c>
      <c r="C18" s="34" t="s">
        <v>698</v>
      </c>
      <c r="D18" s="51" t="s">
        <v>65</v>
      </c>
      <c r="E18" s="61" t="str">
        <f>IFERROR(VLOOKUP(D18,'Master List'!D:H,2,FALSE),"NA")</f>
        <v>520209</v>
      </c>
      <c r="F18" s="62" t="str">
        <f>IFERROR(VLOOKUP(D18,'Master List'!D:H,3,FALSE),"NA")</f>
        <v>520209</v>
      </c>
      <c r="G18" s="58" t="str">
        <f>IFERROR(VLOOKUP(D18,'Master List'!D:H,4,FALSE),"NA")</f>
        <v>520209</v>
      </c>
      <c r="H18" s="39" t="str">
        <f>IFERROR(VLOOKUP(D18,'Master List'!D:H,5,FALSE),"NA")</f>
        <v>Transportation/Mobility Management.</v>
      </c>
      <c r="I18" s="19"/>
      <c r="J18" s="20"/>
      <c r="K18" s="18"/>
      <c r="L18" s="22"/>
    </row>
    <row r="19" spans="1:12" x14ac:dyDescent="0.3">
      <c r="A19" s="33">
        <v>21</v>
      </c>
      <c r="B19" s="33" t="s">
        <v>2165</v>
      </c>
      <c r="C19" s="34" t="s">
        <v>698</v>
      </c>
      <c r="D19" s="51" t="s">
        <v>68</v>
      </c>
      <c r="E19" s="61" t="str">
        <f>IFERROR(VLOOKUP(D19,'Master List'!D:H,2,FALSE),"NA")</f>
        <v>430102</v>
      </c>
      <c r="F19" s="62" t="str">
        <f>IFERROR(VLOOKUP(D19,'Master List'!D:H,3,FALSE),"NA")</f>
        <v>430102</v>
      </c>
      <c r="G19" s="58" t="str">
        <f>IFERROR(VLOOKUP(D19,'Master List'!D:H,4,FALSE),"NA")</f>
        <v>430102</v>
      </c>
      <c r="H19" s="39" t="str">
        <f>IFERROR(VLOOKUP(D19,'Master List'!D:H,5,FALSE),"NA")</f>
        <v>Corrections.</v>
      </c>
      <c r="I19" s="19"/>
      <c r="J19" s="20"/>
      <c r="K19" s="18"/>
      <c r="L19" s="22"/>
    </row>
    <row r="20" spans="1:12" x14ac:dyDescent="0.3">
      <c r="A20" s="33">
        <v>21</v>
      </c>
      <c r="B20" s="33" t="s">
        <v>2165</v>
      </c>
      <c r="C20" s="34" t="s">
        <v>698</v>
      </c>
      <c r="D20" s="51" t="s">
        <v>484</v>
      </c>
      <c r="E20" s="61" t="str">
        <f>IFERROR(VLOOKUP(D20,'Master List'!D:H,2,FALSE),"NA")</f>
        <v>430102</v>
      </c>
      <c r="F20" s="62" t="str">
        <f>IFERROR(VLOOKUP(D20,'Master List'!D:H,3,FALSE),"NA")</f>
        <v>430102</v>
      </c>
      <c r="G20" s="58" t="str">
        <f>IFERROR(VLOOKUP(D20,'Master List'!D:H,4,FALSE),"NA")</f>
        <v>430102</v>
      </c>
      <c r="H20" s="39" t="str">
        <f>IFERROR(VLOOKUP(D20,'Master List'!D:H,5,FALSE),"NA")</f>
        <v>Corrections.</v>
      </c>
      <c r="I20" s="19"/>
      <c r="J20" s="20"/>
      <c r="K20" s="18"/>
      <c r="L20" s="22"/>
    </row>
    <row r="21" spans="1:12" x14ac:dyDescent="0.3">
      <c r="A21" s="33">
        <v>21</v>
      </c>
      <c r="B21" s="33" t="s">
        <v>2165</v>
      </c>
      <c r="C21" s="34" t="s">
        <v>698</v>
      </c>
      <c r="D21" s="51" t="s">
        <v>71</v>
      </c>
      <c r="E21" s="61" t="str">
        <f>IFERROR(VLOOKUP(D21,'Master List'!D:H,2,FALSE),"NA")</f>
        <v>430107</v>
      </c>
      <c r="F21" s="62" t="str">
        <f>IFERROR(VLOOKUP(D21,'Master List'!D:H,3,FALSE),"NA")</f>
        <v>430107</v>
      </c>
      <c r="G21" s="58" t="str">
        <f>IFERROR(VLOOKUP(D21,'Master List'!D:H,4,FALSE),"NA")</f>
        <v>430107</v>
      </c>
      <c r="H21" s="39" t="str">
        <f>IFERROR(VLOOKUP(D21,'Master List'!D:H,5,FALSE),"NA")</f>
        <v>Criminal Justice/Police Science.</v>
      </c>
      <c r="I21" s="19"/>
      <c r="J21" s="20"/>
      <c r="K21" s="18"/>
      <c r="L21" s="22"/>
    </row>
    <row r="22" spans="1:12" x14ac:dyDescent="0.3">
      <c r="A22" s="33">
        <v>21</v>
      </c>
      <c r="B22" s="33" t="s">
        <v>2165</v>
      </c>
      <c r="C22" s="34" t="s">
        <v>698</v>
      </c>
      <c r="D22" s="51" t="s">
        <v>74</v>
      </c>
      <c r="E22" s="61" t="str">
        <f>IFERROR(VLOOKUP(D22,'Master List'!D:H,2,FALSE),"NA")</f>
        <v>430107</v>
      </c>
      <c r="F22" s="62" t="str">
        <f>IFERROR(VLOOKUP(D22,'Master List'!D:H,3,FALSE),"NA")</f>
        <v>430107</v>
      </c>
      <c r="G22" s="58" t="str">
        <f>IFERROR(VLOOKUP(D22,'Master List'!D:H,4,FALSE),"NA")</f>
        <v>430107</v>
      </c>
      <c r="H22" s="39" t="str">
        <f>IFERROR(VLOOKUP(D22,'Master List'!D:H,5,FALSE),"NA")</f>
        <v>Criminal Justice/Police Science.</v>
      </c>
      <c r="I22" s="19"/>
      <c r="J22" s="20"/>
      <c r="K22" s="18"/>
      <c r="L22" s="22"/>
    </row>
    <row r="23" spans="1:12" x14ac:dyDescent="0.3">
      <c r="A23" s="33">
        <v>21</v>
      </c>
      <c r="B23" s="33" t="s">
        <v>2165</v>
      </c>
      <c r="C23" s="34" t="s">
        <v>698</v>
      </c>
      <c r="D23" s="51" t="s">
        <v>702</v>
      </c>
      <c r="E23" s="61" t="str">
        <f>IFERROR(VLOOKUP(D23,'Master List'!D:H,2,FALSE),"NA")</f>
        <v>430107</v>
      </c>
      <c r="F23" s="62" t="str">
        <f>IFERROR(VLOOKUP(D23,'Master List'!D:H,3,FALSE),"NA")</f>
        <v>430107</v>
      </c>
      <c r="G23" s="58" t="str">
        <f>IFERROR(VLOOKUP(D23,'Master List'!D:H,4,FALSE),"NA")</f>
        <v>430107</v>
      </c>
      <c r="H23" s="39" t="str">
        <f>IFERROR(VLOOKUP(D23,'Master List'!D:H,5,FALSE),"NA")</f>
        <v>Criminal Justice/Police Science.</v>
      </c>
      <c r="I23" s="19"/>
      <c r="J23" s="20"/>
      <c r="K23" s="18"/>
      <c r="L23" s="22"/>
    </row>
    <row r="24" spans="1:12" x14ac:dyDescent="0.3">
      <c r="A24" s="33">
        <v>21</v>
      </c>
      <c r="B24" s="33" t="s">
        <v>2165</v>
      </c>
      <c r="C24" s="34" t="s">
        <v>698</v>
      </c>
      <c r="D24" s="51" t="s">
        <v>458</v>
      </c>
      <c r="E24" s="61" t="str">
        <f>IFERROR(VLOOKUP(D24,'Master List'!D:H,2,FALSE),"NA")</f>
        <v>510803</v>
      </c>
      <c r="F24" s="62" t="str">
        <f>IFERROR(VLOOKUP(D24,'Master List'!D:H,3,FALSE),"NA")</f>
        <v>510803</v>
      </c>
      <c r="G24" s="58" t="str">
        <f>IFERROR(VLOOKUP(D24,'Master List'!D:H,4,FALSE),"NA")</f>
        <v>510803</v>
      </c>
      <c r="H24" s="39" t="str">
        <f>IFERROR(VLOOKUP(D24,'Master List'!D:H,5,FALSE),"NA")</f>
        <v>Occupational Therapist Assistant.</v>
      </c>
      <c r="I24" s="19"/>
      <c r="J24" s="20"/>
      <c r="K24" s="18"/>
      <c r="L24" s="22"/>
    </row>
    <row r="25" spans="1:12" x14ac:dyDescent="0.3">
      <c r="A25" s="33">
        <v>21</v>
      </c>
      <c r="B25" s="33" t="s">
        <v>2165</v>
      </c>
      <c r="C25" s="34" t="s">
        <v>698</v>
      </c>
      <c r="D25" s="51" t="s">
        <v>87</v>
      </c>
      <c r="E25" s="61" t="str">
        <f>IFERROR(VLOOKUP(D25,'Master List'!D:H,2,FALSE),"NA")</f>
        <v>510806</v>
      </c>
      <c r="F25" s="62" t="str">
        <f>IFERROR(VLOOKUP(D25,'Master List'!D:H,3,FALSE),"NA")</f>
        <v>510806</v>
      </c>
      <c r="G25" s="58" t="str">
        <f>IFERROR(VLOOKUP(D25,'Master List'!D:H,4,FALSE),"NA")</f>
        <v>510806</v>
      </c>
      <c r="H25" s="39" t="str">
        <f>IFERROR(VLOOKUP(D25,'Master List'!D:H,5,FALSE),"NA")</f>
        <v>Physical Therapy Assistant.</v>
      </c>
      <c r="I25" s="19"/>
      <c r="J25" s="20"/>
      <c r="K25" s="18"/>
      <c r="L25" s="22"/>
    </row>
    <row r="26" spans="1:12" x14ac:dyDescent="0.3">
      <c r="A26" s="33">
        <v>21</v>
      </c>
      <c r="B26" s="33" t="s">
        <v>2165</v>
      </c>
      <c r="C26" s="34" t="s">
        <v>698</v>
      </c>
      <c r="D26" s="51" t="s">
        <v>328</v>
      </c>
      <c r="E26" s="61" t="str">
        <f>IFERROR(VLOOKUP(D26,'Master List'!D:H,2,FALSE),"NA")</f>
        <v>510901</v>
      </c>
      <c r="F26" s="62" t="str">
        <f>IFERROR(VLOOKUP(D26,'Master List'!D:H,3,FALSE),"NA")</f>
        <v>510901</v>
      </c>
      <c r="G26" s="58" t="str">
        <f>IFERROR(VLOOKUP(D26,'Master List'!D:H,4,FALSE),"NA")</f>
        <v>510901</v>
      </c>
      <c r="H26" s="39" t="str">
        <f>IFERROR(VLOOKUP(D26,'Master List'!D:H,5,FALSE),"NA")</f>
        <v>Cardiovascular Technology/Technologist.</v>
      </c>
      <c r="I26" s="19"/>
      <c r="J26" s="20"/>
      <c r="K26" s="18"/>
      <c r="L26" s="22"/>
    </row>
    <row r="27" spans="1:12" x14ac:dyDescent="0.3">
      <c r="A27" s="33">
        <v>21</v>
      </c>
      <c r="B27" s="33" t="s">
        <v>2165</v>
      </c>
      <c r="C27" s="34" t="s">
        <v>698</v>
      </c>
      <c r="D27" s="51" t="s">
        <v>90</v>
      </c>
      <c r="E27" s="61" t="str">
        <f>IFERROR(VLOOKUP(D27,'Master List'!D:H,2,FALSE),"NA")</f>
        <v>510904</v>
      </c>
      <c r="F27" s="62" t="str">
        <f>IFERROR(VLOOKUP(D27,'Master List'!D:H,3,FALSE),"NA")</f>
        <v>510904</v>
      </c>
      <c r="G27" s="58" t="str">
        <f>IFERROR(VLOOKUP(D27,'Master List'!D:H,4,FALSE),"NA")</f>
        <v>510904</v>
      </c>
      <c r="H27" s="39" t="str">
        <f>IFERROR(VLOOKUP(D27,'Master List'!D:H,5,FALSE),"NA")</f>
        <v>Emergency Medical Technology/Technician (EMT Paramedic).</v>
      </c>
      <c r="I27" s="19"/>
      <c r="J27" s="20"/>
      <c r="K27" s="18"/>
      <c r="L27" s="22"/>
    </row>
    <row r="28" spans="1:12" x14ac:dyDescent="0.3">
      <c r="A28" s="33">
        <v>21</v>
      </c>
      <c r="B28" s="33" t="s">
        <v>2165</v>
      </c>
      <c r="C28" s="34" t="s">
        <v>698</v>
      </c>
      <c r="D28" s="51" t="s">
        <v>91</v>
      </c>
      <c r="E28" s="61" t="str">
        <f>IFERROR(VLOOKUP(D28,'Master List'!D:H,2,FALSE),"NA")</f>
        <v>510907</v>
      </c>
      <c r="F28" s="62" t="str">
        <f>IFERROR(VLOOKUP(D28,'Master List'!D:H,3,FALSE),"NA")</f>
        <v>510907</v>
      </c>
      <c r="G28" s="58">
        <f>IFERROR(VLOOKUP(D28,'Master List'!D:H,4,FALSE),"NA")</f>
        <v>510911</v>
      </c>
      <c r="H28" s="39" t="str">
        <f>IFERROR(VLOOKUP(D28,'Master List'!D:H,5,FALSE),"NA")</f>
        <v>Radiologic Technology/Science - Radiographer</v>
      </c>
      <c r="I28" s="19"/>
      <c r="J28" s="20"/>
      <c r="K28" s="18"/>
      <c r="L28" s="22"/>
    </row>
    <row r="29" spans="1:12" x14ac:dyDescent="0.3">
      <c r="A29" s="33">
        <v>21</v>
      </c>
      <c r="B29" s="33" t="s">
        <v>2165</v>
      </c>
      <c r="C29" s="34" t="s">
        <v>698</v>
      </c>
      <c r="D29" s="51" t="s">
        <v>94</v>
      </c>
      <c r="E29" s="61" t="str">
        <f>IFERROR(VLOOKUP(D29,'Master List'!D:H,2,FALSE),"NA")</f>
        <v>510908</v>
      </c>
      <c r="F29" s="62" t="str">
        <f>IFERROR(VLOOKUP(D29,'Master List'!D:H,3,FALSE),"NA")</f>
        <v>510908</v>
      </c>
      <c r="G29" s="58" t="str">
        <f>IFERROR(VLOOKUP(D29,'Master List'!D:H,4,FALSE),"NA")</f>
        <v>510908</v>
      </c>
      <c r="H29" s="39" t="str">
        <f>IFERROR(VLOOKUP(D29,'Master List'!D:H,5,FALSE),"NA")</f>
        <v>Respiratory Care Therapy/Therapist.</v>
      </c>
      <c r="I29" s="19"/>
      <c r="J29" s="20"/>
      <c r="K29" s="18"/>
      <c r="L29" s="22"/>
    </row>
    <row r="30" spans="1:12" x14ac:dyDescent="0.3">
      <c r="A30" s="33">
        <v>21</v>
      </c>
      <c r="B30" s="33" t="s">
        <v>2165</v>
      </c>
      <c r="C30" s="34" t="s">
        <v>698</v>
      </c>
      <c r="D30" s="51" t="s">
        <v>98</v>
      </c>
      <c r="E30" s="61" t="str">
        <f>IFERROR(VLOOKUP(D30,'Master List'!D:H,2,FALSE),"NA")</f>
        <v>510910</v>
      </c>
      <c r="F30" s="62" t="str">
        <f>IFERROR(VLOOKUP(D30,'Master List'!D:H,3,FALSE),"NA")</f>
        <v>510910</v>
      </c>
      <c r="G30" s="58" t="str">
        <f>IFERROR(VLOOKUP(D30,'Master List'!D:H,4,FALSE),"NA")</f>
        <v>510910</v>
      </c>
      <c r="H30" s="39" t="str">
        <f>IFERROR(VLOOKUP(D30,'Master List'!D:H,5,FALSE),"NA")</f>
        <v>Diagnostic Medical Sonography/Sonographer and Ultrasound Technician.</v>
      </c>
      <c r="I30" s="19"/>
      <c r="J30" s="20"/>
      <c r="K30" s="18"/>
      <c r="L30" s="22"/>
    </row>
    <row r="31" spans="1:12" x14ac:dyDescent="0.3">
      <c r="A31" s="33">
        <v>21</v>
      </c>
      <c r="B31" s="33" t="s">
        <v>2165</v>
      </c>
      <c r="C31" s="34" t="s">
        <v>698</v>
      </c>
      <c r="D31" s="51" t="s">
        <v>101</v>
      </c>
      <c r="E31" s="61" t="str">
        <f>IFERROR(VLOOKUP(D31,'Master List'!D:H,2,FALSE),"NA")</f>
        <v>513801</v>
      </c>
      <c r="F31" s="62" t="str">
        <f>IFERROR(VLOOKUP(D31,'Master List'!D:H,3,FALSE),"NA")</f>
        <v>513801</v>
      </c>
      <c r="G31" s="58" t="str">
        <f>IFERROR(VLOOKUP(D31,'Master List'!D:H,4,FALSE),"NA")</f>
        <v>513801</v>
      </c>
      <c r="H31" s="39" t="str">
        <f>IFERROR(VLOOKUP(D31,'Master List'!D:H,5,FALSE),"NA")</f>
        <v>Registered Nursing/Registered Nurse.</v>
      </c>
      <c r="I31" s="19"/>
      <c r="J31" s="20"/>
      <c r="K31" s="18"/>
      <c r="L31" s="22"/>
    </row>
    <row r="32" spans="1:12" x14ac:dyDescent="0.3">
      <c r="A32" s="33">
        <v>21</v>
      </c>
      <c r="B32" s="33" t="s">
        <v>2165</v>
      </c>
      <c r="C32" s="34" t="s">
        <v>698</v>
      </c>
      <c r="D32" s="51" t="s">
        <v>342</v>
      </c>
      <c r="E32" s="61" t="str">
        <f>IFERROR(VLOOKUP(D32,'Master List'!D:H,2,FALSE),"NA")</f>
        <v>190708</v>
      </c>
      <c r="F32" s="62" t="str">
        <f>IFERROR(VLOOKUP(D32,'Master List'!D:H,3,FALSE),"NA")</f>
        <v>190708</v>
      </c>
      <c r="G32" s="58" t="str">
        <f>IFERROR(VLOOKUP(D32,'Master List'!D:H,4,FALSE),"NA")</f>
        <v>190708</v>
      </c>
      <c r="H32" s="39" t="str">
        <f>IFERROR(VLOOKUP(D32,'Master List'!D:H,5,FALSE),"NA")</f>
        <v>Child Care and Support Services Management.</v>
      </c>
      <c r="I32" s="19"/>
      <c r="J32" s="20"/>
      <c r="K32" s="18"/>
      <c r="L32" s="22"/>
    </row>
    <row r="33" spans="1:12" x14ac:dyDescent="0.3">
      <c r="A33" s="33">
        <v>21</v>
      </c>
      <c r="B33" s="33" t="s">
        <v>2165</v>
      </c>
      <c r="C33" s="34" t="s">
        <v>698</v>
      </c>
      <c r="D33" s="51" t="s">
        <v>170</v>
      </c>
      <c r="E33" s="61" t="str">
        <f>IFERROR(VLOOKUP(D33,'Master List'!D:H,2,FALSE),"NA")</f>
        <v>110201</v>
      </c>
      <c r="F33" s="62" t="str">
        <f>IFERROR(VLOOKUP(D33,'Master List'!D:H,3,FALSE),"NA")</f>
        <v>110201</v>
      </c>
      <c r="G33" s="58" t="str">
        <f>IFERROR(VLOOKUP(D33,'Master List'!D:H,4,FALSE),"NA")</f>
        <v>110201</v>
      </c>
      <c r="H33" s="39" t="str">
        <f>IFERROR(VLOOKUP(D33,'Master List'!D:H,5,FALSE),"NA")</f>
        <v>Computer Programming/Programmer, General.</v>
      </c>
      <c r="I33" s="19"/>
      <c r="J33" s="20"/>
      <c r="K33" s="18"/>
      <c r="L33" s="22"/>
    </row>
    <row r="34" spans="1:12" x14ac:dyDescent="0.3">
      <c r="A34" s="33">
        <v>21</v>
      </c>
      <c r="B34" s="33" t="s">
        <v>2165</v>
      </c>
      <c r="C34" s="34" t="s">
        <v>698</v>
      </c>
      <c r="D34" s="51" t="s">
        <v>404</v>
      </c>
      <c r="E34" s="61" t="str">
        <f>IFERROR(VLOOKUP(D34,'Master List'!D:H,2,FALSE),"NA")</f>
        <v>110801</v>
      </c>
      <c r="F34" s="62" t="str">
        <f>IFERROR(VLOOKUP(D34,'Master List'!D:H,3,FALSE),"NA")</f>
        <v>110801</v>
      </c>
      <c r="G34" s="58" t="str">
        <f>IFERROR(VLOOKUP(D34,'Master List'!D:H,4,FALSE),"NA")</f>
        <v>110801</v>
      </c>
      <c r="H34" s="39" t="str">
        <f>IFERROR(VLOOKUP(D34,'Master List'!D:H,5,FALSE),"NA")</f>
        <v>Web Page, Digital/Multimedia and Information Resources Design.</v>
      </c>
      <c r="I34" s="19"/>
      <c r="J34" s="20"/>
      <c r="K34" s="18"/>
      <c r="L34" s="22"/>
    </row>
    <row r="35" spans="1:12" x14ac:dyDescent="0.3">
      <c r="A35" s="33">
        <v>21</v>
      </c>
      <c r="B35" s="33" t="s">
        <v>2165</v>
      </c>
      <c r="C35" s="34" t="s">
        <v>698</v>
      </c>
      <c r="D35" s="51" t="s">
        <v>349</v>
      </c>
      <c r="E35" s="61" t="str">
        <f>IFERROR(VLOOKUP(D35,'Master List'!D:H,2,FALSE),"NA")</f>
        <v>NA</v>
      </c>
      <c r="F35" s="62" t="str">
        <f>IFERROR(VLOOKUP(D35,'Master List'!D:H,3,FALSE),"NA")</f>
        <v>NA</v>
      </c>
      <c r="G35" s="58" t="str">
        <f>IFERROR(VLOOKUP(D35,'Master List'!D:H,4,FALSE),"NA")</f>
        <v>NA</v>
      </c>
      <c r="H35" s="39" t="str">
        <f>IFERROR(VLOOKUP(D35,'Master List'!D:H,5,FALSE),"NA")</f>
        <v>NA</v>
      </c>
      <c r="I35" s="19"/>
      <c r="J35" s="20"/>
      <c r="K35" s="18"/>
      <c r="L35" s="22"/>
    </row>
    <row r="36" spans="1:12" x14ac:dyDescent="0.3">
      <c r="A36" s="33">
        <v>21</v>
      </c>
      <c r="B36" s="33" t="s">
        <v>2165</v>
      </c>
      <c r="C36" s="34" t="s">
        <v>698</v>
      </c>
      <c r="D36" s="51" t="s">
        <v>106</v>
      </c>
      <c r="E36" s="61" t="str">
        <f>IFERROR(VLOOKUP(D36,'Master List'!D:H,2,FALSE),"NA")</f>
        <v>111001</v>
      </c>
      <c r="F36" s="62" t="str">
        <f>IFERROR(VLOOKUP(D36,'Master List'!D:H,3,FALSE),"NA")</f>
        <v>111001</v>
      </c>
      <c r="G36" s="58" t="str">
        <f>IFERROR(VLOOKUP(D36,'Master List'!D:H,4,FALSE),"NA")</f>
        <v>111001</v>
      </c>
      <c r="H36" s="39" t="str">
        <f>IFERROR(VLOOKUP(D36,'Master List'!D:H,5,FALSE),"NA")</f>
        <v>Network and System Administration/Administrator.</v>
      </c>
      <c r="I36" s="19"/>
      <c r="J36" s="20"/>
      <c r="K36" s="18"/>
      <c r="L36" s="22"/>
    </row>
    <row r="37" spans="1:12" x14ac:dyDescent="0.3">
      <c r="A37" s="33">
        <v>21</v>
      </c>
      <c r="B37" s="33" t="s">
        <v>2165</v>
      </c>
      <c r="C37" s="34" t="s">
        <v>698</v>
      </c>
      <c r="D37" s="51" t="s">
        <v>107</v>
      </c>
      <c r="E37" s="61" t="str">
        <f>IFERROR(VLOOKUP(D37,'Master List'!D:H,2,FALSE),"NA")</f>
        <v>520201</v>
      </c>
      <c r="F37" s="62" t="str">
        <f>IFERROR(VLOOKUP(D37,'Master List'!D:H,3,FALSE),"NA")</f>
        <v>520201</v>
      </c>
      <c r="G37" s="58" t="str">
        <f>IFERROR(VLOOKUP(D37,'Master List'!D:H,4,FALSE),"NA")</f>
        <v>520201</v>
      </c>
      <c r="H37" s="39" t="str">
        <f>IFERROR(VLOOKUP(D37,'Master List'!D:H,5,FALSE),"NA")</f>
        <v>Business Administration and Management, General.</v>
      </c>
      <c r="I37" s="19"/>
      <c r="J37" s="20"/>
      <c r="K37" s="18"/>
      <c r="L37" s="22"/>
    </row>
    <row r="38" spans="1:12" x14ac:dyDescent="0.3">
      <c r="A38" s="33">
        <v>21</v>
      </c>
      <c r="B38" s="33" t="s">
        <v>2165</v>
      </c>
      <c r="C38" s="34" t="s">
        <v>698</v>
      </c>
      <c r="D38" s="51" t="s">
        <v>110</v>
      </c>
      <c r="E38" s="61" t="str">
        <f>IFERROR(VLOOKUP(D38,'Master List'!D:H,2,FALSE),"NA")</f>
        <v>520302</v>
      </c>
      <c r="F38" s="62" t="str">
        <f>IFERROR(VLOOKUP(D38,'Master List'!D:H,3,FALSE),"NA")</f>
        <v>520302</v>
      </c>
      <c r="G38" s="58" t="str">
        <f>IFERROR(VLOOKUP(D38,'Master List'!D:H,4,FALSE),"NA")</f>
        <v>520302</v>
      </c>
      <c r="H38" s="39" t="str">
        <f>IFERROR(VLOOKUP(D38,'Master List'!D:H,5,FALSE),"NA")</f>
        <v>Accounting Technology/Technician and Bookkeeping.</v>
      </c>
      <c r="I38" s="19"/>
      <c r="J38" s="20"/>
      <c r="K38" s="18"/>
      <c r="L38" s="22"/>
    </row>
    <row r="39" spans="1:12" x14ac:dyDescent="0.3">
      <c r="A39" s="33">
        <v>21</v>
      </c>
      <c r="B39" s="33" t="s">
        <v>2165</v>
      </c>
      <c r="C39" s="34" t="s">
        <v>698</v>
      </c>
      <c r="D39" s="51" t="s">
        <v>114</v>
      </c>
      <c r="E39" s="61" t="str">
        <f>IFERROR(VLOOKUP(D39,'Master List'!D:H,2,FALSE),"NA")</f>
        <v>110801</v>
      </c>
      <c r="F39" s="62" t="str">
        <f>IFERROR(VLOOKUP(D39,'Master List'!D:H,3,FALSE),"NA")</f>
        <v>110801</v>
      </c>
      <c r="G39" s="58" t="str">
        <f>IFERROR(VLOOKUP(D39,'Master List'!D:H,4,FALSE),"NA")</f>
        <v>110801</v>
      </c>
      <c r="H39" s="39" t="str">
        <f>IFERROR(VLOOKUP(D39,'Master List'!D:H,5,FALSE),"NA")</f>
        <v>Web Page, Digital/Multimedia and Information Resources Design.</v>
      </c>
      <c r="I39" s="19"/>
      <c r="J39" s="20"/>
      <c r="K39" s="18"/>
      <c r="L39" s="22"/>
    </row>
    <row r="40" spans="1:12" x14ac:dyDescent="0.3">
      <c r="A40" s="33">
        <v>21</v>
      </c>
      <c r="B40" s="33" t="s">
        <v>2165</v>
      </c>
      <c r="C40" s="34" t="s">
        <v>698</v>
      </c>
      <c r="D40" s="51" t="s">
        <v>120</v>
      </c>
      <c r="E40" s="61" t="str">
        <f>IFERROR(VLOOKUP(D40,'Master List'!D:H,2,FALSE),"NA")</f>
        <v>150000</v>
      </c>
      <c r="F40" s="62" t="str">
        <f>IFERROR(VLOOKUP(D40,'Master List'!D:H,3,FALSE),"NA")</f>
        <v>150000</v>
      </c>
      <c r="G40" s="58" t="str">
        <f>IFERROR(VLOOKUP(D40,'Master List'!D:H,4,FALSE),"NA")</f>
        <v>150000</v>
      </c>
      <c r="H40" s="39" t="str">
        <f>IFERROR(VLOOKUP(D40,'Master List'!D:H,5,FALSE),"NA")</f>
        <v>Engineering Technologies/Technicians, General.</v>
      </c>
      <c r="I40" s="19"/>
      <c r="J40" s="20"/>
      <c r="K40" s="18"/>
      <c r="L40" s="22"/>
    </row>
    <row r="41" spans="1:12" x14ac:dyDescent="0.3">
      <c r="A41" s="33">
        <v>21</v>
      </c>
      <c r="B41" s="33" t="s">
        <v>2165</v>
      </c>
      <c r="C41" s="34" t="s">
        <v>698</v>
      </c>
      <c r="D41" s="51" t="s">
        <v>361</v>
      </c>
      <c r="E41" s="61" t="str">
        <f>IFERROR(VLOOKUP(D41,'Master List'!D:H,2,FALSE),"NA")</f>
        <v>470607</v>
      </c>
      <c r="F41" s="62" t="str">
        <f>IFERROR(VLOOKUP(D41,'Master List'!D:H,3,FALSE),"NA")</f>
        <v>470607</v>
      </c>
      <c r="G41" s="58" t="str">
        <f>IFERROR(VLOOKUP(D41,'Master List'!D:H,4,FALSE),"NA")</f>
        <v>470607</v>
      </c>
      <c r="H41" s="39" t="str">
        <f>IFERROR(VLOOKUP(D41,'Master List'!D:H,5,FALSE),"NA")</f>
        <v>Airframe Mechanics and Aircraft Maintenance Technology/Technician.</v>
      </c>
      <c r="I41" s="19"/>
      <c r="J41" s="20"/>
      <c r="K41" s="18"/>
      <c r="L41" s="22"/>
    </row>
    <row r="42" spans="1:12" x14ac:dyDescent="0.3">
      <c r="A42" s="33">
        <v>21</v>
      </c>
      <c r="B42" s="33" t="s">
        <v>2165</v>
      </c>
      <c r="C42" s="34" t="s">
        <v>698</v>
      </c>
      <c r="D42" s="51" t="s">
        <v>362</v>
      </c>
      <c r="E42" s="61" t="str">
        <f>IFERROR(VLOOKUP(D42,'Master List'!D:H,2,FALSE),"NA")</f>
        <v>490102</v>
      </c>
      <c r="F42" s="62" t="str">
        <f>IFERROR(VLOOKUP(D42,'Master List'!D:H,3,FALSE),"NA")</f>
        <v>490102</v>
      </c>
      <c r="G42" s="58" t="str">
        <f>IFERROR(VLOOKUP(D42,'Master List'!D:H,4,FALSE),"NA")</f>
        <v>490102</v>
      </c>
      <c r="H42" s="39" t="str">
        <f>IFERROR(VLOOKUP(D42,'Master List'!D:H,5,FALSE),"NA")</f>
        <v>Airline/Commercial/Professional Pilot and Flight Crew.</v>
      </c>
      <c r="I42" s="19"/>
      <c r="J42" s="20"/>
      <c r="K42" s="18"/>
      <c r="L42" s="22"/>
    </row>
    <row r="43" spans="1:12" x14ac:dyDescent="0.3">
      <c r="A43" s="33">
        <v>21</v>
      </c>
      <c r="B43" s="33" t="s">
        <v>2165</v>
      </c>
      <c r="C43" s="34" t="s">
        <v>698</v>
      </c>
      <c r="D43" s="51" t="s">
        <v>365</v>
      </c>
      <c r="E43" s="61" t="str">
        <f>IFERROR(VLOOKUP(D43,'Master List'!D:H,2,FALSE),"NA")</f>
        <v>490104</v>
      </c>
      <c r="F43" s="62" t="str">
        <f>IFERROR(VLOOKUP(D43,'Master List'!D:H,3,FALSE),"NA")</f>
        <v>490104</v>
      </c>
      <c r="G43" s="58" t="str">
        <f>IFERROR(VLOOKUP(D43,'Master List'!D:H,4,FALSE),"NA")</f>
        <v>490104</v>
      </c>
      <c r="H43" s="39" t="str">
        <f>IFERROR(VLOOKUP(D43,'Master List'!D:H,5,FALSE),"NA")</f>
        <v>Aviation/Airway Management and Operations.</v>
      </c>
      <c r="I43" s="19"/>
      <c r="J43" s="20"/>
      <c r="K43" s="18"/>
      <c r="L43" s="22"/>
    </row>
    <row r="44" spans="1:12" x14ac:dyDescent="0.3">
      <c r="A44" s="33">
        <v>21</v>
      </c>
      <c r="B44" s="33" t="s">
        <v>2165</v>
      </c>
      <c r="C44" s="34" t="s">
        <v>698</v>
      </c>
      <c r="D44" s="51" t="s">
        <v>367</v>
      </c>
      <c r="E44" s="61" t="str">
        <f>IFERROR(VLOOKUP(D44,'Master List'!D:H,2,FALSE),"NA")</f>
        <v>520205</v>
      </c>
      <c r="F44" s="62" t="str">
        <f>IFERROR(VLOOKUP(D44,'Master List'!D:H,3,FALSE),"NA")</f>
        <v>520205</v>
      </c>
      <c r="G44" s="58" t="str">
        <f>IFERROR(VLOOKUP(D44,'Master List'!D:H,4,FALSE),"NA")</f>
        <v>520205</v>
      </c>
      <c r="H44" s="39" t="str">
        <f>IFERROR(VLOOKUP(D44,'Master List'!D:H,5,FALSE),"NA")</f>
        <v>Operations Management and Supervision.</v>
      </c>
      <c r="I44" s="19"/>
      <c r="J44" s="20"/>
      <c r="K44" s="18"/>
      <c r="L44" s="22"/>
    </row>
    <row r="45" spans="1:12" x14ac:dyDescent="0.3">
      <c r="A45" s="33">
        <v>21</v>
      </c>
      <c r="B45" s="33" t="s">
        <v>2165</v>
      </c>
      <c r="C45" s="34" t="s">
        <v>698</v>
      </c>
      <c r="D45" s="51" t="s">
        <v>371</v>
      </c>
      <c r="E45" s="61" t="str">
        <f>IFERROR(VLOOKUP(D45,'Master List'!D:H,2,FALSE),"NA")</f>
        <v>520209</v>
      </c>
      <c r="F45" s="62" t="str">
        <f>IFERROR(VLOOKUP(D45,'Master List'!D:H,3,FALSE),"NA")</f>
        <v>520209</v>
      </c>
      <c r="G45" s="58" t="str">
        <f>IFERROR(VLOOKUP(D45,'Master List'!D:H,4,FALSE),"NA")</f>
        <v>520209</v>
      </c>
      <c r="H45" s="39" t="str">
        <f>IFERROR(VLOOKUP(D45,'Master List'!D:H,5,FALSE),"NA")</f>
        <v>Transportation/Mobility Management.</v>
      </c>
      <c r="I45" s="19"/>
      <c r="J45" s="20"/>
      <c r="K45" s="18"/>
      <c r="L45" s="22"/>
    </row>
    <row r="46" spans="1:12" x14ac:dyDescent="0.3">
      <c r="A46" s="33">
        <v>21</v>
      </c>
      <c r="B46" s="33" t="s">
        <v>2165</v>
      </c>
      <c r="C46" s="34" t="s">
        <v>698</v>
      </c>
      <c r="D46" s="51" t="s">
        <v>128</v>
      </c>
      <c r="E46" s="61" t="str">
        <f>IFERROR(VLOOKUP(D46,'Master List'!D:H,2,FALSE),"NA")</f>
        <v>430103</v>
      </c>
      <c r="F46" s="62" t="str">
        <f>IFERROR(VLOOKUP(D46,'Master List'!D:H,3,FALSE),"NA")</f>
        <v>430103</v>
      </c>
      <c r="G46" s="58" t="str">
        <f>IFERROR(VLOOKUP(D46,'Master List'!D:H,4,FALSE),"NA")</f>
        <v>430103</v>
      </c>
      <c r="H46" s="39" t="str">
        <f>IFERROR(VLOOKUP(D46,'Master List'!D:H,5,FALSE),"NA")</f>
        <v>Criminal Justice/Law Enforcement Administration.</v>
      </c>
      <c r="I46" s="19"/>
      <c r="J46" s="20"/>
      <c r="K46" s="18"/>
      <c r="L46" s="22"/>
    </row>
    <row r="47" spans="1:12" x14ac:dyDescent="0.3">
      <c r="A47" s="33">
        <v>21</v>
      </c>
      <c r="B47" s="33" t="s">
        <v>2165</v>
      </c>
      <c r="C47" s="34" t="s">
        <v>698</v>
      </c>
      <c r="D47" s="51" t="s">
        <v>131</v>
      </c>
      <c r="E47" s="61" t="str">
        <f>IFERROR(VLOOKUP(D47,'Master List'!D:H,2,FALSE),"NA")</f>
        <v>NA</v>
      </c>
      <c r="F47" s="62" t="str">
        <f>IFERROR(VLOOKUP(D47,'Master List'!D:H,3,FALSE),"NA")</f>
        <v>NA</v>
      </c>
      <c r="G47" s="58" t="str">
        <f>IFERROR(VLOOKUP(D47,'Master List'!D:H,4,FALSE),"NA")</f>
        <v>NA</v>
      </c>
      <c r="H47" s="39" t="str">
        <f>IFERROR(VLOOKUP(D47,'Master List'!D:H,5,FALSE),"NA")</f>
        <v>NA</v>
      </c>
      <c r="I47" s="19"/>
      <c r="J47" s="20"/>
      <c r="K47" s="18"/>
      <c r="L47" s="22"/>
    </row>
    <row r="48" spans="1:12" x14ac:dyDescent="0.3">
      <c r="K48" s="26"/>
      <c r="L48" s="26"/>
    </row>
    <row r="49" spans="11:12" x14ac:dyDescent="0.3">
      <c r="K49" s="26"/>
      <c r="L49" s="26"/>
    </row>
    <row r="50" spans="11:12" x14ac:dyDescent="0.3">
      <c r="K50" s="26"/>
      <c r="L50" s="26"/>
    </row>
    <row r="51" spans="11:12" x14ac:dyDescent="0.3">
      <c r="K51" s="26"/>
      <c r="L51" s="26"/>
    </row>
    <row r="52" spans="11:12" x14ac:dyDescent="0.3">
      <c r="K52" s="26"/>
      <c r="L52" s="26"/>
    </row>
    <row r="53" spans="11:12" x14ac:dyDescent="0.3">
      <c r="K53" s="26"/>
      <c r="L53" s="26"/>
    </row>
    <row r="54" spans="11:12" x14ac:dyDescent="0.3">
      <c r="K54" s="26"/>
      <c r="L54" s="26"/>
    </row>
    <row r="55" spans="11:12" x14ac:dyDescent="0.3">
      <c r="K55" s="26"/>
      <c r="L55" s="26"/>
    </row>
    <row r="56" spans="11:12" x14ac:dyDescent="0.3">
      <c r="K56" s="26"/>
      <c r="L56" s="26"/>
    </row>
    <row r="57" spans="11:12" x14ac:dyDescent="0.3">
      <c r="K57" s="26"/>
      <c r="L57" s="26"/>
    </row>
    <row r="58" spans="11:12" x14ac:dyDescent="0.3">
      <c r="K58" s="26"/>
      <c r="L58" s="26"/>
    </row>
    <row r="59" spans="11:12" x14ac:dyDescent="0.3">
      <c r="K59" s="26"/>
      <c r="L59" s="26"/>
    </row>
    <row r="60" spans="11:12" x14ac:dyDescent="0.3">
      <c r="K60" s="26"/>
      <c r="L60" s="26"/>
    </row>
    <row r="61" spans="11:12" x14ac:dyDescent="0.3">
      <c r="K61" s="26"/>
      <c r="L61" s="26"/>
    </row>
    <row r="62" spans="11:12" x14ac:dyDescent="0.3">
      <c r="K62" s="26"/>
      <c r="L62" s="26"/>
    </row>
    <row r="63" spans="11:12" x14ac:dyDescent="0.3">
      <c r="K63" s="26"/>
      <c r="L63" s="26"/>
    </row>
    <row r="64" spans="11:12" x14ac:dyDescent="0.3">
      <c r="K64" s="26"/>
      <c r="L64" s="26"/>
    </row>
    <row r="65" spans="11:12" x14ac:dyDescent="0.3">
      <c r="K65" s="26"/>
      <c r="L65" s="26"/>
    </row>
    <row r="66" spans="11:12" x14ac:dyDescent="0.3">
      <c r="K66" s="26"/>
      <c r="L66" s="26"/>
    </row>
    <row r="67" spans="11:12" x14ac:dyDescent="0.3">
      <c r="K67" s="26"/>
      <c r="L67" s="26"/>
    </row>
    <row r="68" spans="11:12" x14ac:dyDescent="0.3">
      <c r="K68" s="26"/>
      <c r="L68" s="26"/>
    </row>
    <row r="69" spans="11:12" x14ac:dyDescent="0.3">
      <c r="K69" s="26"/>
      <c r="L69" s="26"/>
    </row>
    <row r="70" spans="11:12" x14ac:dyDescent="0.3">
      <c r="K70" s="26"/>
      <c r="L70" s="26"/>
    </row>
    <row r="71" spans="11:12" x14ac:dyDescent="0.3">
      <c r="K71" s="26"/>
      <c r="L71" s="26"/>
    </row>
    <row r="72" spans="11:12" x14ac:dyDescent="0.3">
      <c r="K72" s="26"/>
      <c r="L72" s="26"/>
    </row>
    <row r="73" spans="11:12" x14ac:dyDescent="0.3">
      <c r="K73" s="26"/>
      <c r="L73" s="26"/>
    </row>
  </sheetData>
  <sheetProtection algorithmName="SHA-512" hashValue="+otiRJ9jTAZJrWScaQ+aahpNHuz7caR8n2JwvF8fWKvxahBIY8CT4kCqEto+Pq767yPmk9voXPMKgRSkr17fuA==" saltValue="b3H/cUk27AnSa1hf3twJIA==" spinCount="100000" sheet="1" objects="1" scenarios="1" sort="0" autoFilter="0"/>
  <autoFilter ref="A2:L47"/>
  <mergeCells count="3">
    <mergeCell ref="A1:D1"/>
    <mergeCell ref="E1:H1"/>
    <mergeCell ref="I1:L1"/>
  </mergeCells>
  <dataValidations count="1">
    <dataValidation type="list" allowBlank="1" showInputMessage="1" showErrorMessage="1" sqref="I3:I47">
      <formula1>"Agree,Disagree"</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5.6640625" style="17" customWidth="1"/>
    <col min="5" max="5" width="14.88671875" style="54" customWidth="1"/>
    <col min="6" max="6" width="12.5546875" style="54" customWidth="1"/>
    <col min="7" max="7" width="13.5546875" style="54" customWidth="1"/>
    <col min="8" max="8" width="70.44140625" style="25" customWidth="1"/>
    <col min="9" max="10" width="27" style="17" customWidth="1"/>
    <col min="11" max="11" width="34.88671875" style="17" customWidth="1"/>
    <col min="12" max="12" width="35.6640625" style="17" customWidth="1"/>
    <col min="13" max="16384" width="8.88671875" style="17"/>
  </cols>
  <sheetData>
    <row r="1" spans="1:12" s="27" customFormat="1" ht="7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22</v>
      </c>
      <c r="B3" s="33" t="s">
        <v>2166</v>
      </c>
      <c r="C3" s="34" t="s">
        <v>694</v>
      </c>
      <c r="D3" s="51" t="s">
        <v>619</v>
      </c>
      <c r="E3" s="61" t="str">
        <f>IFERROR(VLOOKUP(D3,'Master List'!D:H,2,FALSE),"NA")</f>
        <v>510702</v>
      </c>
      <c r="F3" s="62" t="str">
        <f>IFERROR(VLOOKUP(D3,'Master List'!D:H,3,FALSE),"NA")</f>
        <v>510702</v>
      </c>
      <c r="G3" s="58" t="str">
        <f>IFERROR(VLOOKUP(D3,'Master List'!D:H,4,FALSE),"NA")</f>
        <v>510702</v>
      </c>
      <c r="H3" s="39" t="str">
        <f>IFERROR(VLOOKUP(D3,'Master List'!D:H,5,FALSE),"NA")</f>
        <v>Hospital and Health Care Facilities Administration/Management.</v>
      </c>
      <c r="I3" s="19"/>
      <c r="J3" s="20"/>
      <c r="K3" s="20"/>
      <c r="L3" s="21"/>
    </row>
    <row r="4" spans="1:12" x14ac:dyDescent="0.3">
      <c r="A4" s="33">
        <v>22</v>
      </c>
      <c r="B4" s="33" t="s">
        <v>2166</v>
      </c>
      <c r="C4" s="34" t="s">
        <v>694</v>
      </c>
      <c r="D4" s="51" t="s">
        <v>198</v>
      </c>
      <c r="E4" s="61" t="str">
        <f>IFERROR(VLOOKUP(D4,'Master List'!D:H,2,FALSE),"NA")</f>
        <v>510707</v>
      </c>
      <c r="F4" s="62" t="str">
        <f>IFERROR(VLOOKUP(D4,'Master List'!D:H,3,FALSE),"NA")</f>
        <v>510707</v>
      </c>
      <c r="G4" s="58">
        <f>IFERROR(VLOOKUP(D4,'Master List'!D:H,4,FALSE),"NA")</f>
        <v>510714</v>
      </c>
      <c r="H4" s="39" t="str">
        <f>IFERROR(VLOOKUP(D4,'Master List'!D:H,5,FALSE),"NA")</f>
        <v>Medical Insurance Specialist/Medical Biller</v>
      </c>
      <c r="I4" s="19"/>
      <c r="J4" s="20"/>
      <c r="K4" s="20"/>
      <c r="L4" s="21"/>
    </row>
    <row r="5" spans="1:12" x14ac:dyDescent="0.3">
      <c r="A5" s="33">
        <v>22</v>
      </c>
      <c r="B5" s="33" t="s">
        <v>2166</v>
      </c>
      <c r="C5" s="34" t="s">
        <v>694</v>
      </c>
      <c r="D5" s="51" t="s">
        <v>199</v>
      </c>
      <c r="E5" s="61" t="str">
        <f>IFERROR(VLOOKUP(D5,'Master List'!D:H,2,FALSE),"NA")</f>
        <v>510801</v>
      </c>
      <c r="F5" s="62" t="str">
        <f>IFERROR(VLOOKUP(D5,'Master List'!D:H,3,FALSE),"NA")</f>
        <v>510801</v>
      </c>
      <c r="G5" s="58" t="str">
        <f>IFERROR(VLOOKUP(D5,'Master List'!D:H,4,FALSE),"NA")</f>
        <v>510801</v>
      </c>
      <c r="H5" s="39" t="str">
        <f>IFERROR(VLOOKUP(D5,'Master List'!D:H,5,FALSE),"NA")</f>
        <v>Medical/Clinical Assistant.</v>
      </c>
      <c r="I5" s="19"/>
      <c r="J5" s="20"/>
      <c r="K5" s="20"/>
      <c r="L5" s="21"/>
    </row>
    <row r="6" spans="1:12" x14ac:dyDescent="0.3">
      <c r="A6" s="33">
        <v>22</v>
      </c>
      <c r="B6" s="33" t="s">
        <v>2166</v>
      </c>
      <c r="C6" s="34" t="s">
        <v>694</v>
      </c>
      <c r="D6" s="51" t="s">
        <v>14</v>
      </c>
      <c r="E6" s="61" t="str">
        <f>IFERROR(VLOOKUP(D6,'Master List'!D:H,2,FALSE),"NA")</f>
        <v>510904</v>
      </c>
      <c r="F6" s="62" t="str">
        <f>IFERROR(VLOOKUP(D6,'Master List'!D:H,3,FALSE),"NA")</f>
        <v>510904</v>
      </c>
      <c r="G6" s="58" t="str">
        <f>IFERROR(VLOOKUP(D6,'Master List'!D:H,4,FALSE),"NA")</f>
        <v>510904</v>
      </c>
      <c r="H6" s="39" t="str">
        <f>IFERROR(VLOOKUP(D6,'Master List'!D:H,5,FALSE),"NA")</f>
        <v>Emergency Medical Technology/Technician (EMT Paramedic).</v>
      </c>
      <c r="I6" s="19"/>
      <c r="J6" s="20"/>
      <c r="K6" s="20"/>
      <c r="L6" s="21"/>
    </row>
    <row r="7" spans="1:12" x14ac:dyDescent="0.3">
      <c r="A7" s="33">
        <v>22</v>
      </c>
      <c r="B7" s="33" t="s">
        <v>2166</v>
      </c>
      <c r="C7" s="34" t="s">
        <v>694</v>
      </c>
      <c r="D7" s="51" t="s">
        <v>204</v>
      </c>
      <c r="E7" s="61" t="str">
        <f>IFERROR(VLOOKUP(D7,'Master List'!D:H,2,FALSE),"NA")</f>
        <v>510904</v>
      </c>
      <c r="F7" s="62" t="str">
        <f>IFERROR(VLOOKUP(D7,'Master List'!D:H,3,FALSE),"NA")</f>
        <v>510904</v>
      </c>
      <c r="G7" s="58" t="str">
        <f>IFERROR(VLOOKUP(D7,'Master List'!D:H,4,FALSE),"NA")</f>
        <v>510904</v>
      </c>
      <c r="H7" s="39" t="str">
        <f>IFERROR(VLOOKUP(D7,'Master List'!D:H,5,FALSE),"NA")</f>
        <v>Emergency Medical Technology/Technician (EMT Paramedic).</v>
      </c>
      <c r="I7" s="19"/>
      <c r="J7" s="20"/>
      <c r="K7" s="20"/>
      <c r="L7" s="21"/>
    </row>
    <row r="8" spans="1:12" x14ac:dyDescent="0.3">
      <c r="A8" s="33">
        <v>22</v>
      </c>
      <c r="B8" s="33" t="s">
        <v>2166</v>
      </c>
      <c r="C8" s="34" t="s">
        <v>694</v>
      </c>
      <c r="D8" s="51" t="s">
        <v>413</v>
      </c>
      <c r="E8" s="61" t="str">
        <f>IFERROR(VLOOKUP(D8,'Master List'!D:H,2,FALSE),"NA")</f>
        <v>513901</v>
      </c>
      <c r="F8" s="62" t="str">
        <f>IFERROR(VLOOKUP(D8,'Master List'!D:H,3,FALSE),"NA")</f>
        <v>513901</v>
      </c>
      <c r="G8" s="58" t="str">
        <f>IFERROR(VLOOKUP(D8,'Master List'!D:H,4,FALSE),"NA")</f>
        <v>513901</v>
      </c>
      <c r="H8" s="39" t="str">
        <f>IFERROR(VLOOKUP(D8,'Master List'!D:H,5,FALSE),"NA")</f>
        <v>Licensed Practical/Vocational Nurse Training.</v>
      </c>
      <c r="I8" s="19"/>
      <c r="J8" s="20"/>
      <c r="K8" s="20"/>
      <c r="L8" s="21"/>
    </row>
    <row r="9" spans="1:12" x14ac:dyDescent="0.3">
      <c r="A9" s="33">
        <v>22</v>
      </c>
      <c r="B9" s="33" t="s">
        <v>2166</v>
      </c>
      <c r="C9" s="34" t="s">
        <v>694</v>
      </c>
      <c r="D9" s="51" t="s">
        <v>25</v>
      </c>
      <c r="E9" s="61" t="str">
        <f>IFERROR(VLOOKUP(D9,'Master List'!D:H,2,FALSE),"NA")</f>
        <v>513902</v>
      </c>
      <c r="F9" s="62" t="str">
        <f>IFERROR(VLOOKUP(D9,'Master List'!D:H,3,FALSE),"NA")</f>
        <v>513902</v>
      </c>
      <c r="G9" s="58" t="str">
        <f>IFERROR(VLOOKUP(D9,'Master List'!D:H,4,FALSE),"NA")</f>
        <v>513902</v>
      </c>
      <c r="H9" s="39" t="str">
        <f>IFERROR(VLOOKUP(D9,'Master List'!D:H,5,FALSE),"NA")</f>
        <v>Nursing Assistant/Aide and Patient Care Assistant/Aide.</v>
      </c>
      <c r="I9" s="19"/>
      <c r="J9" s="20"/>
      <c r="K9" s="20"/>
      <c r="L9" s="21"/>
    </row>
    <row r="10" spans="1:12" x14ac:dyDescent="0.3">
      <c r="A10" s="33">
        <v>22</v>
      </c>
      <c r="B10" s="33" t="s">
        <v>2166</v>
      </c>
      <c r="C10" s="34" t="s">
        <v>694</v>
      </c>
      <c r="D10" s="51" t="s">
        <v>418</v>
      </c>
      <c r="E10" s="61" t="str">
        <f>IFERROR(VLOOKUP(D10,'Master List'!D:H,2,FALSE),"NA")</f>
        <v>110103</v>
      </c>
      <c r="F10" s="62" t="str">
        <f>IFERROR(VLOOKUP(D10,'Master List'!D:H,3,FALSE),"NA")</f>
        <v>110103</v>
      </c>
      <c r="G10" s="58" t="str">
        <f>IFERROR(VLOOKUP(D10,'Master List'!D:H,4,FALSE),"NA")</f>
        <v>110103</v>
      </c>
      <c r="H10" s="39" t="str">
        <f>IFERROR(VLOOKUP(D10,'Master List'!D:H,5,FALSE),"NA")</f>
        <v>Information Technology.</v>
      </c>
      <c r="I10" s="19"/>
      <c r="J10" s="20"/>
      <c r="K10" s="20"/>
      <c r="L10" s="21"/>
    </row>
    <row r="11" spans="1:12" x14ac:dyDescent="0.3">
      <c r="A11" s="33">
        <v>22</v>
      </c>
      <c r="B11" s="33" t="s">
        <v>2166</v>
      </c>
      <c r="C11" s="34" t="s">
        <v>694</v>
      </c>
      <c r="D11" s="51" t="s">
        <v>695</v>
      </c>
      <c r="E11" s="61" t="str">
        <f>IFERROR(VLOOKUP(D11,'Master List'!D:H,2,FALSE),"NA")</f>
        <v>110103</v>
      </c>
      <c r="F11" s="62" t="str">
        <f>IFERROR(VLOOKUP(D11,'Master List'!D:H,3,FALSE),"NA")</f>
        <v>110103</v>
      </c>
      <c r="G11" s="58" t="str">
        <f>IFERROR(VLOOKUP(D11,'Master List'!D:H,4,FALSE),"NA")</f>
        <v>110103</v>
      </c>
      <c r="H11" s="39" t="str">
        <f>IFERROR(VLOOKUP(D11,'Master List'!D:H,5,FALSE),"NA")</f>
        <v>Information Technology.</v>
      </c>
      <c r="I11" s="19"/>
      <c r="J11" s="20"/>
      <c r="K11" s="20"/>
      <c r="L11" s="21"/>
    </row>
    <row r="12" spans="1:12" x14ac:dyDescent="0.3">
      <c r="A12" s="33">
        <v>22</v>
      </c>
      <c r="B12" s="33" t="s">
        <v>2166</v>
      </c>
      <c r="C12" s="34" t="s">
        <v>694</v>
      </c>
      <c r="D12" s="51" t="s">
        <v>217</v>
      </c>
      <c r="E12" s="61" t="str">
        <f>IFERROR(VLOOKUP(D12,'Master List'!D:H,2,FALSE),"NA")</f>
        <v>110103</v>
      </c>
      <c r="F12" s="62" t="str">
        <f>IFERROR(VLOOKUP(D12,'Master List'!D:H,3,FALSE),"NA")</f>
        <v>110103</v>
      </c>
      <c r="G12" s="58" t="str">
        <f>IFERROR(VLOOKUP(D12,'Master List'!D:H,4,FALSE),"NA")</f>
        <v>110103</v>
      </c>
      <c r="H12" s="39" t="str">
        <f>IFERROR(VLOOKUP(D12,'Master List'!D:H,5,FALSE),"NA")</f>
        <v>Information Technology.</v>
      </c>
      <c r="I12" s="19"/>
      <c r="J12" s="20"/>
      <c r="K12" s="20"/>
      <c r="L12" s="21"/>
    </row>
    <row r="13" spans="1:12" x14ac:dyDescent="0.3">
      <c r="A13" s="33">
        <v>22</v>
      </c>
      <c r="B13" s="33" t="s">
        <v>2166</v>
      </c>
      <c r="C13" s="34" t="s">
        <v>694</v>
      </c>
      <c r="D13" s="51" t="s">
        <v>218</v>
      </c>
      <c r="E13" s="61" t="str">
        <f>IFERROR(VLOOKUP(D13,'Master List'!D:H,2,FALSE),"NA")</f>
        <v>110103</v>
      </c>
      <c r="F13" s="62" t="str">
        <f>IFERROR(VLOOKUP(D13,'Master List'!D:H,3,FALSE),"NA")</f>
        <v>110103</v>
      </c>
      <c r="G13" s="58" t="str">
        <f>IFERROR(VLOOKUP(D13,'Master List'!D:H,4,FALSE),"NA")</f>
        <v>110103</v>
      </c>
      <c r="H13" s="39" t="str">
        <f>IFERROR(VLOOKUP(D13,'Master List'!D:H,5,FALSE),"NA")</f>
        <v>Information Technology.</v>
      </c>
      <c r="I13" s="19"/>
      <c r="J13" s="20"/>
      <c r="K13" s="20"/>
      <c r="L13" s="21"/>
    </row>
    <row r="14" spans="1:12" x14ac:dyDescent="0.3">
      <c r="A14" s="33">
        <v>22</v>
      </c>
      <c r="B14" s="33" t="s">
        <v>2166</v>
      </c>
      <c r="C14" s="34" t="s">
        <v>694</v>
      </c>
      <c r="D14" s="51" t="s">
        <v>502</v>
      </c>
      <c r="E14" s="61" t="str">
        <f>IFERROR(VLOOKUP(D14,'Master List'!D:H,2,FALSE),"NA")</f>
        <v>110103</v>
      </c>
      <c r="F14" s="62" t="str">
        <f>IFERROR(VLOOKUP(D14,'Master List'!D:H,3,FALSE),"NA")</f>
        <v>110103</v>
      </c>
      <c r="G14" s="58" t="str">
        <f>IFERROR(VLOOKUP(D14,'Master List'!D:H,4,FALSE),"NA")</f>
        <v>110103</v>
      </c>
      <c r="H14" s="39" t="str">
        <f>IFERROR(VLOOKUP(D14,'Master List'!D:H,5,FALSE),"NA")</f>
        <v>Information Technology.</v>
      </c>
      <c r="I14" s="19"/>
      <c r="J14" s="20"/>
      <c r="K14" s="20"/>
      <c r="L14" s="21"/>
    </row>
    <row r="15" spans="1:12" x14ac:dyDescent="0.3">
      <c r="A15" s="33">
        <v>22</v>
      </c>
      <c r="B15" s="33" t="s">
        <v>2166</v>
      </c>
      <c r="C15" s="34" t="s">
        <v>694</v>
      </c>
      <c r="D15" s="51" t="s">
        <v>389</v>
      </c>
      <c r="E15" s="61" t="str">
        <f>IFERROR(VLOOKUP(D15,'Master List'!D:H,2,FALSE),"NA")</f>
        <v>110201</v>
      </c>
      <c r="F15" s="62" t="str">
        <f>IFERROR(VLOOKUP(D15,'Master List'!D:H,3,FALSE),"NA")</f>
        <v>110201</v>
      </c>
      <c r="G15" s="58" t="str">
        <f>IFERROR(VLOOKUP(D15,'Master List'!D:H,4,FALSE),"NA")</f>
        <v>110201</v>
      </c>
      <c r="H15" s="39" t="str">
        <f>IFERROR(VLOOKUP(D15,'Master List'!D:H,5,FALSE),"NA")</f>
        <v>Computer Programming/Programmer, General.</v>
      </c>
      <c r="I15" s="19"/>
      <c r="J15" s="20"/>
      <c r="K15" s="20"/>
      <c r="L15" s="21"/>
    </row>
    <row r="16" spans="1:12" x14ac:dyDescent="0.3">
      <c r="A16" s="33">
        <v>22</v>
      </c>
      <c r="B16" s="33" t="s">
        <v>2166</v>
      </c>
      <c r="C16" s="34" t="s">
        <v>694</v>
      </c>
      <c r="D16" s="51" t="s">
        <v>390</v>
      </c>
      <c r="E16" s="61" t="str">
        <f>IFERROR(VLOOKUP(D16,'Master List'!D:H,2,FALSE),"NA")</f>
        <v>110202</v>
      </c>
      <c r="F16" s="62" t="str">
        <f>IFERROR(VLOOKUP(D16,'Master List'!D:H,3,FALSE),"NA")</f>
        <v>110202</v>
      </c>
      <c r="G16" s="58" t="str">
        <f>IFERROR(VLOOKUP(D16,'Master List'!D:H,4,FALSE),"NA")</f>
        <v>110202</v>
      </c>
      <c r="H16" s="39" t="str">
        <f>IFERROR(VLOOKUP(D16,'Master List'!D:H,5,FALSE),"NA")</f>
        <v>Computer Programming, Specific Applications.</v>
      </c>
      <c r="I16" s="19"/>
      <c r="J16" s="20"/>
      <c r="K16" s="20"/>
      <c r="L16" s="21"/>
    </row>
    <row r="17" spans="1:12" x14ac:dyDescent="0.3">
      <c r="A17" s="33">
        <v>22</v>
      </c>
      <c r="B17" s="33" t="s">
        <v>2166</v>
      </c>
      <c r="C17" s="34" t="s">
        <v>694</v>
      </c>
      <c r="D17" s="51" t="s">
        <v>421</v>
      </c>
      <c r="E17" s="61" t="str">
        <f>IFERROR(VLOOKUP(D17,'Master List'!D:H,2,FALSE),"NA")</f>
        <v>110801</v>
      </c>
      <c r="F17" s="62" t="str">
        <f>IFERROR(VLOOKUP(D17,'Master List'!D:H,3,FALSE),"NA")</f>
        <v>110801</v>
      </c>
      <c r="G17" s="58" t="str">
        <f>IFERROR(VLOOKUP(D17,'Master List'!D:H,4,FALSE),"NA")</f>
        <v>110801</v>
      </c>
      <c r="H17" s="39" t="str">
        <f>IFERROR(VLOOKUP(D17,'Master List'!D:H,5,FALSE),"NA")</f>
        <v>Web Page, Digital/Multimedia and Information Resources Design.</v>
      </c>
      <c r="I17" s="19"/>
      <c r="J17" s="20"/>
      <c r="K17" s="20"/>
      <c r="L17" s="21"/>
    </row>
    <row r="18" spans="1:12" x14ac:dyDescent="0.3">
      <c r="A18" s="33">
        <v>22</v>
      </c>
      <c r="B18" s="33" t="s">
        <v>2166</v>
      </c>
      <c r="C18" s="34" t="s">
        <v>694</v>
      </c>
      <c r="D18" s="51" t="s">
        <v>219</v>
      </c>
      <c r="E18" s="61" t="str">
        <f>IFERROR(VLOOKUP(D18,'Master List'!D:H,2,FALSE),"NA")</f>
        <v>111001</v>
      </c>
      <c r="F18" s="62" t="str">
        <f>IFERROR(VLOOKUP(D18,'Master List'!D:H,3,FALSE),"NA")</f>
        <v>111001</v>
      </c>
      <c r="G18" s="58" t="str">
        <f>IFERROR(VLOOKUP(D18,'Master List'!D:H,4,FALSE),"NA")</f>
        <v>111001</v>
      </c>
      <c r="H18" s="39" t="str">
        <f>IFERROR(VLOOKUP(D18,'Master List'!D:H,5,FALSE),"NA")</f>
        <v>Network and System Administration/Administrator.</v>
      </c>
      <c r="I18" s="19"/>
      <c r="J18" s="20"/>
      <c r="K18" s="20"/>
      <c r="L18" s="21"/>
    </row>
    <row r="19" spans="1:12" x14ac:dyDescent="0.3">
      <c r="A19" s="33">
        <v>22</v>
      </c>
      <c r="B19" s="33" t="s">
        <v>2166</v>
      </c>
      <c r="C19" s="34" t="s">
        <v>694</v>
      </c>
      <c r="D19" s="51" t="s">
        <v>541</v>
      </c>
      <c r="E19" s="61" t="str">
        <f>IFERROR(VLOOKUP(D19,'Master List'!D:H,2,FALSE),"NA")</f>
        <v>111001</v>
      </c>
      <c r="F19" s="62" t="str">
        <f>IFERROR(VLOOKUP(D19,'Master List'!D:H,3,FALSE),"NA")</f>
        <v>111001</v>
      </c>
      <c r="G19" s="58" t="str">
        <f>IFERROR(VLOOKUP(D19,'Master List'!D:H,4,FALSE),"NA")</f>
        <v>111001</v>
      </c>
      <c r="H19" s="39" t="str">
        <f>IFERROR(VLOOKUP(D19,'Master List'!D:H,5,FALSE),"NA")</f>
        <v>Network and System Administration/Administrator.</v>
      </c>
      <c r="I19" s="19"/>
      <c r="J19" s="20"/>
      <c r="K19" s="20"/>
      <c r="L19" s="21"/>
    </row>
    <row r="20" spans="1:12" x14ac:dyDescent="0.3">
      <c r="A20" s="33">
        <v>22</v>
      </c>
      <c r="B20" s="33" t="s">
        <v>2166</v>
      </c>
      <c r="C20" s="34" t="s">
        <v>694</v>
      </c>
      <c r="D20" s="51" t="s">
        <v>35</v>
      </c>
      <c r="E20" s="61" t="str">
        <f>IFERROR(VLOOKUP(D20,'Master List'!D:H,2,FALSE),"NA")</f>
        <v>111001</v>
      </c>
      <c r="F20" s="62" t="str">
        <f>IFERROR(VLOOKUP(D20,'Master List'!D:H,3,FALSE),"NA")</f>
        <v>111001</v>
      </c>
      <c r="G20" s="58" t="str">
        <f>IFERROR(VLOOKUP(D20,'Master List'!D:H,4,FALSE),"NA")</f>
        <v>111001</v>
      </c>
      <c r="H20" s="39" t="str">
        <f>IFERROR(VLOOKUP(D20,'Master List'!D:H,5,FALSE),"NA")</f>
        <v>Network and System Administration/Administrator.</v>
      </c>
      <c r="I20" s="19"/>
      <c r="J20" s="20"/>
      <c r="K20" s="20"/>
      <c r="L20" s="21"/>
    </row>
    <row r="21" spans="1:12" x14ac:dyDescent="0.3">
      <c r="A21" s="33">
        <v>22</v>
      </c>
      <c r="B21" s="33" t="s">
        <v>2166</v>
      </c>
      <c r="C21" s="34" t="s">
        <v>694</v>
      </c>
      <c r="D21" s="51" t="s">
        <v>221</v>
      </c>
      <c r="E21" s="61" t="str">
        <f>IFERROR(VLOOKUP(D21,'Master List'!D:H,2,FALSE),"NA")</f>
        <v>111001</v>
      </c>
      <c r="F21" s="62" t="str">
        <f>IFERROR(VLOOKUP(D21,'Master List'!D:H,3,FALSE),"NA")</f>
        <v>111001</v>
      </c>
      <c r="G21" s="58" t="str">
        <f>IFERROR(VLOOKUP(D21,'Master List'!D:H,4,FALSE),"NA")</f>
        <v>111001</v>
      </c>
      <c r="H21" s="39" t="str">
        <f>IFERROR(VLOOKUP(D21,'Master List'!D:H,5,FALSE),"NA")</f>
        <v>Network and System Administration/Administrator.</v>
      </c>
      <c r="I21" s="19"/>
      <c r="J21" s="20"/>
      <c r="K21" s="20"/>
      <c r="L21" s="21"/>
    </row>
    <row r="22" spans="1:12" x14ac:dyDescent="0.3">
      <c r="A22" s="33">
        <v>22</v>
      </c>
      <c r="B22" s="33" t="s">
        <v>2166</v>
      </c>
      <c r="C22" s="34" t="s">
        <v>694</v>
      </c>
      <c r="D22" s="51" t="s">
        <v>422</v>
      </c>
      <c r="E22" s="61" t="str">
        <f>IFERROR(VLOOKUP(D22,'Master List'!D:H,2,FALSE),"NA")</f>
        <v>510716</v>
      </c>
      <c r="F22" s="62" t="str">
        <f>IFERROR(VLOOKUP(D22,'Master List'!D:H,3,FALSE),"NA")</f>
        <v>510716</v>
      </c>
      <c r="G22" s="58">
        <f>IFERROR(VLOOKUP(D22,'Master List'!D:H,4,FALSE),"NA")</f>
        <v>510705</v>
      </c>
      <c r="H22" s="39" t="str">
        <f>IFERROR(VLOOKUP(D22,'Master List'!D:H,5,FALSE),"NA")</f>
        <v>Medical Office Management/Administration</v>
      </c>
      <c r="I22" s="19"/>
      <c r="J22" s="20"/>
      <c r="K22" s="20"/>
      <c r="L22" s="21"/>
    </row>
    <row r="23" spans="1:12" x14ac:dyDescent="0.3">
      <c r="A23" s="33">
        <v>22</v>
      </c>
      <c r="B23" s="33" t="s">
        <v>2166</v>
      </c>
      <c r="C23" s="34" t="s">
        <v>694</v>
      </c>
      <c r="D23" s="51" t="s">
        <v>153</v>
      </c>
      <c r="E23" s="61" t="str">
        <f>IFERROR(VLOOKUP(D23,'Master List'!D:H,2,FALSE),"NA")</f>
        <v>520201</v>
      </c>
      <c r="F23" s="62" t="str">
        <f>IFERROR(VLOOKUP(D23,'Master List'!D:H,3,FALSE),"NA")</f>
        <v>520201</v>
      </c>
      <c r="G23" s="58" t="str">
        <f>IFERROR(VLOOKUP(D23,'Master List'!D:H,4,FALSE),"NA")</f>
        <v>520201</v>
      </c>
      <c r="H23" s="39" t="str">
        <f>IFERROR(VLOOKUP(D23,'Master List'!D:H,5,FALSE),"NA")</f>
        <v>Business Administration and Management, General.</v>
      </c>
      <c r="I23" s="19"/>
      <c r="J23" s="20"/>
      <c r="K23" s="20"/>
      <c r="L23" s="21"/>
    </row>
    <row r="24" spans="1:12" x14ac:dyDescent="0.3">
      <c r="A24" s="33">
        <v>22</v>
      </c>
      <c r="B24" s="33" t="s">
        <v>2166</v>
      </c>
      <c r="C24" s="34" t="s">
        <v>694</v>
      </c>
      <c r="D24" s="51" t="s">
        <v>154</v>
      </c>
      <c r="E24" s="61" t="str">
        <f>IFERROR(VLOOKUP(D24,'Master List'!D:H,2,FALSE),"NA")</f>
        <v>520201</v>
      </c>
      <c r="F24" s="62" t="str">
        <f>IFERROR(VLOOKUP(D24,'Master List'!D:H,3,FALSE),"NA")</f>
        <v>520201</v>
      </c>
      <c r="G24" s="58" t="str">
        <f>IFERROR(VLOOKUP(D24,'Master List'!D:H,4,FALSE),"NA")</f>
        <v>520201</v>
      </c>
      <c r="H24" s="39" t="str">
        <f>IFERROR(VLOOKUP(D24,'Master List'!D:H,5,FALSE),"NA")</f>
        <v>Business Administration and Management, General.</v>
      </c>
      <c r="I24" s="19"/>
      <c r="J24" s="20"/>
      <c r="K24" s="20"/>
      <c r="L24" s="21"/>
    </row>
    <row r="25" spans="1:12" x14ac:dyDescent="0.3">
      <c r="A25" s="33">
        <v>22</v>
      </c>
      <c r="B25" s="33" t="s">
        <v>2166</v>
      </c>
      <c r="C25" s="34" t="s">
        <v>694</v>
      </c>
      <c r="D25" s="51" t="s">
        <v>507</v>
      </c>
      <c r="E25" s="61" t="str">
        <f>IFERROR(VLOOKUP(D25,'Master List'!D:H,2,FALSE),"NA")</f>
        <v>520201</v>
      </c>
      <c r="F25" s="62" t="str">
        <f>IFERROR(VLOOKUP(D25,'Master List'!D:H,3,FALSE),"NA")</f>
        <v>520201</v>
      </c>
      <c r="G25" s="58" t="str">
        <f>IFERROR(VLOOKUP(D25,'Master List'!D:H,4,FALSE),"NA")</f>
        <v>520201</v>
      </c>
      <c r="H25" s="39" t="str">
        <f>IFERROR(VLOOKUP(D25,'Master List'!D:H,5,FALSE),"NA")</f>
        <v>Business Administration and Management, General.</v>
      </c>
      <c r="I25" s="19"/>
      <c r="J25" s="20"/>
      <c r="K25" s="20"/>
      <c r="L25" s="21"/>
    </row>
    <row r="26" spans="1:12" x14ac:dyDescent="0.3">
      <c r="A26" s="33">
        <v>22</v>
      </c>
      <c r="B26" s="33" t="s">
        <v>2166</v>
      </c>
      <c r="C26" s="34" t="s">
        <v>694</v>
      </c>
      <c r="D26" s="51" t="s">
        <v>696</v>
      </c>
      <c r="E26" s="61" t="str">
        <f>IFERROR(VLOOKUP(D26,'Master List'!D:H,2,FALSE),"NA")</f>
        <v>520201</v>
      </c>
      <c r="F26" s="62" t="str">
        <f>IFERROR(VLOOKUP(D26,'Master List'!D:H,3,FALSE),"NA")</f>
        <v>520201</v>
      </c>
      <c r="G26" s="58" t="str">
        <f>IFERROR(VLOOKUP(D26,'Master List'!D:H,4,FALSE),"NA")</f>
        <v>520201</v>
      </c>
      <c r="H26" s="39" t="str">
        <f>IFERROR(VLOOKUP(D26,'Master List'!D:H,5,FALSE),"NA")</f>
        <v>Business Administration and Management, General.</v>
      </c>
      <c r="I26" s="19"/>
      <c r="J26" s="20"/>
      <c r="K26" s="20"/>
      <c r="L26" s="21"/>
    </row>
    <row r="27" spans="1:12" x14ac:dyDescent="0.3">
      <c r="A27" s="33">
        <v>22</v>
      </c>
      <c r="B27" s="33" t="s">
        <v>2166</v>
      </c>
      <c r="C27" s="34" t="s">
        <v>694</v>
      </c>
      <c r="D27" s="51" t="s">
        <v>697</v>
      </c>
      <c r="E27" s="61" t="str">
        <f>IFERROR(VLOOKUP(D27,'Master List'!D:H,2,FALSE),"NA")</f>
        <v>520201</v>
      </c>
      <c r="F27" s="62" t="str">
        <f>IFERROR(VLOOKUP(D27,'Master List'!D:H,3,FALSE),"NA")</f>
        <v>520201</v>
      </c>
      <c r="G27" s="58">
        <f>IFERROR(VLOOKUP(D27,'Master List'!D:H,4,FALSE),"NA")</f>
        <v>520215</v>
      </c>
      <c r="H27" s="39" t="str">
        <f>IFERROR(VLOOKUP(D27,'Master List'!D:H,5,FALSE),"NA")</f>
        <v>Risk Management</v>
      </c>
      <c r="I27" s="19"/>
      <c r="J27" s="20"/>
      <c r="K27" s="20"/>
      <c r="L27" s="21"/>
    </row>
    <row r="28" spans="1:12" x14ac:dyDescent="0.3">
      <c r="A28" s="33">
        <v>22</v>
      </c>
      <c r="B28" s="33" t="s">
        <v>2166</v>
      </c>
      <c r="C28" s="34" t="s">
        <v>694</v>
      </c>
      <c r="D28" s="51" t="s">
        <v>393</v>
      </c>
      <c r="E28" s="61" t="str">
        <f>IFERROR(VLOOKUP(D28,'Master List'!D:H,2,FALSE),"NA")</f>
        <v>520201</v>
      </c>
      <c r="F28" s="62" t="str">
        <f>IFERROR(VLOOKUP(D28,'Master List'!D:H,3,FALSE),"NA")</f>
        <v>520201</v>
      </c>
      <c r="G28" s="58">
        <f>IFERROR(VLOOKUP(D28,'Master List'!D:H,4,FALSE),"NA")</f>
        <v>520215</v>
      </c>
      <c r="H28" s="39" t="str">
        <f>IFERROR(VLOOKUP(D28,'Master List'!D:H,5,FALSE),"NA")</f>
        <v>Risk Management</v>
      </c>
      <c r="I28" s="19"/>
      <c r="J28" s="20"/>
      <c r="K28" s="20"/>
      <c r="L28" s="21"/>
    </row>
    <row r="29" spans="1:12" x14ac:dyDescent="0.3">
      <c r="A29" s="33">
        <v>22</v>
      </c>
      <c r="B29" s="33" t="s">
        <v>2166</v>
      </c>
      <c r="C29" s="34" t="s">
        <v>694</v>
      </c>
      <c r="D29" s="51" t="s">
        <v>37</v>
      </c>
      <c r="E29" s="61" t="str">
        <f>IFERROR(VLOOKUP(D29,'Master List'!D:H,2,FALSE),"NA")</f>
        <v>520204</v>
      </c>
      <c r="F29" s="62" t="str">
        <f>IFERROR(VLOOKUP(D29,'Master List'!D:H,3,FALSE),"NA")</f>
        <v>520204</v>
      </c>
      <c r="G29" s="58" t="str">
        <f>IFERROR(VLOOKUP(D29,'Master List'!D:H,4,FALSE),"NA")</f>
        <v>520204</v>
      </c>
      <c r="H29" s="39" t="str">
        <f>IFERROR(VLOOKUP(D29,'Master List'!D:H,5,FALSE),"NA")</f>
        <v>Office Management and Supervision.</v>
      </c>
      <c r="I29" s="19"/>
      <c r="J29" s="20"/>
      <c r="K29" s="20"/>
      <c r="L29" s="21"/>
    </row>
    <row r="30" spans="1:12" x14ac:dyDescent="0.3">
      <c r="A30" s="33">
        <v>22</v>
      </c>
      <c r="B30" s="33" t="s">
        <v>2166</v>
      </c>
      <c r="C30" s="34" t="s">
        <v>694</v>
      </c>
      <c r="D30" s="51" t="s">
        <v>226</v>
      </c>
      <c r="E30" s="61" t="str">
        <f>IFERROR(VLOOKUP(D30,'Master List'!D:H,2,FALSE),"NA")</f>
        <v>520204</v>
      </c>
      <c r="F30" s="62" t="str">
        <f>IFERROR(VLOOKUP(D30,'Master List'!D:H,3,FALSE),"NA")</f>
        <v>520204</v>
      </c>
      <c r="G30" s="58" t="str">
        <f>IFERROR(VLOOKUP(D30,'Master List'!D:H,4,FALSE),"NA")</f>
        <v>520204</v>
      </c>
      <c r="H30" s="39" t="str">
        <f>IFERROR(VLOOKUP(D30,'Master List'!D:H,5,FALSE),"NA")</f>
        <v>Office Management and Supervision.</v>
      </c>
      <c r="I30" s="19"/>
      <c r="J30" s="20"/>
      <c r="K30" s="20"/>
      <c r="L30" s="21"/>
    </row>
    <row r="31" spans="1:12" x14ac:dyDescent="0.3">
      <c r="A31" s="33">
        <v>22</v>
      </c>
      <c r="B31" s="33" t="s">
        <v>2166</v>
      </c>
      <c r="C31" s="34" t="s">
        <v>694</v>
      </c>
      <c r="D31" s="51" t="s">
        <v>227</v>
      </c>
      <c r="E31" s="61" t="str">
        <f>IFERROR(VLOOKUP(D31,'Master List'!D:H,2,FALSE),"NA")</f>
        <v>520302</v>
      </c>
      <c r="F31" s="62" t="str">
        <f>IFERROR(VLOOKUP(D31,'Master List'!D:H,3,FALSE),"NA")</f>
        <v>520302</v>
      </c>
      <c r="G31" s="58" t="str">
        <f>IFERROR(VLOOKUP(D31,'Master List'!D:H,4,FALSE),"NA")</f>
        <v>520302</v>
      </c>
      <c r="H31" s="39" t="str">
        <f>IFERROR(VLOOKUP(D31,'Master List'!D:H,5,FALSE),"NA")</f>
        <v>Accounting Technology/Technician and Bookkeeping.</v>
      </c>
      <c r="I31" s="19"/>
      <c r="J31" s="20"/>
      <c r="K31" s="20"/>
      <c r="L31" s="21"/>
    </row>
    <row r="32" spans="1:12" x14ac:dyDescent="0.3">
      <c r="A32" s="33">
        <v>22</v>
      </c>
      <c r="B32" s="33" t="s">
        <v>2166</v>
      </c>
      <c r="C32" s="34" t="s">
        <v>694</v>
      </c>
      <c r="D32" s="51" t="s">
        <v>228</v>
      </c>
      <c r="E32" s="61" t="str">
        <f>IFERROR(VLOOKUP(D32,'Master List'!D:H,2,FALSE),"NA")</f>
        <v>520302</v>
      </c>
      <c r="F32" s="62" t="str">
        <f>IFERROR(VLOOKUP(D32,'Master List'!D:H,3,FALSE),"NA")</f>
        <v>520302</v>
      </c>
      <c r="G32" s="58" t="str">
        <f>IFERROR(VLOOKUP(D32,'Master List'!D:H,4,FALSE),"NA")</f>
        <v>520302</v>
      </c>
      <c r="H32" s="39" t="str">
        <f>IFERROR(VLOOKUP(D32,'Master List'!D:H,5,FALSE),"NA")</f>
        <v>Accounting Technology/Technician and Bookkeeping.</v>
      </c>
      <c r="I32" s="19"/>
      <c r="J32" s="20"/>
      <c r="K32" s="20"/>
      <c r="L32" s="21"/>
    </row>
    <row r="33" spans="1:12" x14ac:dyDescent="0.3">
      <c r="A33" s="33">
        <v>22</v>
      </c>
      <c r="B33" s="33" t="s">
        <v>2166</v>
      </c>
      <c r="C33" s="34" t="s">
        <v>694</v>
      </c>
      <c r="D33" s="51" t="s">
        <v>40</v>
      </c>
      <c r="E33" s="61" t="str">
        <f>IFERROR(VLOOKUP(D33,'Master List'!D:H,2,FALSE),"NA")</f>
        <v>520302</v>
      </c>
      <c r="F33" s="62" t="str">
        <f>IFERROR(VLOOKUP(D33,'Master List'!D:H,3,FALSE),"NA")</f>
        <v>520302</v>
      </c>
      <c r="G33" s="58" t="str">
        <f>IFERROR(VLOOKUP(D33,'Master List'!D:H,4,FALSE),"NA")</f>
        <v>520302</v>
      </c>
      <c r="H33" s="39" t="str">
        <f>IFERROR(VLOOKUP(D33,'Master List'!D:H,5,FALSE),"NA")</f>
        <v>Accounting Technology/Technician and Bookkeeping.</v>
      </c>
      <c r="I33" s="19"/>
      <c r="J33" s="20"/>
      <c r="K33" s="20"/>
      <c r="L33" s="21"/>
    </row>
    <row r="34" spans="1:12" x14ac:dyDescent="0.3">
      <c r="A34" s="33">
        <v>22</v>
      </c>
      <c r="B34" s="33" t="s">
        <v>2166</v>
      </c>
      <c r="C34" s="34" t="s">
        <v>694</v>
      </c>
      <c r="D34" s="51" t="s">
        <v>229</v>
      </c>
      <c r="E34" s="61" t="str">
        <f>IFERROR(VLOOKUP(D34,'Master List'!D:H,2,FALSE),"NA")</f>
        <v>520407</v>
      </c>
      <c r="F34" s="62" t="str">
        <f>IFERROR(VLOOKUP(D34,'Master List'!D:H,3,FALSE),"NA")</f>
        <v>520407</v>
      </c>
      <c r="G34" s="58" t="str">
        <f>IFERROR(VLOOKUP(D34,'Master List'!D:H,4,FALSE),"NA")</f>
        <v>520407</v>
      </c>
      <c r="H34" s="39" t="str">
        <f>IFERROR(VLOOKUP(D34,'Master List'!D:H,5,FALSE),"NA")</f>
        <v>Business/Office Automation/Technology/Data Entry.</v>
      </c>
      <c r="I34" s="19"/>
      <c r="J34" s="20"/>
      <c r="K34" s="20"/>
      <c r="L34" s="21"/>
    </row>
    <row r="35" spans="1:12" x14ac:dyDescent="0.3">
      <c r="A35" s="33">
        <v>22</v>
      </c>
      <c r="B35" s="33" t="s">
        <v>2166</v>
      </c>
      <c r="C35" s="34" t="s">
        <v>694</v>
      </c>
      <c r="D35" s="51" t="s">
        <v>232</v>
      </c>
      <c r="E35" s="61" t="str">
        <f>IFERROR(VLOOKUP(D35,'Master List'!D:H,2,FALSE),"NA")</f>
        <v>520701</v>
      </c>
      <c r="F35" s="62" t="str">
        <f>IFERROR(VLOOKUP(D35,'Master List'!D:H,3,FALSE),"NA")</f>
        <v>520701</v>
      </c>
      <c r="G35" s="58" t="str">
        <f>IFERROR(VLOOKUP(D35,'Master List'!D:H,4,FALSE),"NA")</f>
        <v>520701</v>
      </c>
      <c r="H35" s="39" t="str">
        <f>IFERROR(VLOOKUP(D35,'Master List'!D:H,5,FALSE),"NA")</f>
        <v>Entrepreneurship/Entrepreneurial Studies.</v>
      </c>
      <c r="I35" s="19"/>
      <c r="J35" s="20"/>
      <c r="K35" s="20"/>
      <c r="L35" s="21"/>
    </row>
    <row r="36" spans="1:12" x14ac:dyDescent="0.3">
      <c r="A36" s="33">
        <v>22</v>
      </c>
      <c r="B36" s="33" t="s">
        <v>2166</v>
      </c>
      <c r="C36" s="34" t="s">
        <v>694</v>
      </c>
      <c r="D36" s="51" t="s">
        <v>246</v>
      </c>
      <c r="E36" s="61" t="str">
        <f>IFERROR(VLOOKUP(D36,'Master List'!D:H,2,FALSE),"NA")</f>
        <v>150000</v>
      </c>
      <c r="F36" s="62" t="str">
        <f>IFERROR(VLOOKUP(D36,'Master List'!D:H,3,FALSE),"NA")</f>
        <v>150000</v>
      </c>
      <c r="G36" s="58" t="str">
        <f>IFERROR(VLOOKUP(D36,'Master List'!D:H,4,FALSE),"NA")</f>
        <v>150000</v>
      </c>
      <c r="H36" s="39" t="str">
        <f>IFERROR(VLOOKUP(D36,'Master List'!D:H,5,FALSE),"NA")</f>
        <v>Engineering Technologies/Technicians, General.</v>
      </c>
      <c r="I36" s="19"/>
      <c r="J36" s="20"/>
      <c r="K36" s="20"/>
      <c r="L36" s="21"/>
    </row>
    <row r="37" spans="1:12" x14ac:dyDescent="0.3">
      <c r="A37" s="33">
        <v>22</v>
      </c>
      <c r="B37" s="33" t="s">
        <v>2166</v>
      </c>
      <c r="C37" s="34" t="s">
        <v>694</v>
      </c>
      <c r="D37" s="51" t="s">
        <v>561</v>
      </c>
      <c r="E37" s="61" t="str">
        <f>IFERROR(VLOOKUP(D37,'Master List'!D:H,2,FALSE),"NA")</f>
        <v>150405</v>
      </c>
      <c r="F37" s="62" t="str">
        <f>IFERROR(VLOOKUP(D37,'Master List'!D:H,3,FALSE),"NA")</f>
        <v>150405</v>
      </c>
      <c r="G37" s="58" t="str">
        <f>IFERROR(VLOOKUP(D37,'Master List'!D:H,4,FALSE),"NA")</f>
        <v>150405</v>
      </c>
      <c r="H37" s="39" t="str">
        <f>IFERROR(VLOOKUP(D37,'Master List'!D:H,5,FALSE),"NA")</f>
        <v>Robotics Technology/Technician.</v>
      </c>
      <c r="I37" s="19"/>
      <c r="J37" s="20"/>
      <c r="K37" s="20"/>
      <c r="L37" s="21"/>
    </row>
    <row r="38" spans="1:12" x14ac:dyDescent="0.3">
      <c r="A38" s="33">
        <v>22</v>
      </c>
      <c r="B38" s="33" t="s">
        <v>2166</v>
      </c>
      <c r="C38" s="34" t="s">
        <v>694</v>
      </c>
      <c r="D38" s="51" t="s">
        <v>307</v>
      </c>
      <c r="E38" s="61" t="str">
        <f>IFERROR(VLOOKUP(D38,'Master List'!D:H,2,FALSE),"NA")</f>
        <v>500502</v>
      </c>
      <c r="F38" s="62" t="str">
        <f>IFERROR(VLOOKUP(D38,'Master List'!D:H,3,FALSE),"NA")</f>
        <v>500502</v>
      </c>
      <c r="G38" s="58" t="str">
        <f>IFERROR(VLOOKUP(D38,'Master List'!D:H,4,FALSE),"NA")</f>
        <v>500502</v>
      </c>
      <c r="H38" s="39" t="str">
        <f>IFERROR(VLOOKUP(D38,'Master List'!D:H,5,FALSE),"NA")</f>
        <v>Technical Theatre/Theatre Design and Technology.</v>
      </c>
      <c r="I38" s="19"/>
      <c r="J38" s="20"/>
      <c r="K38" s="20"/>
      <c r="L38" s="21"/>
    </row>
    <row r="39" spans="1:12" x14ac:dyDescent="0.3">
      <c r="A39" s="33">
        <v>22</v>
      </c>
      <c r="B39" s="33" t="s">
        <v>2166</v>
      </c>
      <c r="C39" s="34" t="s">
        <v>694</v>
      </c>
      <c r="D39" s="51" t="s">
        <v>65</v>
      </c>
      <c r="E39" s="61" t="str">
        <f>IFERROR(VLOOKUP(D39,'Master List'!D:H,2,FALSE),"NA")</f>
        <v>520209</v>
      </c>
      <c r="F39" s="62" t="str">
        <f>IFERROR(VLOOKUP(D39,'Master List'!D:H,3,FALSE),"NA")</f>
        <v>520209</v>
      </c>
      <c r="G39" s="58" t="str">
        <f>IFERROR(VLOOKUP(D39,'Master List'!D:H,4,FALSE),"NA")</f>
        <v>520209</v>
      </c>
      <c r="H39" s="39" t="str">
        <f>IFERROR(VLOOKUP(D39,'Master List'!D:H,5,FALSE),"NA")</f>
        <v>Transportation/Mobility Management.</v>
      </c>
      <c r="I39" s="19"/>
      <c r="J39" s="20"/>
      <c r="K39" s="20"/>
      <c r="L39" s="21"/>
    </row>
    <row r="40" spans="1:12" x14ac:dyDescent="0.3">
      <c r="A40" s="33">
        <v>22</v>
      </c>
      <c r="B40" s="33" t="s">
        <v>2166</v>
      </c>
      <c r="C40" s="34" t="s">
        <v>694</v>
      </c>
      <c r="D40" s="51" t="s">
        <v>68</v>
      </c>
      <c r="E40" s="61" t="str">
        <f>IFERROR(VLOOKUP(D40,'Master List'!D:H,2,FALSE),"NA")</f>
        <v>430102</v>
      </c>
      <c r="F40" s="62" t="str">
        <f>IFERROR(VLOOKUP(D40,'Master List'!D:H,3,FALSE),"NA")</f>
        <v>430102</v>
      </c>
      <c r="G40" s="58" t="str">
        <f>IFERROR(VLOOKUP(D40,'Master List'!D:H,4,FALSE),"NA")</f>
        <v>430102</v>
      </c>
      <c r="H40" s="39" t="str">
        <f>IFERROR(VLOOKUP(D40,'Master List'!D:H,5,FALSE),"NA")</f>
        <v>Corrections.</v>
      </c>
      <c r="I40" s="19"/>
      <c r="J40" s="20"/>
      <c r="K40" s="20"/>
      <c r="L40" s="21"/>
    </row>
    <row r="41" spans="1:12" x14ac:dyDescent="0.3">
      <c r="A41" s="33">
        <v>22</v>
      </c>
      <c r="B41" s="33" t="s">
        <v>2166</v>
      </c>
      <c r="C41" s="34" t="s">
        <v>694</v>
      </c>
      <c r="D41" s="51" t="s">
        <v>484</v>
      </c>
      <c r="E41" s="61" t="str">
        <f>IFERROR(VLOOKUP(D41,'Master List'!D:H,2,FALSE),"NA")</f>
        <v>430102</v>
      </c>
      <c r="F41" s="62" t="str">
        <f>IFERROR(VLOOKUP(D41,'Master List'!D:H,3,FALSE),"NA")</f>
        <v>430102</v>
      </c>
      <c r="G41" s="58" t="str">
        <f>IFERROR(VLOOKUP(D41,'Master List'!D:H,4,FALSE),"NA")</f>
        <v>430102</v>
      </c>
      <c r="H41" s="39" t="str">
        <f>IFERROR(VLOOKUP(D41,'Master List'!D:H,5,FALSE),"NA")</f>
        <v>Corrections.</v>
      </c>
      <c r="I41" s="19"/>
      <c r="J41" s="20"/>
      <c r="K41" s="20"/>
      <c r="L41" s="21"/>
    </row>
    <row r="42" spans="1:12" x14ac:dyDescent="0.3">
      <c r="A42" s="33">
        <v>22</v>
      </c>
      <c r="B42" s="33" t="s">
        <v>2166</v>
      </c>
      <c r="C42" s="34" t="s">
        <v>694</v>
      </c>
      <c r="D42" s="51" t="s">
        <v>316</v>
      </c>
      <c r="E42" s="61" t="str">
        <f>IFERROR(VLOOKUP(D42,'Master List'!D:H,2,FALSE),"NA")</f>
        <v>430103</v>
      </c>
      <c r="F42" s="62" t="str">
        <f>IFERROR(VLOOKUP(D42,'Master List'!D:H,3,FALSE),"NA")</f>
        <v>430103</v>
      </c>
      <c r="G42" s="58" t="str">
        <f>IFERROR(VLOOKUP(D42,'Master List'!D:H,4,FALSE),"NA")</f>
        <v>430103</v>
      </c>
      <c r="H42" s="39" t="str">
        <f>IFERROR(VLOOKUP(D42,'Master List'!D:H,5,FALSE),"NA")</f>
        <v>Criminal Justice/Law Enforcement Administration.</v>
      </c>
      <c r="I42" s="19"/>
      <c r="J42" s="20"/>
      <c r="K42" s="20"/>
      <c r="L42" s="21"/>
    </row>
    <row r="43" spans="1:12" x14ac:dyDescent="0.3">
      <c r="A43" s="33">
        <v>22</v>
      </c>
      <c r="B43" s="33" t="s">
        <v>2166</v>
      </c>
      <c r="C43" s="34" t="s">
        <v>694</v>
      </c>
      <c r="D43" s="51" t="s">
        <v>71</v>
      </c>
      <c r="E43" s="61" t="str">
        <f>IFERROR(VLOOKUP(D43,'Master List'!D:H,2,FALSE),"NA")</f>
        <v>430107</v>
      </c>
      <c r="F43" s="62" t="str">
        <f>IFERROR(VLOOKUP(D43,'Master List'!D:H,3,FALSE),"NA")</f>
        <v>430107</v>
      </c>
      <c r="G43" s="58" t="str">
        <f>IFERROR(VLOOKUP(D43,'Master List'!D:H,4,FALSE),"NA")</f>
        <v>430107</v>
      </c>
      <c r="H43" s="39" t="str">
        <f>IFERROR(VLOOKUP(D43,'Master List'!D:H,5,FALSE),"NA")</f>
        <v>Criminal Justice/Police Science.</v>
      </c>
      <c r="I43" s="19"/>
      <c r="J43" s="20"/>
      <c r="K43" s="20"/>
      <c r="L43" s="21"/>
    </row>
    <row r="44" spans="1:12" x14ac:dyDescent="0.3">
      <c r="A44" s="33">
        <v>22</v>
      </c>
      <c r="B44" s="33" t="s">
        <v>2166</v>
      </c>
      <c r="C44" s="34" t="s">
        <v>694</v>
      </c>
      <c r="D44" s="51" t="s">
        <v>74</v>
      </c>
      <c r="E44" s="61" t="str">
        <f>IFERROR(VLOOKUP(D44,'Master List'!D:H,2,FALSE),"NA")</f>
        <v>430107</v>
      </c>
      <c r="F44" s="62" t="str">
        <f>IFERROR(VLOOKUP(D44,'Master List'!D:H,3,FALSE),"NA")</f>
        <v>430107</v>
      </c>
      <c r="G44" s="58" t="str">
        <f>IFERROR(VLOOKUP(D44,'Master List'!D:H,4,FALSE),"NA")</f>
        <v>430107</v>
      </c>
      <c r="H44" s="39" t="str">
        <f>IFERROR(VLOOKUP(D44,'Master List'!D:H,5,FALSE),"NA")</f>
        <v>Criminal Justice/Police Science.</v>
      </c>
      <c r="I44" s="19"/>
      <c r="J44" s="20"/>
      <c r="K44" s="20"/>
      <c r="L44" s="21"/>
    </row>
    <row r="45" spans="1:12" x14ac:dyDescent="0.3">
      <c r="A45" s="33">
        <v>22</v>
      </c>
      <c r="B45" s="33" t="s">
        <v>2166</v>
      </c>
      <c r="C45" s="34" t="s">
        <v>694</v>
      </c>
      <c r="D45" s="51" t="s">
        <v>596</v>
      </c>
      <c r="E45" s="61" t="str">
        <f>IFERROR(VLOOKUP(D45,'Master List'!D:H,2,FALSE),"NA")</f>
        <v>430107</v>
      </c>
      <c r="F45" s="62" t="str">
        <f>IFERROR(VLOOKUP(D45,'Master List'!D:H,3,FALSE),"NA")</f>
        <v>430107</v>
      </c>
      <c r="G45" s="58" t="str">
        <f>IFERROR(VLOOKUP(D45,'Master List'!D:H,4,FALSE),"NA")</f>
        <v>430107</v>
      </c>
      <c r="H45" s="39" t="str">
        <f>IFERROR(VLOOKUP(D45,'Master List'!D:H,5,FALSE),"NA")</f>
        <v>Criminal Justice/Police Science.</v>
      </c>
      <c r="I45" s="19"/>
      <c r="J45" s="20"/>
      <c r="K45" s="20"/>
      <c r="L45" s="21"/>
    </row>
    <row r="46" spans="1:12" x14ac:dyDescent="0.3">
      <c r="A46" s="33">
        <v>22</v>
      </c>
      <c r="B46" s="33" t="s">
        <v>2166</v>
      </c>
      <c r="C46" s="34" t="s">
        <v>694</v>
      </c>
      <c r="D46" s="51" t="s">
        <v>612</v>
      </c>
      <c r="E46" s="61" t="str">
        <f>IFERROR(VLOOKUP(D46,'Master List'!D:H,2,FALSE),"NA")</f>
        <v>510701</v>
      </c>
      <c r="F46" s="62" t="str">
        <f>IFERROR(VLOOKUP(D46,'Master List'!D:H,3,FALSE),"NA")</f>
        <v>510701</v>
      </c>
      <c r="G46" s="58" t="str">
        <f>IFERROR(VLOOKUP(D46,'Master List'!D:H,4,FALSE),"NA")</f>
        <v>510701</v>
      </c>
      <c r="H46" s="39" t="str">
        <f>IFERROR(VLOOKUP(D46,'Master List'!D:H,5,FALSE),"NA")</f>
        <v>Health/Health Care Administration/Management.</v>
      </c>
      <c r="I46" s="19"/>
      <c r="J46" s="20"/>
      <c r="K46" s="20"/>
      <c r="L46" s="21"/>
    </row>
    <row r="47" spans="1:12" x14ac:dyDescent="0.3">
      <c r="A47" s="33">
        <v>22</v>
      </c>
      <c r="B47" s="33" t="s">
        <v>2166</v>
      </c>
      <c r="C47" s="34" t="s">
        <v>694</v>
      </c>
      <c r="D47" s="51" t="s">
        <v>325</v>
      </c>
      <c r="E47" s="61" t="str">
        <f>IFERROR(VLOOKUP(D47,'Master List'!D:H,2,FALSE),"NA")</f>
        <v>510707</v>
      </c>
      <c r="F47" s="62" t="str">
        <f>IFERROR(VLOOKUP(D47,'Master List'!D:H,3,FALSE),"NA")</f>
        <v>510707</v>
      </c>
      <c r="G47" s="58" t="str">
        <f>IFERROR(VLOOKUP(D47,'Master List'!D:H,4,FALSE),"NA")</f>
        <v>510707</v>
      </c>
      <c r="H47" s="39" t="str">
        <f>IFERROR(VLOOKUP(D47,'Master List'!D:H,5,FALSE),"NA")</f>
        <v>Health Information/Medical Records Technology/Technician.</v>
      </c>
      <c r="I47" s="19"/>
      <c r="J47" s="20"/>
      <c r="K47" s="20"/>
      <c r="L47" s="21"/>
    </row>
    <row r="48" spans="1:12" x14ac:dyDescent="0.3">
      <c r="A48" s="33">
        <v>22</v>
      </c>
      <c r="B48" s="33" t="s">
        <v>2166</v>
      </c>
      <c r="C48" s="34" t="s">
        <v>694</v>
      </c>
      <c r="D48" s="51" t="s">
        <v>90</v>
      </c>
      <c r="E48" s="61" t="str">
        <f>IFERROR(VLOOKUP(D48,'Master List'!D:H,2,FALSE),"NA")</f>
        <v>510904</v>
      </c>
      <c r="F48" s="62" t="str">
        <f>IFERROR(VLOOKUP(D48,'Master List'!D:H,3,FALSE),"NA")</f>
        <v>510904</v>
      </c>
      <c r="G48" s="58" t="str">
        <f>IFERROR(VLOOKUP(D48,'Master List'!D:H,4,FALSE),"NA")</f>
        <v>510904</v>
      </c>
      <c r="H48" s="39" t="str">
        <f>IFERROR(VLOOKUP(D48,'Master List'!D:H,5,FALSE),"NA")</f>
        <v>Emergency Medical Technology/Technician (EMT Paramedic).</v>
      </c>
      <c r="I48" s="19"/>
      <c r="J48" s="20"/>
      <c r="K48" s="20"/>
      <c r="L48" s="21"/>
    </row>
    <row r="49" spans="1:12" x14ac:dyDescent="0.3">
      <c r="A49" s="33">
        <v>22</v>
      </c>
      <c r="B49" s="33" t="s">
        <v>2166</v>
      </c>
      <c r="C49" s="34" t="s">
        <v>694</v>
      </c>
      <c r="D49" s="51" t="s">
        <v>91</v>
      </c>
      <c r="E49" s="61" t="str">
        <f>IFERROR(VLOOKUP(D49,'Master List'!D:H,2,FALSE),"NA")</f>
        <v>510907</v>
      </c>
      <c r="F49" s="62" t="str">
        <f>IFERROR(VLOOKUP(D49,'Master List'!D:H,3,FALSE),"NA")</f>
        <v>510907</v>
      </c>
      <c r="G49" s="58">
        <f>IFERROR(VLOOKUP(D49,'Master List'!D:H,4,FALSE),"NA")</f>
        <v>510911</v>
      </c>
      <c r="H49" s="39" t="str">
        <f>IFERROR(VLOOKUP(D49,'Master List'!D:H,5,FALSE),"NA")</f>
        <v>Radiologic Technology/Science - Radiographer</v>
      </c>
      <c r="I49" s="19"/>
      <c r="J49" s="20"/>
      <c r="K49" s="20"/>
      <c r="L49" s="21"/>
    </row>
    <row r="50" spans="1:12" x14ac:dyDescent="0.3">
      <c r="A50" s="33">
        <v>22</v>
      </c>
      <c r="B50" s="33" t="s">
        <v>2166</v>
      </c>
      <c r="C50" s="34" t="s">
        <v>694</v>
      </c>
      <c r="D50" s="51" t="s">
        <v>94</v>
      </c>
      <c r="E50" s="61" t="str">
        <f>IFERROR(VLOOKUP(D50,'Master List'!D:H,2,FALSE),"NA")</f>
        <v>510908</v>
      </c>
      <c r="F50" s="62" t="str">
        <f>IFERROR(VLOOKUP(D50,'Master List'!D:H,3,FALSE),"NA")</f>
        <v>510908</v>
      </c>
      <c r="G50" s="58" t="str">
        <f>IFERROR(VLOOKUP(D50,'Master List'!D:H,4,FALSE),"NA")</f>
        <v>510908</v>
      </c>
      <c r="H50" s="39" t="str">
        <f>IFERROR(VLOOKUP(D50,'Master List'!D:H,5,FALSE),"NA")</f>
        <v>Respiratory Care Therapy/Therapist.</v>
      </c>
      <c r="I50" s="19"/>
      <c r="J50" s="20"/>
      <c r="K50" s="20"/>
      <c r="L50" s="21"/>
    </row>
    <row r="51" spans="1:12" x14ac:dyDescent="0.3">
      <c r="A51" s="33">
        <v>22</v>
      </c>
      <c r="B51" s="33" t="s">
        <v>2166</v>
      </c>
      <c r="C51" s="34" t="s">
        <v>694</v>
      </c>
      <c r="D51" s="51" t="s">
        <v>101</v>
      </c>
      <c r="E51" s="61" t="str">
        <f>IFERROR(VLOOKUP(D51,'Master List'!D:H,2,FALSE),"NA")</f>
        <v>513801</v>
      </c>
      <c r="F51" s="62" t="str">
        <f>IFERROR(VLOOKUP(D51,'Master List'!D:H,3,FALSE),"NA")</f>
        <v>513801</v>
      </c>
      <c r="G51" s="58" t="str">
        <f>IFERROR(VLOOKUP(D51,'Master List'!D:H,4,FALSE),"NA")</f>
        <v>513801</v>
      </c>
      <c r="H51" s="39" t="str">
        <f>IFERROR(VLOOKUP(D51,'Master List'!D:H,5,FALSE),"NA")</f>
        <v>Registered Nursing/Registered Nurse.</v>
      </c>
      <c r="I51" s="19"/>
      <c r="J51" s="20"/>
      <c r="K51" s="20"/>
      <c r="L51" s="21"/>
    </row>
    <row r="52" spans="1:12" x14ac:dyDescent="0.3">
      <c r="A52" s="33">
        <v>22</v>
      </c>
      <c r="B52" s="33" t="s">
        <v>2166</v>
      </c>
      <c r="C52" s="34" t="s">
        <v>694</v>
      </c>
      <c r="D52" s="51" t="s">
        <v>167</v>
      </c>
      <c r="E52" s="61" t="str">
        <f>IFERROR(VLOOKUP(D52,'Master List'!D:H,2,FALSE),"NA")</f>
        <v>110103</v>
      </c>
      <c r="F52" s="62" t="str">
        <f>IFERROR(VLOOKUP(D52,'Master List'!D:H,3,FALSE),"NA")</f>
        <v>110103</v>
      </c>
      <c r="G52" s="58" t="str">
        <f>IFERROR(VLOOKUP(D52,'Master List'!D:H,4,FALSE),"NA")</f>
        <v>110103</v>
      </c>
      <c r="H52" s="39" t="str">
        <f>IFERROR(VLOOKUP(D52,'Master List'!D:H,5,FALSE),"NA")</f>
        <v>Information Technology.</v>
      </c>
      <c r="I52" s="19"/>
      <c r="J52" s="20"/>
      <c r="K52" s="20"/>
      <c r="L52" s="21"/>
    </row>
    <row r="53" spans="1:12" x14ac:dyDescent="0.3">
      <c r="A53" s="33">
        <v>22</v>
      </c>
      <c r="B53" s="33" t="s">
        <v>2166</v>
      </c>
      <c r="C53" s="34" t="s">
        <v>694</v>
      </c>
      <c r="D53" s="51" t="s">
        <v>170</v>
      </c>
      <c r="E53" s="61" t="str">
        <f>IFERROR(VLOOKUP(D53,'Master List'!D:H,2,FALSE),"NA")</f>
        <v>110201</v>
      </c>
      <c r="F53" s="62" t="str">
        <f>IFERROR(VLOOKUP(D53,'Master List'!D:H,3,FALSE),"NA")</f>
        <v>110201</v>
      </c>
      <c r="G53" s="58" t="str">
        <f>IFERROR(VLOOKUP(D53,'Master List'!D:H,4,FALSE),"NA")</f>
        <v>110201</v>
      </c>
      <c r="H53" s="39" t="str">
        <f>IFERROR(VLOOKUP(D53,'Master List'!D:H,5,FALSE),"NA")</f>
        <v>Computer Programming/Programmer, General.</v>
      </c>
      <c r="I53" s="19"/>
      <c r="J53" s="20"/>
      <c r="K53" s="20"/>
      <c r="L53" s="21"/>
    </row>
    <row r="54" spans="1:12" x14ac:dyDescent="0.3">
      <c r="A54" s="33">
        <v>22</v>
      </c>
      <c r="B54" s="33" t="s">
        <v>2166</v>
      </c>
      <c r="C54" s="34" t="s">
        <v>694</v>
      </c>
      <c r="D54" s="51" t="s">
        <v>404</v>
      </c>
      <c r="E54" s="61" t="str">
        <f>IFERROR(VLOOKUP(D54,'Master List'!D:H,2,FALSE),"NA")</f>
        <v>110801</v>
      </c>
      <c r="F54" s="62" t="str">
        <f>IFERROR(VLOOKUP(D54,'Master List'!D:H,3,FALSE),"NA")</f>
        <v>110801</v>
      </c>
      <c r="G54" s="58" t="str">
        <f>IFERROR(VLOOKUP(D54,'Master List'!D:H,4,FALSE),"NA")</f>
        <v>110801</v>
      </c>
      <c r="H54" s="39" t="str">
        <f>IFERROR(VLOOKUP(D54,'Master List'!D:H,5,FALSE),"NA")</f>
        <v>Web Page, Digital/Multimedia and Information Resources Design.</v>
      </c>
      <c r="I54" s="19"/>
      <c r="J54" s="20"/>
      <c r="K54" s="20"/>
      <c r="L54" s="21"/>
    </row>
    <row r="55" spans="1:12" x14ac:dyDescent="0.3">
      <c r="A55" s="33">
        <v>22</v>
      </c>
      <c r="B55" s="33" t="s">
        <v>2166</v>
      </c>
      <c r="C55" s="34" t="s">
        <v>694</v>
      </c>
      <c r="D55" s="51" t="s">
        <v>686</v>
      </c>
      <c r="E55" s="61" t="str">
        <f>IFERROR(VLOOKUP(D55,'Master List'!D:H,2,FALSE),"NA")</f>
        <v>110801</v>
      </c>
      <c r="F55" s="62" t="str">
        <f>IFERROR(VLOOKUP(D55,'Master List'!D:H,3,FALSE),"NA")</f>
        <v>110801</v>
      </c>
      <c r="G55" s="58">
        <f>IFERROR(VLOOKUP(D55,'Master List'!D:H,4,FALSE),"NA")</f>
        <v>111004</v>
      </c>
      <c r="H55" s="39" t="str">
        <f>IFERROR(VLOOKUP(D55,'Master List'!D:H,5,FALSE),"NA")</f>
        <v xml:space="preserve">Web/Multimedia Management and Webmaster. </v>
      </c>
      <c r="I55" s="19"/>
      <c r="J55" s="20"/>
      <c r="K55" s="20"/>
      <c r="L55" s="21"/>
    </row>
    <row r="56" spans="1:12" x14ac:dyDescent="0.3">
      <c r="A56" s="33">
        <v>22</v>
      </c>
      <c r="B56" s="33" t="s">
        <v>2166</v>
      </c>
      <c r="C56" s="34" t="s">
        <v>694</v>
      </c>
      <c r="D56" s="51" t="s">
        <v>106</v>
      </c>
      <c r="E56" s="61" t="str">
        <f>IFERROR(VLOOKUP(D56,'Master List'!D:H,2,FALSE),"NA")</f>
        <v>111001</v>
      </c>
      <c r="F56" s="62" t="str">
        <f>IFERROR(VLOOKUP(D56,'Master List'!D:H,3,FALSE),"NA")</f>
        <v>111001</v>
      </c>
      <c r="G56" s="58" t="str">
        <f>IFERROR(VLOOKUP(D56,'Master List'!D:H,4,FALSE),"NA")</f>
        <v>111001</v>
      </c>
      <c r="H56" s="39" t="str">
        <f>IFERROR(VLOOKUP(D56,'Master List'!D:H,5,FALSE),"NA")</f>
        <v>Network and System Administration/Administrator.</v>
      </c>
      <c r="I56" s="19"/>
      <c r="J56" s="20"/>
      <c r="K56" s="20"/>
      <c r="L56" s="21"/>
    </row>
    <row r="57" spans="1:12" x14ac:dyDescent="0.3">
      <c r="A57" s="33">
        <v>22</v>
      </c>
      <c r="B57" s="33" t="s">
        <v>2166</v>
      </c>
      <c r="C57" s="34" t="s">
        <v>694</v>
      </c>
      <c r="D57" s="51" t="s">
        <v>107</v>
      </c>
      <c r="E57" s="61" t="str">
        <f>IFERROR(VLOOKUP(D57,'Master List'!D:H,2,FALSE),"NA")</f>
        <v>520201</v>
      </c>
      <c r="F57" s="62" t="str">
        <f>IFERROR(VLOOKUP(D57,'Master List'!D:H,3,FALSE),"NA")</f>
        <v>520201</v>
      </c>
      <c r="G57" s="58" t="str">
        <f>IFERROR(VLOOKUP(D57,'Master List'!D:H,4,FALSE),"NA")</f>
        <v>520201</v>
      </c>
      <c r="H57" s="39" t="str">
        <f>IFERROR(VLOOKUP(D57,'Master List'!D:H,5,FALSE),"NA")</f>
        <v>Business Administration and Management, General.</v>
      </c>
      <c r="I57" s="19"/>
      <c r="J57" s="20"/>
      <c r="K57" s="20"/>
      <c r="L57" s="21"/>
    </row>
    <row r="58" spans="1:12" x14ac:dyDescent="0.3">
      <c r="A58" s="33">
        <v>22</v>
      </c>
      <c r="B58" s="33" t="s">
        <v>2166</v>
      </c>
      <c r="C58" s="34" t="s">
        <v>694</v>
      </c>
      <c r="D58" s="51" t="s">
        <v>598</v>
      </c>
      <c r="E58" s="61" t="str">
        <f>IFERROR(VLOOKUP(D58,'Master List'!D:H,2,FALSE),"NA")</f>
        <v>NA</v>
      </c>
      <c r="F58" s="62" t="str">
        <f>IFERROR(VLOOKUP(D58,'Master List'!D:H,3,FALSE),"NA")</f>
        <v>NA</v>
      </c>
      <c r="G58" s="58" t="str">
        <f>IFERROR(VLOOKUP(D58,'Master List'!D:H,4,FALSE),"NA")</f>
        <v>NA</v>
      </c>
      <c r="H58" s="39" t="str">
        <f>IFERROR(VLOOKUP(D58,'Master List'!D:H,5,FALSE),"NA")</f>
        <v>NA</v>
      </c>
      <c r="I58" s="19"/>
      <c r="J58" s="20"/>
      <c r="K58" s="20"/>
      <c r="L58" s="21"/>
    </row>
    <row r="59" spans="1:12" x14ac:dyDescent="0.3">
      <c r="A59" s="33">
        <v>22</v>
      </c>
      <c r="B59" s="33" t="s">
        <v>2166</v>
      </c>
      <c r="C59" s="34" t="s">
        <v>694</v>
      </c>
      <c r="D59" s="51" t="s">
        <v>351</v>
      </c>
      <c r="E59" s="61" t="str">
        <f>IFERROR(VLOOKUP(D59,'Master List'!D:H,2,FALSE),"NA")</f>
        <v>520204</v>
      </c>
      <c r="F59" s="62" t="str">
        <f>IFERROR(VLOOKUP(D59,'Master List'!D:H,3,FALSE),"NA")</f>
        <v>520204</v>
      </c>
      <c r="G59" s="58" t="str">
        <f>IFERROR(VLOOKUP(D59,'Master List'!D:H,4,FALSE),"NA")</f>
        <v>520204</v>
      </c>
      <c r="H59" s="39" t="str">
        <f>IFERROR(VLOOKUP(D59,'Master List'!D:H,5,FALSE),"NA")</f>
        <v>Office Management and Supervision.</v>
      </c>
      <c r="I59" s="19"/>
      <c r="J59" s="20"/>
      <c r="K59" s="20"/>
      <c r="L59" s="21"/>
    </row>
    <row r="60" spans="1:12" x14ac:dyDescent="0.3">
      <c r="A60" s="33">
        <v>22</v>
      </c>
      <c r="B60" s="33" t="s">
        <v>2166</v>
      </c>
      <c r="C60" s="34" t="s">
        <v>694</v>
      </c>
      <c r="D60" s="51" t="s">
        <v>528</v>
      </c>
      <c r="E60" s="61" t="str">
        <f>IFERROR(VLOOKUP(D60,'Master List'!D:H,2,FALSE),"NA")</f>
        <v>520204</v>
      </c>
      <c r="F60" s="62" t="str">
        <f>IFERROR(VLOOKUP(D60,'Master List'!D:H,3,FALSE),"NA")</f>
        <v>520204</v>
      </c>
      <c r="G60" s="58">
        <f>IFERROR(VLOOKUP(D60,'Master List'!D:H,4,FALSE),"NA")</f>
        <v>510705</v>
      </c>
      <c r="H60" s="39" t="str">
        <f>IFERROR(VLOOKUP(D60,'Master List'!D:H,5,FALSE),"NA")</f>
        <v>Medical Office Management/Administration</v>
      </c>
      <c r="I60" s="19"/>
      <c r="J60" s="20"/>
      <c r="K60" s="20"/>
      <c r="L60" s="21"/>
    </row>
    <row r="61" spans="1:12" x14ac:dyDescent="0.3">
      <c r="A61" s="33">
        <v>22</v>
      </c>
      <c r="B61" s="33" t="s">
        <v>2166</v>
      </c>
      <c r="C61" s="34" t="s">
        <v>694</v>
      </c>
      <c r="D61" s="51" t="s">
        <v>110</v>
      </c>
      <c r="E61" s="61" t="str">
        <f>IFERROR(VLOOKUP(D61,'Master List'!D:H,2,FALSE),"NA")</f>
        <v>520302</v>
      </c>
      <c r="F61" s="62" t="str">
        <f>IFERROR(VLOOKUP(D61,'Master List'!D:H,3,FALSE),"NA")</f>
        <v>520302</v>
      </c>
      <c r="G61" s="58" t="str">
        <f>IFERROR(VLOOKUP(D61,'Master List'!D:H,4,FALSE),"NA")</f>
        <v>520302</v>
      </c>
      <c r="H61" s="39" t="str">
        <f>IFERROR(VLOOKUP(D61,'Master List'!D:H,5,FALSE),"NA")</f>
        <v>Accounting Technology/Technician and Bookkeeping.</v>
      </c>
      <c r="I61" s="19"/>
      <c r="J61" s="20"/>
      <c r="K61" s="20"/>
      <c r="L61" s="21"/>
    </row>
    <row r="62" spans="1:12" x14ac:dyDescent="0.3">
      <c r="A62" s="33">
        <v>22</v>
      </c>
      <c r="B62" s="33" t="s">
        <v>2166</v>
      </c>
      <c r="C62" s="34" t="s">
        <v>694</v>
      </c>
      <c r="D62" s="51" t="s">
        <v>583</v>
      </c>
      <c r="E62" s="61" t="str">
        <f>IFERROR(VLOOKUP(D62,'Master List'!D:H,2,FALSE),"NA")</f>
        <v>110803</v>
      </c>
      <c r="F62" s="62" t="str">
        <f>IFERROR(VLOOKUP(D62,'Master List'!D:H,3,FALSE),"NA")</f>
        <v>110803</v>
      </c>
      <c r="G62" s="58" t="str">
        <f>IFERROR(VLOOKUP(D62,'Master List'!D:H,4,FALSE),"NA")</f>
        <v>110803</v>
      </c>
      <c r="H62" s="39" t="str">
        <f>IFERROR(VLOOKUP(D62,'Master List'!D:H,5,FALSE),"NA")</f>
        <v>Computer Graphics.</v>
      </c>
      <c r="I62" s="19"/>
      <c r="J62" s="20"/>
      <c r="K62" s="20"/>
      <c r="L62" s="21"/>
    </row>
    <row r="63" spans="1:12" x14ac:dyDescent="0.3">
      <c r="A63" s="33">
        <v>22</v>
      </c>
      <c r="B63" s="33" t="s">
        <v>2166</v>
      </c>
      <c r="C63" s="34" t="s">
        <v>694</v>
      </c>
      <c r="D63" s="51" t="s">
        <v>120</v>
      </c>
      <c r="E63" s="61" t="str">
        <f>IFERROR(VLOOKUP(D63,'Master List'!D:H,2,FALSE),"NA")</f>
        <v>150000</v>
      </c>
      <c r="F63" s="62" t="str">
        <f>IFERROR(VLOOKUP(D63,'Master List'!D:H,3,FALSE),"NA")</f>
        <v>150000</v>
      </c>
      <c r="G63" s="58" t="str">
        <f>IFERROR(VLOOKUP(D63,'Master List'!D:H,4,FALSE),"NA")</f>
        <v>150000</v>
      </c>
      <c r="H63" s="39" t="str">
        <f>IFERROR(VLOOKUP(D63,'Master List'!D:H,5,FALSE),"NA")</f>
        <v>Engineering Technologies/Technicians, General.</v>
      </c>
      <c r="I63" s="19"/>
      <c r="J63" s="20"/>
      <c r="K63" s="20"/>
      <c r="L63" s="21"/>
    </row>
    <row r="64" spans="1:12" x14ac:dyDescent="0.3">
      <c r="A64" s="33">
        <v>22</v>
      </c>
      <c r="B64" s="33" t="s">
        <v>2166</v>
      </c>
      <c r="C64" s="34" t="s">
        <v>694</v>
      </c>
      <c r="D64" s="51" t="s">
        <v>121</v>
      </c>
      <c r="E64" s="61" t="str">
        <f>IFERROR(VLOOKUP(D64,'Master List'!D:H,2,FALSE),"NA")</f>
        <v>500502</v>
      </c>
      <c r="F64" s="62" t="str">
        <f>IFERROR(VLOOKUP(D64,'Master List'!D:H,3,FALSE),"NA")</f>
        <v>500502</v>
      </c>
      <c r="G64" s="58" t="str">
        <f>IFERROR(VLOOKUP(D64,'Master List'!D:H,4,FALSE),"NA")</f>
        <v>500502</v>
      </c>
      <c r="H64" s="39" t="str">
        <f>IFERROR(VLOOKUP(D64,'Master List'!D:H,5,FALSE),"NA")</f>
        <v>Technical Theatre/Theatre Design and Technology.</v>
      </c>
      <c r="I64" s="19"/>
      <c r="J64" s="20"/>
      <c r="K64" s="20"/>
      <c r="L64" s="21"/>
    </row>
    <row r="65" spans="1:12" x14ac:dyDescent="0.3">
      <c r="A65" s="33">
        <v>22</v>
      </c>
      <c r="B65" s="33" t="s">
        <v>2166</v>
      </c>
      <c r="C65" s="34" t="s">
        <v>694</v>
      </c>
      <c r="D65" s="51" t="s">
        <v>374</v>
      </c>
      <c r="E65" s="61" t="str">
        <f>IFERROR(VLOOKUP(D65,'Master List'!D:H,2,FALSE),"NA")</f>
        <v>NA</v>
      </c>
      <c r="F65" s="62" t="str">
        <f>IFERROR(VLOOKUP(D65,'Master List'!D:H,3,FALSE),"NA")</f>
        <v>NA</v>
      </c>
      <c r="G65" s="58" t="str">
        <f>IFERROR(VLOOKUP(D65,'Master List'!D:H,4,FALSE),"NA")</f>
        <v>NA</v>
      </c>
      <c r="H65" s="39" t="str">
        <f>IFERROR(VLOOKUP(D65,'Master List'!D:H,5,FALSE),"NA")</f>
        <v>NA</v>
      </c>
      <c r="I65" s="19"/>
      <c r="J65" s="20"/>
      <c r="K65" s="20"/>
      <c r="L65" s="21"/>
    </row>
    <row r="66" spans="1:12" x14ac:dyDescent="0.3">
      <c r="A66" s="33">
        <v>22</v>
      </c>
      <c r="B66" s="33" t="s">
        <v>2166</v>
      </c>
      <c r="C66" s="34" t="s">
        <v>694</v>
      </c>
      <c r="D66" s="51" t="s">
        <v>128</v>
      </c>
      <c r="E66" s="61" t="str">
        <f>IFERROR(VLOOKUP(D66,'Master List'!D:H,2,FALSE),"NA")</f>
        <v>430103</v>
      </c>
      <c r="F66" s="62" t="str">
        <f>IFERROR(VLOOKUP(D66,'Master List'!D:H,3,FALSE),"NA")</f>
        <v>430103</v>
      </c>
      <c r="G66" s="58" t="str">
        <f>IFERROR(VLOOKUP(D66,'Master List'!D:H,4,FALSE),"NA")</f>
        <v>430103</v>
      </c>
      <c r="H66" s="39" t="str">
        <f>IFERROR(VLOOKUP(D66,'Master List'!D:H,5,FALSE),"NA")</f>
        <v>Criminal Justice/Law Enforcement Administration.</v>
      </c>
      <c r="I66" s="19"/>
      <c r="J66" s="20"/>
      <c r="K66" s="20"/>
      <c r="L66" s="21"/>
    </row>
    <row r="67" spans="1:12" x14ac:dyDescent="0.3">
      <c r="A67" s="33">
        <v>22</v>
      </c>
      <c r="B67" s="33" t="s">
        <v>2166</v>
      </c>
      <c r="C67" s="34" t="s">
        <v>694</v>
      </c>
      <c r="D67" s="51" t="s">
        <v>689</v>
      </c>
      <c r="E67" s="61" t="str">
        <f>IFERROR(VLOOKUP(D67,'Master List'!D:H,2,FALSE),"NA")</f>
        <v>NA</v>
      </c>
      <c r="F67" s="62" t="str">
        <f>IFERROR(VLOOKUP(D67,'Master List'!D:H,3,FALSE),"NA")</f>
        <v>NA</v>
      </c>
      <c r="G67" s="58" t="str">
        <f>IFERROR(VLOOKUP(D67,'Master List'!D:H,4,FALSE),"NA")</f>
        <v>NA</v>
      </c>
      <c r="H67" s="39" t="str">
        <f>IFERROR(VLOOKUP(D67,'Master List'!D:H,5,FALSE),"NA")</f>
        <v>NA</v>
      </c>
      <c r="I67" s="19"/>
      <c r="J67" s="20"/>
      <c r="K67" s="20"/>
      <c r="L67" s="21"/>
    </row>
  </sheetData>
  <sheetProtection algorithmName="SHA-512" hashValue="d6CygjP1ZFXmxReE+t4WbJraDOa4VOV3w0kpmjs4qqsIfF+tbt1rTtXuacLabpCKC+o/fvsCvo0MpiTLXUo3sA==" saltValue="8vT0HaCiyGGKvHpu3v8CXQ==" spinCount="100000" sheet="1" objects="1" scenarios="1" sort="0" autoFilter="0"/>
  <autoFilter ref="A2:L67"/>
  <mergeCells count="3">
    <mergeCell ref="A1:D1"/>
    <mergeCell ref="E1:H1"/>
    <mergeCell ref="I1:L1"/>
  </mergeCells>
  <dataValidations count="1">
    <dataValidation type="list" allowBlank="1" showInputMessage="1" showErrorMessage="1" sqref="I3:I67">
      <formula1>"Agree,Disagree"</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5.6640625" style="17" customWidth="1"/>
    <col min="5" max="5" width="14.88671875" style="54" customWidth="1"/>
    <col min="6" max="6" width="12.5546875" style="54" customWidth="1"/>
    <col min="7" max="7" width="13.5546875" style="54" customWidth="1"/>
    <col min="8" max="8" width="70.44140625" style="25" customWidth="1"/>
    <col min="9" max="10" width="27" style="17" customWidth="1"/>
    <col min="11" max="11" width="34.88671875" style="17" customWidth="1"/>
    <col min="12" max="12" width="35.6640625" style="17" customWidth="1"/>
    <col min="13" max="16384" width="8.88671875" style="17"/>
  </cols>
  <sheetData>
    <row r="1" spans="1:12" s="27" customFormat="1" ht="76.2"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23</v>
      </c>
      <c r="B3" s="33" t="s">
        <v>2167</v>
      </c>
      <c r="C3" s="34" t="s">
        <v>662</v>
      </c>
      <c r="D3" s="51" t="s">
        <v>146</v>
      </c>
      <c r="E3" s="61" t="str">
        <f>IFERROR(VLOOKUP(D3,'Master List'!D:H,2,FALSE),"NA")</f>
        <v>520904</v>
      </c>
      <c r="F3" s="62" t="str">
        <f>IFERROR(VLOOKUP(D3,'Master List'!D:H,3,FALSE),"NA")</f>
        <v>520904</v>
      </c>
      <c r="G3" s="58" t="str">
        <f>IFERROR(VLOOKUP(D3,'Master List'!D:H,4,FALSE),"NA")</f>
        <v>520904</v>
      </c>
      <c r="H3" s="39" t="str">
        <f>IFERROR(VLOOKUP(D3,'Master List'!D:H,5,FALSE),"NA")</f>
        <v>Hotel/Motel Administration/Management.</v>
      </c>
      <c r="I3" s="19"/>
      <c r="J3" s="20"/>
      <c r="K3" s="20"/>
      <c r="L3" s="21"/>
    </row>
    <row r="4" spans="1:12" x14ac:dyDescent="0.3">
      <c r="A4" s="33">
        <v>23</v>
      </c>
      <c r="B4" s="33" t="s">
        <v>2167</v>
      </c>
      <c r="C4" s="34" t="s">
        <v>662</v>
      </c>
      <c r="D4" s="51" t="s">
        <v>150</v>
      </c>
      <c r="E4" s="61" t="str">
        <f>IFERROR(VLOOKUP(D4,'Master List'!D:H,2,FALSE),"NA")</f>
        <v>520904</v>
      </c>
      <c r="F4" s="62" t="str">
        <f>IFERROR(VLOOKUP(D4,'Master List'!D:H,3,FALSE),"NA")</f>
        <v>520904</v>
      </c>
      <c r="G4" s="58" t="str">
        <f>IFERROR(VLOOKUP(D4,'Master List'!D:H,4,FALSE),"NA")</f>
        <v>520904</v>
      </c>
      <c r="H4" s="39" t="str">
        <f>IFERROR(VLOOKUP(D4,'Master List'!D:H,5,FALSE),"NA")</f>
        <v>Hotel/Motel Administration/Management.</v>
      </c>
      <c r="I4" s="19"/>
      <c r="J4" s="20"/>
      <c r="K4" s="20"/>
      <c r="L4" s="21"/>
    </row>
    <row r="5" spans="1:12" x14ac:dyDescent="0.3">
      <c r="A5" s="33">
        <v>23</v>
      </c>
      <c r="B5" s="33" t="s">
        <v>2167</v>
      </c>
      <c r="C5" s="34" t="s">
        <v>662</v>
      </c>
      <c r="D5" s="51" t="s">
        <v>151</v>
      </c>
      <c r="E5" s="61" t="str">
        <f>IFERROR(VLOOKUP(D5,'Master List'!D:H,2,FALSE),"NA")</f>
        <v>520904</v>
      </c>
      <c r="F5" s="62" t="str">
        <f>IFERROR(VLOOKUP(D5,'Master List'!D:H,3,FALSE),"NA")</f>
        <v>520904</v>
      </c>
      <c r="G5" s="58" t="str">
        <f>IFERROR(VLOOKUP(D5,'Master List'!D:H,4,FALSE),"NA")</f>
        <v>520904</v>
      </c>
      <c r="H5" s="39" t="str">
        <f>IFERROR(VLOOKUP(D5,'Master List'!D:H,5,FALSE),"NA")</f>
        <v>Hotel/Motel Administration/Management.</v>
      </c>
      <c r="I5" s="19"/>
      <c r="J5" s="20"/>
      <c r="K5" s="20"/>
      <c r="L5" s="21"/>
    </row>
    <row r="6" spans="1:12" x14ac:dyDescent="0.3">
      <c r="A6" s="33">
        <v>23</v>
      </c>
      <c r="B6" s="33" t="s">
        <v>2167</v>
      </c>
      <c r="C6" s="34" t="s">
        <v>662</v>
      </c>
      <c r="D6" s="51" t="s">
        <v>176</v>
      </c>
      <c r="E6" s="61" t="str">
        <f>IFERROR(VLOOKUP(D6,'Master List'!D:H,2,FALSE),"NA")</f>
        <v>520905</v>
      </c>
      <c r="F6" s="62" t="str">
        <f>IFERROR(VLOOKUP(D6,'Master List'!D:H,3,FALSE),"NA")</f>
        <v>520905</v>
      </c>
      <c r="G6" s="58" t="str">
        <f>IFERROR(VLOOKUP(D6,'Master List'!D:H,4,FALSE),"NA")</f>
        <v>520905</v>
      </c>
      <c r="H6" s="39" t="str">
        <f>IFERROR(VLOOKUP(D6,'Master List'!D:H,5,FALSE),"NA")</f>
        <v>Restaurant/Food Services Management.</v>
      </c>
      <c r="I6" s="19"/>
      <c r="J6" s="20"/>
      <c r="K6" s="20"/>
      <c r="L6" s="21"/>
    </row>
    <row r="7" spans="1:12" x14ac:dyDescent="0.3">
      <c r="A7" s="33">
        <v>23</v>
      </c>
      <c r="B7" s="33" t="s">
        <v>2167</v>
      </c>
      <c r="C7" s="34" t="s">
        <v>662</v>
      </c>
      <c r="D7" s="51" t="s">
        <v>663</v>
      </c>
      <c r="E7" s="61" t="str">
        <f>IFERROR(VLOOKUP(D7,'Master List'!D:H,2,FALSE),"NA")</f>
        <v>520905</v>
      </c>
      <c r="F7" s="62" t="str">
        <f>IFERROR(VLOOKUP(D7,'Master List'!D:H,3,FALSE),"NA")</f>
        <v>520905</v>
      </c>
      <c r="G7" s="58" t="str">
        <f>IFERROR(VLOOKUP(D7,'Master List'!D:H,4,FALSE),"NA")</f>
        <v>520905</v>
      </c>
      <c r="H7" s="39" t="str">
        <f>IFERROR(VLOOKUP(D7,'Master List'!D:H,5,FALSE),"NA")</f>
        <v>Restaurant/Food Services Management.</v>
      </c>
      <c r="I7" s="19"/>
      <c r="J7" s="20"/>
      <c r="K7" s="20"/>
      <c r="L7" s="21"/>
    </row>
    <row r="8" spans="1:12" x14ac:dyDescent="0.3">
      <c r="A8" s="33">
        <v>23</v>
      </c>
      <c r="B8" s="33" t="s">
        <v>2167</v>
      </c>
      <c r="C8" s="34" t="s">
        <v>662</v>
      </c>
      <c r="D8" s="51" t="s">
        <v>619</v>
      </c>
      <c r="E8" s="61" t="str">
        <f>IFERROR(VLOOKUP(D8,'Master List'!D:H,2,FALSE),"NA")</f>
        <v>510702</v>
      </c>
      <c r="F8" s="62" t="str">
        <f>IFERROR(VLOOKUP(D8,'Master List'!D:H,3,FALSE),"NA")</f>
        <v>510702</v>
      </c>
      <c r="G8" s="58" t="str">
        <f>IFERROR(VLOOKUP(D8,'Master List'!D:H,4,FALSE),"NA")</f>
        <v>510702</v>
      </c>
      <c r="H8" s="39" t="str">
        <f>IFERROR(VLOOKUP(D8,'Master List'!D:H,5,FALSE),"NA")</f>
        <v>Hospital and Health Care Facilities Administration/Management.</v>
      </c>
      <c r="I8" s="19"/>
      <c r="J8" s="20"/>
      <c r="K8" s="20"/>
      <c r="L8" s="21"/>
    </row>
    <row r="9" spans="1:12" x14ac:dyDescent="0.3">
      <c r="A9" s="33">
        <v>23</v>
      </c>
      <c r="B9" s="33" t="s">
        <v>2167</v>
      </c>
      <c r="C9" s="34" t="s">
        <v>662</v>
      </c>
      <c r="D9" s="51" t="s">
        <v>665</v>
      </c>
      <c r="E9" s="61" t="str">
        <f>IFERROR(VLOOKUP(D9,'Master List'!D:H,2,FALSE),"NA")</f>
        <v>NA</v>
      </c>
      <c r="F9" s="62" t="str">
        <f>IFERROR(VLOOKUP(D9,'Master List'!D:H,3,FALSE),"NA")</f>
        <v>NA</v>
      </c>
      <c r="G9" s="58" t="str">
        <f>IFERROR(VLOOKUP(D9,'Master List'!D:H,4,FALSE),"NA")</f>
        <v>NA</v>
      </c>
      <c r="H9" s="39" t="str">
        <f>IFERROR(VLOOKUP(D9,'Master List'!D:H,5,FALSE),"NA")</f>
        <v>NA</v>
      </c>
      <c r="I9" s="19"/>
      <c r="J9" s="20"/>
      <c r="K9" s="20"/>
      <c r="L9" s="21"/>
    </row>
    <row r="10" spans="1:12" x14ac:dyDescent="0.3">
      <c r="A10" s="33">
        <v>23</v>
      </c>
      <c r="B10" s="33" t="s">
        <v>2167</v>
      </c>
      <c r="C10" s="34" t="s">
        <v>662</v>
      </c>
      <c r="D10" s="51" t="s">
        <v>195</v>
      </c>
      <c r="E10" s="61" t="str">
        <f>IFERROR(VLOOKUP(D10,'Master List'!D:H,2,FALSE),"NA")</f>
        <v>510707</v>
      </c>
      <c r="F10" s="62" t="str">
        <f>IFERROR(VLOOKUP(D10,'Master List'!D:H,3,FALSE),"NA")</f>
        <v>510707</v>
      </c>
      <c r="G10" s="58" t="str">
        <f>IFERROR(VLOOKUP(D10,'Master List'!D:H,4,FALSE),"NA")</f>
        <v>510707</v>
      </c>
      <c r="H10" s="39" t="str">
        <f>IFERROR(VLOOKUP(D10,'Master List'!D:H,5,FALSE),"NA")</f>
        <v>Health Information/Medical Records Technology/Technician.</v>
      </c>
      <c r="I10" s="19"/>
      <c r="J10" s="20"/>
      <c r="K10" s="20"/>
      <c r="L10" s="21"/>
    </row>
    <row r="11" spans="1:12" x14ac:dyDescent="0.3">
      <c r="A11" s="33">
        <v>23</v>
      </c>
      <c r="B11" s="33" t="s">
        <v>2167</v>
      </c>
      <c r="C11" s="34" t="s">
        <v>662</v>
      </c>
      <c r="D11" s="51" t="s">
        <v>198</v>
      </c>
      <c r="E11" s="61" t="str">
        <f>IFERROR(VLOOKUP(D11,'Master List'!D:H,2,FALSE),"NA")</f>
        <v>510707</v>
      </c>
      <c r="F11" s="62" t="str">
        <f>IFERROR(VLOOKUP(D11,'Master List'!D:H,3,FALSE),"NA")</f>
        <v>510707</v>
      </c>
      <c r="G11" s="58">
        <f>IFERROR(VLOOKUP(D11,'Master List'!D:H,4,FALSE),"NA")</f>
        <v>510714</v>
      </c>
      <c r="H11" s="39" t="str">
        <f>IFERROR(VLOOKUP(D11,'Master List'!D:H,5,FALSE),"NA")</f>
        <v>Medical Insurance Specialist/Medical Biller</v>
      </c>
      <c r="I11" s="19"/>
      <c r="J11" s="20"/>
      <c r="K11" s="20"/>
      <c r="L11" s="21"/>
    </row>
    <row r="12" spans="1:12" x14ac:dyDescent="0.3">
      <c r="A12" s="33">
        <v>23</v>
      </c>
      <c r="B12" s="33" t="s">
        <v>2167</v>
      </c>
      <c r="C12" s="34" t="s">
        <v>662</v>
      </c>
      <c r="D12" s="51" t="s">
        <v>666</v>
      </c>
      <c r="E12" s="61" t="str">
        <f>IFERROR(VLOOKUP(D12,'Master List'!D:H,2,FALSE),"NA")</f>
        <v>NA</v>
      </c>
      <c r="F12" s="62" t="str">
        <f>IFERROR(VLOOKUP(D12,'Master List'!D:H,3,FALSE),"NA")</f>
        <v>NA</v>
      </c>
      <c r="G12" s="58" t="str">
        <f>IFERROR(VLOOKUP(D12,'Master List'!D:H,4,FALSE),"NA")</f>
        <v>NA</v>
      </c>
      <c r="H12" s="39" t="str">
        <f>IFERROR(VLOOKUP(D12,'Master List'!D:H,5,FALSE),"NA")</f>
        <v>NA</v>
      </c>
      <c r="I12" s="19"/>
      <c r="J12" s="20"/>
      <c r="K12" s="20"/>
      <c r="L12" s="21"/>
    </row>
    <row r="13" spans="1:12" x14ac:dyDescent="0.3">
      <c r="A13" s="33">
        <v>23</v>
      </c>
      <c r="B13" s="33" t="s">
        <v>2167</v>
      </c>
      <c r="C13" s="34" t="s">
        <v>662</v>
      </c>
      <c r="D13" s="51" t="s">
        <v>14</v>
      </c>
      <c r="E13" s="61" t="str">
        <f>IFERROR(VLOOKUP(D13,'Master List'!D:H,2,FALSE),"NA")</f>
        <v>510904</v>
      </c>
      <c r="F13" s="62" t="str">
        <f>IFERROR(VLOOKUP(D13,'Master List'!D:H,3,FALSE),"NA")</f>
        <v>510904</v>
      </c>
      <c r="G13" s="58" t="str">
        <f>IFERROR(VLOOKUP(D13,'Master List'!D:H,4,FALSE),"NA")</f>
        <v>510904</v>
      </c>
      <c r="H13" s="39" t="str">
        <f>IFERROR(VLOOKUP(D13,'Master List'!D:H,5,FALSE),"NA")</f>
        <v>Emergency Medical Technology/Technician (EMT Paramedic).</v>
      </c>
      <c r="I13" s="19"/>
      <c r="J13" s="20"/>
      <c r="K13" s="20"/>
      <c r="L13" s="21"/>
    </row>
    <row r="14" spans="1:12" x14ac:dyDescent="0.3">
      <c r="A14" s="33">
        <v>23</v>
      </c>
      <c r="B14" s="33" t="s">
        <v>2167</v>
      </c>
      <c r="C14" s="34" t="s">
        <v>662</v>
      </c>
      <c r="D14" s="51" t="s">
        <v>205</v>
      </c>
      <c r="E14" s="61" t="str">
        <f>IFERROR(VLOOKUP(D14,'Master List'!D:H,2,FALSE),"NA")</f>
        <v>510904</v>
      </c>
      <c r="F14" s="62" t="str">
        <f>IFERROR(VLOOKUP(D14,'Master List'!D:H,3,FALSE),"NA")</f>
        <v>510904</v>
      </c>
      <c r="G14" s="58" t="str">
        <f>IFERROR(VLOOKUP(D14,'Master List'!D:H,4,FALSE),"NA")</f>
        <v>510904</v>
      </c>
      <c r="H14" s="39" t="str">
        <f>IFERROR(VLOOKUP(D14,'Master List'!D:H,5,FALSE),"NA")</f>
        <v>Emergency Medical Technology/Technician (EMT Paramedic).</v>
      </c>
      <c r="I14" s="19"/>
      <c r="J14" s="20"/>
      <c r="K14" s="20"/>
      <c r="L14" s="21"/>
    </row>
    <row r="15" spans="1:12" x14ac:dyDescent="0.3">
      <c r="A15" s="33">
        <v>23</v>
      </c>
      <c r="B15" s="33" t="s">
        <v>2167</v>
      </c>
      <c r="C15" s="34" t="s">
        <v>662</v>
      </c>
      <c r="D15" s="51" t="s">
        <v>667</v>
      </c>
      <c r="E15" s="61" t="str">
        <f>IFERROR(VLOOKUP(D15,'Master List'!D:H,2,FALSE),"NA")</f>
        <v>NA</v>
      </c>
      <c r="F15" s="62" t="str">
        <f>IFERROR(VLOOKUP(D15,'Master List'!D:H,3,FALSE),"NA")</f>
        <v>NA</v>
      </c>
      <c r="G15" s="58" t="str">
        <f>IFERROR(VLOOKUP(D15,'Master List'!D:H,4,FALSE),"NA")</f>
        <v>NA</v>
      </c>
      <c r="H15" s="39" t="str">
        <f>IFERROR(VLOOKUP(D15,'Master List'!D:H,5,FALSE),"NA")</f>
        <v>NA</v>
      </c>
      <c r="I15" s="19"/>
      <c r="J15" s="20"/>
      <c r="K15" s="20"/>
      <c r="L15" s="21"/>
    </row>
    <row r="16" spans="1:12" x14ac:dyDescent="0.3">
      <c r="A16" s="33">
        <v>23</v>
      </c>
      <c r="B16" s="33" t="s">
        <v>2167</v>
      </c>
      <c r="C16" s="34" t="s">
        <v>662</v>
      </c>
      <c r="D16" s="51" t="s">
        <v>668</v>
      </c>
      <c r="E16" s="61" t="str">
        <f>IFERROR(VLOOKUP(D16,'Master List'!D:H,2,FALSE),"NA")</f>
        <v>NA</v>
      </c>
      <c r="F16" s="62" t="str">
        <f>IFERROR(VLOOKUP(D16,'Master List'!D:H,3,FALSE),"NA")</f>
        <v>NA</v>
      </c>
      <c r="G16" s="58" t="str">
        <f>IFERROR(VLOOKUP(D16,'Master List'!D:H,4,FALSE),"NA")</f>
        <v>NA</v>
      </c>
      <c r="H16" s="39" t="str">
        <f>IFERROR(VLOOKUP(D16,'Master List'!D:H,5,FALSE),"NA")</f>
        <v>NA</v>
      </c>
      <c r="I16" s="19"/>
      <c r="J16" s="20"/>
      <c r="K16" s="20"/>
      <c r="L16" s="21"/>
    </row>
    <row r="17" spans="1:12" x14ac:dyDescent="0.3">
      <c r="A17" s="33">
        <v>23</v>
      </c>
      <c r="B17" s="33" t="s">
        <v>2167</v>
      </c>
      <c r="C17" s="34" t="s">
        <v>662</v>
      </c>
      <c r="D17" s="51" t="s">
        <v>28</v>
      </c>
      <c r="E17" s="61" t="str">
        <f>IFERROR(VLOOKUP(D17,'Master List'!D:H,2,FALSE),"NA")</f>
        <v>190709</v>
      </c>
      <c r="F17" s="62" t="str">
        <f>IFERROR(VLOOKUP(D17,'Master List'!D:H,3,FALSE),"NA")</f>
        <v>190709</v>
      </c>
      <c r="G17" s="58" t="str">
        <f>IFERROR(VLOOKUP(D17,'Master List'!D:H,4,FALSE),"NA")</f>
        <v>190709</v>
      </c>
      <c r="H17" s="39" t="str">
        <f>IFERROR(VLOOKUP(D17,'Master List'!D:H,5,FALSE),"NA")</f>
        <v>Child Care Provider/Assistant.</v>
      </c>
      <c r="I17" s="19"/>
      <c r="J17" s="20"/>
      <c r="K17" s="20"/>
      <c r="L17" s="21"/>
    </row>
    <row r="18" spans="1:12" x14ac:dyDescent="0.3">
      <c r="A18" s="33">
        <v>23</v>
      </c>
      <c r="B18" s="33" t="s">
        <v>2167</v>
      </c>
      <c r="C18" s="34" t="s">
        <v>662</v>
      </c>
      <c r="D18" s="51" t="s">
        <v>588</v>
      </c>
      <c r="E18" s="61" t="str">
        <f>IFERROR(VLOOKUP(D18,'Master List'!D:H,2,FALSE),"NA")</f>
        <v>190709</v>
      </c>
      <c r="F18" s="62" t="str">
        <f>IFERROR(VLOOKUP(D18,'Master List'!D:H,3,FALSE),"NA")</f>
        <v>190709</v>
      </c>
      <c r="G18" s="58" t="str">
        <f>IFERROR(VLOOKUP(D18,'Master List'!D:H,4,FALSE),"NA")</f>
        <v>190709</v>
      </c>
      <c r="H18" s="39" t="str">
        <f>IFERROR(VLOOKUP(D18,'Master List'!D:H,5,FALSE),"NA")</f>
        <v>Child Care Provider/Assistant.</v>
      </c>
      <c r="I18" s="19"/>
      <c r="J18" s="20"/>
      <c r="K18" s="20"/>
      <c r="L18" s="21"/>
    </row>
    <row r="19" spans="1:12" x14ac:dyDescent="0.3">
      <c r="A19" s="33">
        <v>23</v>
      </c>
      <c r="B19" s="33" t="s">
        <v>2167</v>
      </c>
      <c r="C19" s="34" t="s">
        <v>662</v>
      </c>
      <c r="D19" s="51" t="s">
        <v>589</v>
      </c>
      <c r="E19" s="61" t="str">
        <f>IFERROR(VLOOKUP(D19,'Master List'!D:H,2,FALSE),"NA")</f>
        <v>190709</v>
      </c>
      <c r="F19" s="62" t="str">
        <f>IFERROR(VLOOKUP(D19,'Master List'!D:H,3,FALSE),"NA")</f>
        <v>190709</v>
      </c>
      <c r="G19" s="58" t="str">
        <f>IFERROR(VLOOKUP(D19,'Master List'!D:H,4,FALSE),"NA")</f>
        <v>190709</v>
      </c>
      <c r="H19" s="39" t="str">
        <f>IFERROR(VLOOKUP(D19,'Master List'!D:H,5,FALSE),"NA")</f>
        <v>Child Care Provider/Assistant.</v>
      </c>
      <c r="I19" s="19"/>
      <c r="J19" s="20"/>
      <c r="K19" s="20"/>
      <c r="L19" s="21"/>
    </row>
    <row r="20" spans="1:12" x14ac:dyDescent="0.3">
      <c r="A20" s="33">
        <v>23</v>
      </c>
      <c r="B20" s="33" t="s">
        <v>2167</v>
      </c>
      <c r="C20" s="34" t="s">
        <v>662</v>
      </c>
      <c r="D20" s="51" t="s">
        <v>385</v>
      </c>
      <c r="E20" s="61" t="str">
        <f>IFERROR(VLOOKUP(D20,'Master List'!D:H,2,FALSE),"NA")</f>
        <v>511599</v>
      </c>
      <c r="F20" s="62" t="str">
        <f>IFERROR(VLOOKUP(D20,'Master List'!D:H,3,FALSE),"NA")</f>
        <v>511599</v>
      </c>
      <c r="G20" s="58">
        <f>IFERROR(VLOOKUP(D20,'Master List'!D:H,4,FALSE),"NA")</f>
        <v>511501</v>
      </c>
      <c r="H20" s="39" t="str">
        <f>IFERROR(VLOOKUP(D20,'Master List'!D:H,5,FALSE),"NA")</f>
        <v>Substance Abuse/Addiction Counseling</v>
      </c>
      <c r="I20" s="19"/>
      <c r="J20" s="20"/>
      <c r="K20" s="20"/>
      <c r="L20" s="21"/>
    </row>
    <row r="21" spans="1:12" x14ac:dyDescent="0.3">
      <c r="A21" s="33">
        <v>23</v>
      </c>
      <c r="B21" s="33" t="s">
        <v>2167</v>
      </c>
      <c r="C21" s="34" t="s">
        <v>662</v>
      </c>
      <c r="D21" s="51" t="s">
        <v>669</v>
      </c>
      <c r="E21" s="61" t="str">
        <f>IFERROR(VLOOKUP(D21,'Master List'!D:H,2,FALSE),"NA")</f>
        <v>511599</v>
      </c>
      <c r="F21" s="62" t="str">
        <f>IFERROR(VLOOKUP(D21,'Master List'!D:H,3,FALSE),"NA")</f>
        <v>511599</v>
      </c>
      <c r="G21" s="58">
        <f>IFERROR(VLOOKUP(D21,'Master List'!D:H,4,FALSE),"NA")</f>
        <v>511504</v>
      </c>
      <c r="H21" s="39" t="str">
        <f>IFERROR(VLOOKUP(D21,'Master List'!D:H,5,FALSE),"NA")</f>
        <v>Community Health Services/Liaison/Counseling</v>
      </c>
      <c r="I21" s="19"/>
      <c r="J21" s="20"/>
      <c r="K21" s="20"/>
      <c r="L21" s="21"/>
    </row>
    <row r="22" spans="1:12" x14ac:dyDescent="0.3">
      <c r="A22" s="33">
        <v>23</v>
      </c>
      <c r="B22" s="33" t="s">
        <v>2167</v>
      </c>
      <c r="C22" s="34" t="s">
        <v>662</v>
      </c>
      <c r="D22" s="51" t="s">
        <v>670</v>
      </c>
      <c r="E22" s="61" t="str">
        <f>IFERROR(VLOOKUP(D22,'Master List'!D:H,2,FALSE),"NA")</f>
        <v>511599</v>
      </c>
      <c r="F22" s="62" t="str">
        <f>IFERROR(VLOOKUP(D22,'Master List'!D:H,3,FALSE),"NA")</f>
        <v>511599</v>
      </c>
      <c r="G22" s="58" t="str">
        <f>IFERROR(VLOOKUP(D22,'Master List'!D:H,4,FALSE),"NA")</f>
        <v>511599</v>
      </c>
      <c r="H22" s="39" t="str">
        <f>IFERROR(VLOOKUP(D22,'Master List'!D:H,5,FALSE),"NA")</f>
        <v>Mental and Social Health Services and Allied Professions, Other.</v>
      </c>
      <c r="I22" s="19"/>
      <c r="J22" s="20"/>
      <c r="K22" s="20"/>
      <c r="L22" s="21"/>
    </row>
    <row r="23" spans="1:12" x14ac:dyDescent="0.3">
      <c r="A23" s="33">
        <v>23</v>
      </c>
      <c r="B23" s="33" t="s">
        <v>2167</v>
      </c>
      <c r="C23" s="34" t="s">
        <v>662</v>
      </c>
      <c r="D23" s="51" t="s">
        <v>418</v>
      </c>
      <c r="E23" s="61" t="str">
        <f>IFERROR(VLOOKUP(D23,'Master List'!D:H,2,FALSE),"NA")</f>
        <v>110103</v>
      </c>
      <c r="F23" s="62" t="str">
        <f>IFERROR(VLOOKUP(D23,'Master List'!D:H,3,FALSE),"NA")</f>
        <v>110103</v>
      </c>
      <c r="G23" s="58" t="str">
        <f>IFERROR(VLOOKUP(D23,'Master List'!D:H,4,FALSE),"NA")</f>
        <v>110103</v>
      </c>
      <c r="H23" s="39" t="str">
        <f>IFERROR(VLOOKUP(D23,'Master List'!D:H,5,FALSE),"NA")</f>
        <v>Information Technology.</v>
      </c>
      <c r="I23" s="19"/>
      <c r="J23" s="20"/>
      <c r="K23" s="20"/>
      <c r="L23" s="21"/>
    </row>
    <row r="24" spans="1:12" x14ac:dyDescent="0.3">
      <c r="A24" s="33">
        <v>23</v>
      </c>
      <c r="B24" s="33" t="s">
        <v>2167</v>
      </c>
      <c r="C24" s="34" t="s">
        <v>662</v>
      </c>
      <c r="D24" s="51" t="s">
        <v>502</v>
      </c>
      <c r="E24" s="61" t="str">
        <f>IFERROR(VLOOKUP(D24,'Master List'!D:H,2,FALSE),"NA")</f>
        <v>110103</v>
      </c>
      <c r="F24" s="62" t="str">
        <f>IFERROR(VLOOKUP(D24,'Master List'!D:H,3,FALSE),"NA")</f>
        <v>110103</v>
      </c>
      <c r="G24" s="58" t="str">
        <f>IFERROR(VLOOKUP(D24,'Master List'!D:H,4,FALSE),"NA")</f>
        <v>110103</v>
      </c>
      <c r="H24" s="39" t="str">
        <f>IFERROR(VLOOKUP(D24,'Master List'!D:H,5,FALSE),"NA")</f>
        <v>Information Technology.</v>
      </c>
      <c r="I24" s="19"/>
      <c r="J24" s="20"/>
      <c r="K24" s="20"/>
      <c r="L24" s="21"/>
    </row>
    <row r="25" spans="1:12" x14ac:dyDescent="0.3">
      <c r="A25" s="33">
        <v>23</v>
      </c>
      <c r="B25" s="33" t="s">
        <v>2167</v>
      </c>
      <c r="C25" s="34" t="s">
        <v>662</v>
      </c>
      <c r="D25" s="51" t="s">
        <v>389</v>
      </c>
      <c r="E25" s="61" t="str">
        <f>IFERROR(VLOOKUP(D25,'Master List'!D:H,2,FALSE),"NA")</f>
        <v>110201</v>
      </c>
      <c r="F25" s="62" t="str">
        <f>IFERROR(VLOOKUP(D25,'Master List'!D:H,3,FALSE),"NA")</f>
        <v>110201</v>
      </c>
      <c r="G25" s="58" t="str">
        <f>IFERROR(VLOOKUP(D25,'Master List'!D:H,4,FALSE),"NA")</f>
        <v>110201</v>
      </c>
      <c r="H25" s="39" t="str">
        <f>IFERROR(VLOOKUP(D25,'Master List'!D:H,5,FALSE),"NA")</f>
        <v>Computer Programming/Programmer, General.</v>
      </c>
      <c r="I25" s="19"/>
      <c r="J25" s="20"/>
      <c r="K25" s="20"/>
      <c r="L25" s="21"/>
    </row>
    <row r="26" spans="1:12" x14ac:dyDescent="0.3">
      <c r="A26" s="33">
        <v>23</v>
      </c>
      <c r="B26" s="33" t="s">
        <v>2167</v>
      </c>
      <c r="C26" s="34" t="s">
        <v>662</v>
      </c>
      <c r="D26" s="51" t="s">
        <v>390</v>
      </c>
      <c r="E26" s="61" t="str">
        <f>IFERROR(VLOOKUP(D26,'Master List'!D:H,2,FALSE),"NA")</f>
        <v>110202</v>
      </c>
      <c r="F26" s="62" t="str">
        <f>IFERROR(VLOOKUP(D26,'Master List'!D:H,3,FALSE),"NA")</f>
        <v>110202</v>
      </c>
      <c r="G26" s="58" t="str">
        <f>IFERROR(VLOOKUP(D26,'Master List'!D:H,4,FALSE),"NA")</f>
        <v>110202</v>
      </c>
      <c r="H26" s="39" t="str">
        <f>IFERROR(VLOOKUP(D26,'Master List'!D:H,5,FALSE),"NA")</f>
        <v>Computer Programming, Specific Applications.</v>
      </c>
      <c r="I26" s="19"/>
      <c r="J26" s="20"/>
      <c r="K26" s="20"/>
      <c r="L26" s="21"/>
    </row>
    <row r="27" spans="1:12" x14ac:dyDescent="0.3">
      <c r="A27" s="33">
        <v>23</v>
      </c>
      <c r="B27" s="33" t="s">
        <v>2167</v>
      </c>
      <c r="C27" s="34" t="s">
        <v>662</v>
      </c>
      <c r="D27" s="51" t="s">
        <v>31</v>
      </c>
      <c r="E27" s="61" t="str">
        <f>IFERROR(VLOOKUP(D27,'Master List'!D:H,2,FALSE),"NA")</f>
        <v>111001</v>
      </c>
      <c r="F27" s="62" t="str">
        <f>IFERROR(VLOOKUP(D27,'Master List'!D:H,3,FALSE),"NA")</f>
        <v>111001</v>
      </c>
      <c r="G27" s="58" t="str">
        <f>IFERROR(VLOOKUP(D27,'Master List'!D:H,4,FALSE),"NA")</f>
        <v>111001</v>
      </c>
      <c r="H27" s="39" t="str">
        <f>IFERROR(VLOOKUP(D27,'Master List'!D:H,5,FALSE),"NA")</f>
        <v>Network and System Administration/Administrator.</v>
      </c>
      <c r="I27" s="19"/>
      <c r="J27" s="20"/>
      <c r="K27" s="20"/>
      <c r="L27" s="21"/>
    </row>
    <row r="28" spans="1:12" x14ac:dyDescent="0.3">
      <c r="A28" s="33">
        <v>23</v>
      </c>
      <c r="B28" s="33" t="s">
        <v>2167</v>
      </c>
      <c r="C28" s="34" t="s">
        <v>662</v>
      </c>
      <c r="D28" s="51" t="s">
        <v>34</v>
      </c>
      <c r="E28" s="61" t="str">
        <f>IFERROR(VLOOKUP(D28,'Master List'!D:H,2,FALSE),"NA")</f>
        <v>111001</v>
      </c>
      <c r="F28" s="62" t="str">
        <f>IFERROR(VLOOKUP(D28,'Master List'!D:H,3,FALSE),"NA")</f>
        <v>111001</v>
      </c>
      <c r="G28" s="58" t="str">
        <f>IFERROR(VLOOKUP(D28,'Master List'!D:H,4,FALSE),"NA")</f>
        <v>111001</v>
      </c>
      <c r="H28" s="39" t="str">
        <f>IFERROR(VLOOKUP(D28,'Master List'!D:H,5,FALSE),"NA")</f>
        <v>Network and System Administration/Administrator.</v>
      </c>
      <c r="I28" s="19"/>
      <c r="J28" s="20"/>
      <c r="K28" s="20"/>
      <c r="L28" s="21"/>
    </row>
    <row r="29" spans="1:12" x14ac:dyDescent="0.3">
      <c r="A29" s="33">
        <v>23</v>
      </c>
      <c r="B29" s="33" t="s">
        <v>2167</v>
      </c>
      <c r="C29" s="34" t="s">
        <v>662</v>
      </c>
      <c r="D29" s="51" t="s">
        <v>36</v>
      </c>
      <c r="E29" s="61" t="str">
        <f>IFERROR(VLOOKUP(D29,'Master List'!D:H,2,FALSE),"NA")</f>
        <v>111001</v>
      </c>
      <c r="F29" s="62" t="str">
        <f>IFERROR(VLOOKUP(D29,'Master List'!D:H,3,FALSE),"NA")</f>
        <v>111001</v>
      </c>
      <c r="G29" s="58" t="str">
        <f>IFERROR(VLOOKUP(D29,'Master List'!D:H,4,FALSE),"NA")</f>
        <v>111001</v>
      </c>
      <c r="H29" s="39" t="str">
        <f>IFERROR(VLOOKUP(D29,'Master List'!D:H,5,FALSE),"NA")</f>
        <v>Network and System Administration/Administrator.</v>
      </c>
      <c r="I29" s="19"/>
      <c r="J29" s="20"/>
      <c r="K29" s="20"/>
      <c r="L29" s="21"/>
    </row>
    <row r="30" spans="1:12" x14ac:dyDescent="0.3">
      <c r="A30" s="33">
        <v>23</v>
      </c>
      <c r="B30" s="33" t="s">
        <v>2167</v>
      </c>
      <c r="C30" s="34" t="s">
        <v>662</v>
      </c>
      <c r="D30" s="51" t="s">
        <v>543</v>
      </c>
      <c r="E30" s="61" t="str">
        <f>IFERROR(VLOOKUP(D30,'Master List'!D:H,2,FALSE),"NA")</f>
        <v>111001</v>
      </c>
      <c r="F30" s="62" t="str">
        <f>IFERROR(VLOOKUP(D30,'Master List'!D:H,3,FALSE),"NA")</f>
        <v>111001</v>
      </c>
      <c r="G30" s="58" t="str">
        <f>IFERROR(VLOOKUP(D30,'Master List'!D:H,4,FALSE),"NA")</f>
        <v>111001</v>
      </c>
      <c r="H30" s="39" t="str">
        <f>IFERROR(VLOOKUP(D30,'Master List'!D:H,5,FALSE),"NA")</f>
        <v>Network and System Administration/Administrator.</v>
      </c>
      <c r="I30" s="19"/>
      <c r="J30" s="20"/>
      <c r="K30" s="20"/>
      <c r="L30" s="21"/>
    </row>
    <row r="31" spans="1:12" x14ac:dyDescent="0.3">
      <c r="A31" s="33">
        <v>23</v>
      </c>
      <c r="B31" s="33" t="s">
        <v>2167</v>
      </c>
      <c r="C31" s="34" t="s">
        <v>662</v>
      </c>
      <c r="D31" s="51" t="s">
        <v>503</v>
      </c>
      <c r="E31" s="61" t="str">
        <f>IFERROR(VLOOKUP(D31,'Master List'!D:H,2,FALSE),"NA")</f>
        <v>111003</v>
      </c>
      <c r="F31" s="62" t="str">
        <f>IFERROR(VLOOKUP(D31,'Master List'!D:H,3,FALSE),"NA")</f>
        <v>111003</v>
      </c>
      <c r="G31" s="58" t="str">
        <f>IFERROR(VLOOKUP(D31,'Master List'!D:H,4,FALSE),"NA")</f>
        <v>111003</v>
      </c>
      <c r="H31" s="39" t="str">
        <f>IFERROR(VLOOKUP(D31,'Master List'!D:H,5,FALSE),"NA")</f>
        <v>Computer and Information Systems Security/Auditing/Information Assurance.</v>
      </c>
      <c r="I31" s="19"/>
      <c r="J31" s="20"/>
      <c r="K31" s="20"/>
      <c r="L31" s="21"/>
    </row>
    <row r="32" spans="1:12" x14ac:dyDescent="0.3">
      <c r="A32" s="33">
        <v>23</v>
      </c>
      <c r="B32" s="33" t="s">
        <v>2167</v>
      </c>
      <c r="C32" s="34" t="s">
        <v>662</v>
      </c>
      <c r="D32" s="51" t="s">
        <v>153</v>
      </c>
      <c r="E32" s="61" t="str">
        <f>IFERROR(VLOOKUP(D32,'Master List'!D:H,2,FALSE),"NA")</f>
        <v>520201</v>
      </c>
      <c r="F32" s="62" t="str">
        <f>IFERROR(VLOOKUP(D32,'Master List'!D:H,3,FALSE),"NA")</f>
        <v>520201</v>
      </c>
      <c r="G32" s="58" t="str">
        <f>IFERROR(VLOOKUP(D32,'Master List'!D:H,4,FALSE),"NA")</f>
        <v>520201</v>
      </c>
      <c r="H32" s="39" t="str">
        <f>IFERROR(VLOOKUP(D32,'Master List'!D:H,5,FALSE),"NA")</f>
        <v>Business Administration and Management, General.</v>
      </c>
      <c r="I32" s="19"/>
      <c r="J32" s="20"/>
      <c r="K32" s="20"/>
      <c r="L32" s="21"/>
    </row>
    <row r="33" spans="1:12" x14ac:dyDescent="0.3">
      <c r="A33" s="33">
        <v>23</v>
      </c>
      <c r="B33" s="33" t="s">
        <v>2167</v>
      </c>
      <c r="C33" s="34" t="s">
        <v>662</v>
      </c>
      <c r="D33" s="51" t="s">
        <v>154</v>
      </c>
      <c r="E33" s="61" t="str">
        <f>IFERROR(VLOOKUP(D33,'Master List'!D:H,2,FALSE),"NA")</f>
        <v>520201</v>
      </c>
      <c r="F33" s="62" t="str">
        <f>IFERROR(VLOOKUP(D33,'Master List'!D:H,3,FALSE),"NA")</f>
        <v>520201</v>
      </c>
      <c r="G33" s="58" t="str">
        <f>IFERROR(VLOOKUP(D33,'Master List'!D:H,4,FALSE),"NA")</f>
        <v>520201</v>
      </c>
      <c r="H33" s="39" t="str">
        <f>IFERROR(VLOOKUP(D33,'Master List'!D:H,5,FALSE),"NA")</f>
        <v>Business Administration and Management, General.</v>
      </c>
      <c r="I33" s="19"/>
      <c r="J33" s="20"/>
      <c r="K33" s="20"/>
      <c r="L33" s="21"/>
    </row>
    <row r="34" spans="1:12" x14ac:dyDescent="0.3">
      <c r="A34" s="33">
        <v>23</v>
      </c>
      <c r="B34" s="33" t="s">
        <v>2167</v>
      </c>
      <c r="C34" s="34" t="s">
        <v>662</v>
      </c>
      <c r="D34" s="51" t="s">
        <v>227</v>
      </c>
      <c r="E34" s="61" t="str">
        <f>IFERROR(VLOOKUP(D34,'Master List'!D:H,2,FALSE),"NA")</f>
        <v>520302</v>
      </c>
      <c r="F34" s="62" t="str">
        <f>IFERROR(VLOOKUP(D34,'Master List'!D:H,3,FALSE),"NA")</f>
        <v>520302</v>
      </c>
      <c r="G34" s="58" t="str">
        <f>IFERROR(VLOOKUP(D34,'Master List'!D:H,4,FALSE),"NA")</f>
        <v>520302</v>
      </c>
      <c r="H34" s="39" t="str">
        <f>IFERROR(VLOOKUP(D34,'Master List'!D:H,5,FALSE),"NA")</f>
        <v>Accounting Technology/Technician and Bookkeeping.</v>
      </c>
      <c r="I34" s="19"/>
      <c r="J34" s="20"/>
      <c r="K34" s="20"/>
      <c r="L34" s="21"/>
    </row>
    <row r="35" spans="1:12" x14ac:dyDescent="0.3">
      <c r="A35" s="33">
        <v>23</v>
      </c>
      <c r="B35" s="33" t="s">
        <v>2167</v>
      </c>
      <c r="C35" s="34" t="s">
        <v>662</v>
      </c>
      <c r="D35" s="51" t="s">
        <v>232</v>
      </c>
      <c r="E35" s="61" t="str">
        <f>IFERROR(VLOOKUP(D35,'Master List'!D:H,2,FALSE),"NA")</f>
        <v>520701</v>
      </c>
      <c r="F35" s="62" t="str">
        <f>IFERROR(VLOOKUP(D35,'Master List'!D:H,3,FALSE),"NA")</f>
        <v>520701</v>
      </c>
      <c r="G35" s="58" t="str">
        <f>IFERROR(VLOOKUP(D35,'Master List'!D:H,4,FALSE),"NA")</f>
        <v>520701</v>
      </c>
      <c r="H35" s="39" t="str">
        <f>IFERROR(VLOOKUP(D35,'Master List'!D:H,5,FALSE),"NA")</f>
        <v>Entrepreneurship/Entrepreneurial Studies.</v>
      </c>
      <c r="I35" s="19"/>
      <c r="J35" s="20"/>
      <c r="K35" s="20"/>
      <c r="L35" s="21"/>
    </row>
    <row r="36" spans="1:12" x14ac:dyDescent="0.3">
      <c r="A36" s="33">
        <v>23</v>
      </c>
      <c r="B36" s="33" t="s">
        <v>2167</v>
      </c>
      <c r="C36" s="34" t="s">
        <v>662</v>
      </c>
      <c r="D36" s="51" t="s">
        <v>233</v>
      </c>
      <c r="E36" s="61" t="str">
        <f>IFERROR(VLOOKUP(D36,'Master List'!D:H,2,FALSE),"NA")</f>
        <v>520703</v>
      </c>
      <c r="F36" s="62" t="str">
        <f>IFERROR(VLOOKUP(D36,'Master List'!D:H,3,FALSE),"NA")</f>
        <v>520703</v>
      </c>
      <c r="G36" s="58" t="str">
        <f>IFERROR(VLOOKUP(D36,'Master List'!D:H,4,FALSE),"NA")</f>
        <v>520703</v>
      </c>
      <c r="H36" s="39" t="str">
        <f>IFERROR(VLOOKUP(D36,'Master List'!D:H,5,FALSE),"NA")</f>
        <v>Small Business Administration/Management.</v>
      </c>
      <c r="I36" s="19"/>
      <c r="J36" s="20"/>
      <c r="K36" s="20"/>
      <c r="L36" s="21"/>
    </row>
    <row r="37" spans="1:12" x14ac:dyDescent="0.3">
      <c r="A37" s="33">
        <v>23</v>
      </c>
      <c r="B37" s="33" t="s">
        <v>2167</v>
      </c>
      <c r="C37" s="34" t="s">
        <v>662</v>
      </c>
      <c r="D37" s="51" t="s">
        <v>234</v>
      </c>
      <c r="E37" s="61" t="str">
        <f>IFERROR(VLOOKUP(D37,'Master List'!D:H,2,FALSE),"NA")</f>
        <v>090702</v>
      </c>
      <c r="F37" s="62" t="str">
        <f>IFERROR(VLOOKUP(D37,'Master List'!D:H,3,FALSE),"NA")</f>
        <v>090702</v>
      </c>
      <c r="G37" s="58" t="str">
        <f>IFERROR(VLOOKUP(D37,'Master List'!D:H,4,FALSE),"NA")</f>
        <v>090702</v>
      </c>
      <c r="H37" s="39" t="str">
        <f>IFERROR(VLOOKUP(D37,'Master List'!D:H,5,FALSE),"NA")</f>
        <v>Digital Communication and Media/Multimedia.</v>
      </c>
      <c r="I37" s="19"/>
      <c r="J37" s="20"/>
      <c r="K37" s="20"/>
      <c r="L37" s="21"/>
    </row>
    <row r="38" spans="1:12" x14ac:dyDescent="0.3">
      <c r="A38" s="33">
        <v>23</v>
      </c>
      <c r="B38" s="33" t="s">
        <v>2167</v>
      </c>
      <c r="C38" s="34" t="s">
        <v>662</v>
      </c>
      <c r="D38" s="51" t="s">
        <v>591</v>
      </c>
      <c r="E38" s="61" t="str">
        <f>IFERROR(VLOOKUP(D38,'Master List'!D:H,2,FALSE),"NA")</f>
        <v>090702</v>
      </c>
      <c r="F38" s="62" t="str">
        <f>IFERROR(VLOOKUP(D38,'Master List'!D:H,3,FALSE),"NA")</f>
        <v>090702</v>
      </c>
      <c r="G38" s="58" t="str">
        <f>IFERROR(VLOOKUP(D38,'Master List'!D:H,4,FALSE),"NA")</f>
        <v>090702</v>
      </c>
      <c r="H38" s="39" t="str">
        <f>IFERROR(VLOOKUP(D38,'Master List'!D:H,5,FALSE),"NA")</f>
        <v>Digital Communication and Media/Multimedia.</v>
      </c>
      <c r="I38" s="19"/>
      <c r="J38" s="20"/>
      <c r="K38" s="20"/>
      <c r="L38" s="21"/>
    </row>
    <row r="39" spans="1:12" x14ac:dyDescent="0.3">
      <c r="A39" s="33">
        <v>23</v>
      </c>
      <c r="B39" s="33" t="s">
        <v>2167</v>
      </c>
      <c r="C39" s="34" t="s">
        <v>662</v>
      </c>
      <c r="D39" s="51" t="s">
        <v>43</v>
      </c>
      <c r="E39" s="61" t="str">
        <f>IFERROR(VLOOKUP(D39,'Master List'!D:H,2,FALSE),"NA")</f>
        <v>100105</v>
      </c>
      <c r="F39" s="62" t="str">
        <f>IFERROR(VLOOKUP(D39,'Master List'!D:H,3,FALSE),"NA")</f>
        <v>100105</v>
      </c>
      <c r="G39" s="58" t="str">
        <f>IFERROR(VLOOKUP(D39,'Master List'!D:H,4,FALSE),"NA")</f>
        <v>100105</v>
      </c>
      <c r="H39" s="39" t="str">
        <f>IFERROR(VLOOKUP(D39,'Master List'!D:H,5,FALSE),"NA")</f>
        <v>Communications Technology/Technician.</v>
      </c>
      <c r="I39" s="19"/>
      <c r="J39" s="20"/>
      <c r="K39" s="20"/>
      <c r="L39" s="21"/>
    </row>
    <row r="40" spans="1:12" x14ac:dyDescent="0.3">
      <c r="A40" s="33">
        <v>23</v>
      </c>
      <c r="B40" s="33" t="s">
        <v>2167</v>
      </c>
      <c r="C40" s="34" t="s">
        <v>662</v>
      </c>
      <c r="D40" s="51" t="s">
        <v>246</v>
      </c>
      <c r="E40" s="61" t="str">
        <f>IFERROR(VLOOKUP(D40,'Master List'!D:H,2,FALSE),"NA")</f>
        <v>150000</v>
      </c>
      <c r="F40" s="62" t="str">
        <f>IFERROR(VLOOKUP(D40,'Master List'!D:H,3,FALSE),"NA")</f>
        <v>150000</v>
      </c>
      <c r="G40" s="58" t="str">
        <f>IFERROR(VLOOKUP(D40,'Master List'!D:H,4,FALSE),"NA")</f>
        <v>150000</v>
      </c>
      <c r="H40" s="39" t="str">
        <f>IFERROR(VLOOKUP(D40,'Master List'!D:H,5,FALSE),"NA")</f>
        <v>Engineering Technologies/Technicians, General.</v>
      </c>
      <c r="I40" s="19"/>
      <c r="J40" s="20"/>
      <c r="K40" s="20"/>
      <c r="L40" s="21"/>
    </row>
    <row r="41" spans="1:12" x14ac:dyDescent="0.3">
      <c r="A41" s="33">
        <v>23</v>
      </c>
      <c r="B41" s="33" t="s">
        <v>2167</v>
      </c>
      <c r="C41" s="34" t="s">
        <v>662</v>
      </c>
      <c r="D41" s="51" t="s">
        <v>50</v>
      </c>
      <c r="E41" s="61" t="str">
        <f>IFERROR(VLOOKUP(D41,'Master List'!D:H,2,FALSE),"NA")</f>
        <v>150000</v>
      </c>
      <c r="F41" s="62" t="str">
        <f>IFERROR(VLOOKUP(D41,'Master List'!D:H,3,FALSE),"NA")</f>
        <v>150000</v>
      </c>
      <c r="G41" s="58" t="str">
        <f>IFERROR(VLOOKUP(D41,'Master List'!D:H,4,FALSE),"NA")</f>
        <v>150000</v>
      </c>
      <c r="H41" s="39" t="str">
        <f>IFERROR(VLOOKUP(D41,'Master List'!D:H,5,FALSE),"NA")</f>
        <v>Engineering Technologies/Technicians, General.</v>
      </c>
      <c r="I41" s="19"/>
      <c r="J41" s="20"/>
      <c r="K41" s="20"/>
      <c r="L41" s="21"/>
    </row>
    <row r="42" spans="1:12" x14ac:dyDescent="0.3">
      <c r="A42" s="33">
        <v>23</v>
      </c>
      <c r="B42" s="33" t="s">
        <v>2167</v>
      </c>
      <c r="C42" s="34" t="s">
        <v>662</v>
      </c>
      <c r="D42" s="51" t="s">
        <v>247</v>
      </c>
      <c r="E42" s="61" t="str">
        <f>IFERROR(VLOOKUP(D42,'Master List'!D:H,2,FALSE),"NA")</f>
        <v>150000</v>
      </c>
      <c r="F42" s="62" t="str">
        <f>IFERROR(VLOOKUP(D42,'Master List'!D:H,3,FALSE),"NA")</f>
        <v>150000</v>
      </c>
      <c r="G42" s="58" t="str">
        <f>IFERROR(VLOOKUP(D42,'Master List'!D:H,4,FALSE),"NA")</f>
        <v>150000</v>
      </c>
      <c r="H42" s="39" t="str">
        <f>IFERROR(VLOOKUP(D42,'Master List'!D:H,5,FALSE),"NA")</f>
        <v>Engineering Technologies/Technicians, General.</v>
      </c>
      <c r="I42" s="19"/>
      <c r="J42" s="20"/>
      <c r="K42" s="20"/>
      <c r="L42" s="21"/>
    </row>
    <row r="43" spans="1:12" x14ac:dyDescent="0.3">
      <c r="A43" s="33">
        <v>23</v>
      </c>
      <c r="B43" s="33" t="s">
        <v>2167</v>
      </c>
      <c r="C43" s="34" t="s">
        <v>662</v>
      </c>
      <c r="D43" s="51" t="s">
        <v>53</v>
      </c>
      <c r="E43" s="61" t="str">
        <f>IFERROR(VLOOKUP(D43,'Master List'!D:H,2,FALSE),"NA")</f>
        <v>150303</v>
      </c>
      <c r="F43" s="62" t="str">
        <f>IFERROR(VLOOKUP(D43,'Master List'!D:H,3,FALSE),"NA")</f>
        <v>150303</v>
      </c>
      <c r="G43" s="58" t="str">
        <f>IFERROR(VLOOKUP(D43,'Master List'!D:H,4,FALSE),"NA")</f>
        <v>150303</v>
      </c>
      <c r="H43" s="39" t="str">
        <f>IFERROR(VLOOKUP(D43,'Master List'!D:H,5,FALSE),"NA")</f>
        <v>Electrical, Electronic, and Communications Engineering Technology/Technician.</v>
      </c>
      <c r="I43" s="19"/>
      <c r="J43" s="20"/>
      <c r="K43" s="20"/>
      <c r="L43" s="21"/>
    </row>
    <row r="44" spans="1:12" x14ac:dyDescent="0.3">
      <c r="A44" s="33">
        <v>23</v>
      </c>
      <c r="B44" s="33" t="s">
        <v>2167</v>
      </c>
      <c r="C44" s="34" t="s">
        <v>662</v>
      </c>
      <c r="D44" s="51" t="s">
        <v>671</v>
      </c>
      <c r="E44" s="61" t="str">
        <f>IFERROR(VLOOKUP(D44,'Master List'!D:H,2,FALSE),"NA")</f>
        <v>150401</v>
      </c>
      <c r="F44" s="62" t="str">
        <f>IFERROR(VLOOKUP(D44,'Master List'!D:H,3,FALSE),"NA")</f>
        <v>150401</v>
      </c>
      <c r="G44" s="58" t="str">
        <f>IFERROR(VLOOKUP(D44,'Master List'!D:H,4,FALSE),"NA")</f>
        <v>150401</v>
      </c>
      <c r="H44" s="39" t="str">
        <f>IFERROR(VLOOKUP(D44,'Master List'!D:H,5,FALSE),"NA")</f>
        <v>Biomedical Technology/Technician.</v>
      </c>
      <c r="I44" s="19"/>
      <c r="J44" s="20"/>
      <c r="K44" s="20"/>
      <c r="L44" s="21"/>
    </row>
    <row r="45" spans="1:12" x14ac:dyDescent="0.3">
      <c r="A45" s="33">
        <v>23</v>
      </c>
      <c r="B45" s="33" t="s">
        <v>2167</v>
      </c>
      <c r="C45" s="34" t="s">
        <v>662</v>
      </c>
      <c r="D45" s="51" t="s">
        <v>672</v>
      </c>
      <c r="E45" s="61" t="str">
        <f>IFERROR(VLOOKUP(D45,'Master List'!D:H,2,FALSE),"NA")</f>
        <v>150702</v>
      </c>
      <c r="F45" s="62" t="str">
        <f>IFERROR(VLOOKUP(D45,'Master List'!D:H,3,FALSE),"NA")</f>
        <v>150702</v>
      </c>
      <c r="G45" s="58" t="str">
        <f>IFERROR(VLOOKUP(D45,'Master List'!D:H,4,FALSE),"NA")</f>
        <v>150702</v>
      </c>
      <c r="H45" s="39" t="str">
        <f>IFERROR(VLOOKUP(D45,'Master List'!D:H,5,FALSE),"NA")</f>
        <v>Quality Control Technology/Technician.</v>
      </c>
      <c r="I45" s="19"/>
      <c r="J45" s="20"/>
      <c r="K45" s="20"/>
      <c r="L45" s="21"/>
    </row>
    <row r="46" spans="1:12" x14ac:dyDescent="0.3">
      <c r="A46" s="33">
        <v>23</v>
      </c>
      <c r="B46" s="33" t="s">
        <v>2167</v>
      </c>
      <c r="C46" s="34" t="s">
        <v>662</v>
      </c>
      <c r="D46" s="51" t="s">
        <v>516</v>
      </c>
      <c r="E46" s="61" t="str">
        <f>IFERROR(VLOOKUP(D46,'Master List'!D:H,2,FALSE),"NA")</f>
        <v>150702</v>
      </c>
      <c r="F46" s="62" t="str">
        <f>IFERROR(VLOOKUP(D46,'Master List'!D:H,3,FALSE),"NA")</f>
        <v>150702</v>
      </c>
      <c r="G46" s="58" t="str">
        <f>IFERROR(VLOOKUP(D46,'Master List'!D:H,4,FALSE),"NA")</f>
        <v>150702</v>
      </c>
      <c r="H46" s="39" t="str">
        <f>IFERROR(VLOOKUP(D46,'Master List'!D:H,5,FALSE),"NA")</f>
        <v>Quality Control Technology/Technician.</v>
      </c>
      <c r="I46" s="19"/>
      <c r="J46" s="20"/>
      <c r="K46" s="20"/>
      <c r="L46" s="21"/>
    </row>
    <row r="47" spans="1:12" x14ac:dyDescent="0.3">
      <c r="A47" s="33">
        <v>23</v>
      </c>
      <c r="B47" s="33" t="s">
        <v>2167</v>
      </c>
      <c r="C47" s="34" t="s">
        <v>662</v>
      </c>
      <c r="D47" s="51" t="s">
        <v>259</v>
      </c>
      <c r="E47" s="61" t="str">
        <f>IFERROR(VLOOKUP(D47,'Master List'!D:H,2,FALSE),"NA")</f>
        <v>151301</v>
      </c>
      <c r="F47" s="62" t="str">
        <f>IFERROR(VLOOKUP(D47,'Master List'!D:H,3,FALSE),"NA")</f>
        <v>151301</v>
      </c>
      <c r="G47" s="58">
        <f>IFERROR(VLOOKUP(D47,'Master List'!D:H,4,FALSE),"NA")</f>
        <v>151302</v>
      </c>
      <c r="H47" s="39" t="str">
        <f>IFERROR(VLOOKUP(D47,'Master List'!D:H,5,FALSE),"NA")</f>
        <v>CAD/CADD Drafting and/or Design Technology/Technician</v>
      </c>
      <c r="I47" s="19"/>
      <c r="J47" s="20"/>
      <c r="K47" s="20"/>
      <c r="L47" s="21"/>
    </row>
    <row r="48" spans="1:12" x14ac:dyDescent="0.3">
      <c r="A48" s="33">
        <v>23</v>
      </c>
      <c r="B48" s="33" t="s">
        <v>2167</v>
      </c>
      <c r="C48" s="34" t="s">
        <v>662</v>
      </c>
      <c r="D48" s="51" t="s">
        <v>437</v>
      </c>
      <c r="E48" s="61" t="str">
        <f>IFERROR(VLOOKUP(D48,'Master List'!D:H,2,FALSE),"NA")</f>
        <v>151303</v>
      </c>
      <c r="F48" s="62" t="str">
        <f>IFERROR(VLOOKUP(D48,'Master List'!D:H,3,FALSE),"NA")</f>
        <v>151303</v>
      </c>
      <c r="G48" s="58" t="str">
        <f>IFERROR(VLOOKUP(D48,'Master List'!D:H,4,FALSE),"NA")</f>
        <v>151303</v>
      </c>
      <c r="H48" s="39" t="str">
        <f>IFERROR(VLOOKUP(D48,'Master List'!D:H,5,FALSE),"NA")</f>
        <v>Architectural Drafting and Architectural CAD/CADD.</v>
      </c>
      <c r="I48" s="19"/>
      <c r="J48" s="20"/>
      <c r="K48" s="20"/>
      <c r="L48" s="21"/>
    </row>
    <row r="49" spans="1:12" x14ac:dyDescent="0.3">
      <c r="A49" s="33">
        <v>23</v>
      </c>
      <c r="B49" s="33" t="s">
        <v>2167</v>
      </c>
      <c r="C49" s="34" t="s">
        <v>662</v>
      </c>
      <c r="D49" s="51" t="s">
        <v>673</v>
      </c>
      <c r="E49" s="61" t="str">
        <f>IFERROR(VLOOKUP(D49,'Master List'!D:H,2,FALSE),"NA")</f>
        <v>303301</v>
      </c>
      <c r="F49" s="62" t="str">
        <f>IFERROR(VLOOKUP(D49,'Master List'!D:H,3,FALSE),"NA")</f>
        <v>303301</v>
      </c>
      <c r="G49" s="58" t="str">
        <f>IFERROR(VLOOKUP(D49,'Master List'!D:H,4,FALSE),"NA")</f>
        <v>303301</v>
      </c>
      <c r="H49" s="39" t="str">
        <f>IFERROR(VLOOKUP(D49,'Master List'!D:H,5,FALSE),"NA")</f>
        <v>Sustainability Studies.</v>
      </c>
      <c r="I49" s="19"/>
      <c r="J49" s="20"/>
      <c r="K49" s="20"/>
      <c r="L49" s="21"/>
    </row>
    <row r="50" spans="1:12" x14ac:dyDescent="0.3">
      <c r="A50" s="33">
        <v>23</v>
      </c>
      <c r="B50" s="33" t="s">
        <v>2167</v>
      </c>
      <c r="C50" s="34" t="s">
        <v>662</v>
      </c>
      <c r="D50" s="51" t="s">
        <v>59</v>
      </c>
      <c r="E50" s="61" t="str">
        <f>IFERROR(VLOOKUP(D50,'Master List'!D:H,2,FALSE),"NA")</f>
        <v>500102</v>
      </c>
      <c r="F50" s="62" t="str">
        <f>IFERROR(VLOOKUP(D50,'Master List'!D:H,3,FALSE),"NA")</f>
        <v>500102</v>
      </c>
      <c r="G50" s="58" t="str">
        <f>IFERROR(VLOOKUP(D50,'Master List'!D:H,4,FALSE),"NA")</f>
        <v>500102</v>
      </c>
      <c r="H50" s="39" t="str">
        <f>IFERROR(VLOOKUP(D50,'Master List'!D:H,5,FALSE),"NA")</f>
        <v>Digital Arts.</v>
      </c>
      <c r="I50" s="19"/>
      <c r="J50" s="20"/>
      <c r="K50" s="20"/>
      <c r="L50" s="21"/>
    </row>
    <row r="51" spans="1:12" x14ac:dyDescent="0.3">
      <c r="A51" s="33">
        <v>23</v>
      </c>
      <c r="B51" s="33" t="s">
        <v>2167</v>
      </c>
      <c r="C51" s="34" t="s">
        <v>662</v>
      </c>
      <c r="D51" s="51" t="s">
        <v>62</v>
      </c>
      <c r="E51" s="61" t="str">
        <f>IFERROR(VLOOKUP(D51,'Master List'!D:H,2,FALSE),"NA")</f>
        <v>500602</v>
      </c>
      <c r="F51" s="62" t="str">
        <f>IFERROR(VLOOKUP(D51,'Master List'!D:H,3,FALSE),"NA")</f>
        <v>500602</v>
      </c>
      <c r="G51" s="58">
        <f>IFERROR(VLOOKUP(D51,'Master List'!D:H,4,FALSE),"NA")</f>
        <v>100203</v>
      </c>
      <c r="H51" s="39" t="str">
        <f>IFERROR(VLOOKUP(D51,'Master List'!D:H,5,FALSE),"NA")</f>
        <v>Recording Arts Technology/Technician</v>
      </c>
      <c r="I51" s="19"/>
      <c r="J51" s="20"/>
      <c r="K51" s="20"/>
      <c r="L51" s="21"/>
    </row>
    <row r="52" spans="1:12" x14ac:dyDescent="0.3">
      <c r="A52" s="33">
        <v>23</v>
      </c>
      <c r="B52" s="33" t="s">
        <v>2167</v>
      </c>
      <c r="C52" s="34" t="s">
        <v>662</v>
      </c>
      <c r="D52" s="51" t="s">
        <v>676</v>
      </c>
      <c r="E52" s="61" t="str">
        <f>IFERROR(VLOOKUP(D52,'Master List'!D:H,2,FALSE),"NA")</f>
        <v>500605</v>
      </c>
      <c r="F52" s="62" t="str">
        <f>IFERROR(VLOOKUP(D52,'Master List'!D:H,3,FALSE),"NA")</f>
        <v>500605</v>
      </c>
      <c r="G52" s="58" t="str">
        <f>IFERROR(VLOOKUP(D52,'Master List'!D:H,4,FALSE),"NA")</f>
        <v>500605</v>
      </c>
      <c r="H52" s="39" t="str">
        <f>IFERROR(VLOOKUP(D52,'Master List'!D:H,5,FALSE),"NA")</f>
        <v>Photography.</v>
      </c>
      <c r="I52" s="19"/>
      <c r="J52" s="20"/>
      <c r="K52" s="20"/>
      <c r="L52" s="21"/>
    </row>
    <row r="53" spans="1:12" x14ac:dyDescent="0.3">
      <c r="A53" s="33">
        <v>23</v>
      </c>
      <c r="B53" s="33" t="s">
        <v>2167</v>
      </c>
      <c r="C53" s="34" t="s">
        <v>662</v>
      </c>
      <c r="D53" s="51" t="s">
        <v>65</v>
      </c>
      <c r="E53" s="61" t="str">
        <f>IFERROR(VLOOKUP(D53,'Master List'!D:H,2,FALSE),"NA")</f>
        <v>520209</v>
      </c>
      <c r="F53" s="62" t="str">
        <f>IFERROR(VLOOKUP(D53,'Master List'!D:H,3,FALSE),"NA")</f>
        <v>520209</v>
      </c>
      <c r="G53" s="58" t="str">
        <f>IFERROR(VLOOKUP(D53,'Master List'!D:H,4,FALSE),"NA")</f>
        <v>520209</v>
      </c>
      <c r="H53" s="39" t="str">
        <f>IFERROR(VLOOKUP(D53,'Master List'!D:H,5,FALSE),"NA")</f>
        <v>Transportation/Mobility Management.</v>
      </c>
      <c r="I53" s="19"/>
      <c r="J53" s="20"/>
      <c r="K53" s="20"/>
      <c r="L53" s="21"/>
    </row>
    <row r="54" spans="1:12" x14ac:dyDescent="0.3">
      <c r="A54" s="33">
        <v>23</v>
      </c>
      <c r="B54" s="33" t="s">
        <v>2167</v>
      </c>
      <c r="C54" s="34" t="s">
        <v>662</v>
      </c>
      <c r="D54" s="51" t="s">
        <v>677</v>
      </c>
      <c r="E54" s="61" t="str">
        <f>IFERROR(VLOOKUP(D54,'Master List'!D:H,2,FALSE),"NA")</f>
        <v>030104</v>
      </c>
      <c r="F54" s="62" t="str">
        <f>IFERROR(VLOOKUP(D54,'Master List'!D:H,3,FALSE),"NA")</f>
        <v>030104</v>
      </c>
      <c r="G54" s="58" t="str">
        <f>IFERROR(VLOOKUP(D54,'Master List'!D:H,4,FALSE),"NA")</f>
        <v>030104</v>
      </c>
      <c r="H54" s="39" t="str">
        <f>IFERROR(VLOOKUP(D54,'Master List'!D:H,5,FALSE),"NA")</f>
        <v>Environmental Science.</v>
      </c>
      <c r="I54" s="19"/>
      <c r="J54" s="20"/>
      <c r="K54" s="20"/>
      <c r="L54" s="21"/>
    </row>
    <row r="55" spans="1:12" x14ac:dyDescent="0.3">
      <c r="A55" s="33">
        <v>23</v>
      </c>
      <c r="B55" s="33" t="s">
        <v>2167</v>
      </c>
      <c r="C55" s="34" t="s">
        <v>662</v>
      </c>
      <c r="D55" s="51" t="s">
        <v>68</v>
      </c>
      <c r="E55" s="61" t="str">
        <f>IFERROR(VLOOKUP(D55,'Master List'!D:H,2,FALSE),"NA")</f>
        <v>430102</v>
      </c>
      <c r="F55" s="62" t="str">
        <f>IFERROR(VLOOKUP(D55,'Master List'!D:H,3,FALSE),"NA")</f>
        <v>430102</v>
      </c>
      <c r="G55" s="58" t="str">
        <f>IFERROR(VLOOKUP(D55,'Master List'!D:H,4,FALSE),"NA")</f>
        <v>430102</v>
      </c>
      <c r="H55" s="39" t="str">
        <f>IFERROR(VLOOKUP(D55,'Master List'!D:H,5,FALSE),"NA")</f>
        <v>Corrections.</v>
      </c>
      <c r="I55" s="19"/>
      <c r="J55" s="20"/>
      <c r="K55" s="20"/>
      <c r="L55" s="21"/>
    </row>
    <row r="56" spans="1:12" x14ac:dyDescent="0.3">
      <c r="A56" s="33">
        <v>23</v>
      </c>
      <c r="B56" s="33" t="s">
        <v>2167</v>
      </c>
      <c r="C56" s="34" t="s">
        <v>662</v>
      </c>
      <c r="D56" s="51" t="s">
        <v>316</v>
      </c>
      <c r="E56" s="61" t="str">
        <f>IFERROR(VLOOKUP(D56,'Master List'!D:H,2,FALSE),"NA")</f>
        <v>430103</v>
      </c>
      <c r="F56" s="62" t="str">
        <f>IFERROR(VLOOKUP(D56,'Master List'!D:H,3,FALSE),"NA")</f>
        <v>430103</v>
      </c>
      <c r="G56" s="58" t="str">
        <f>IFERROR(VLOOKUP(D56,'Master List'!D:H,4,FALSE),"NA")</f>
        <v>430103</v>
      </c>
      <c r="H56" s="39" t="str">
        <f>IFERROR(VLOOKUP(D56,'Master List'!D:H,5,FALSE),"NA")</f>
        <v>Criminal Justice/Law Enforcement Administration.</v>
      </c>
      <c r="I56" s="19"/>
      <c r="J56" s="20"/>
      <c r="K56" s="20"/>
      <c r="L56" s="21"/>
    </row>
    <row r="57" spans="1:12" x14ac:dyDescent="0.3">
      <c r="A57" s="33">
        <v>23</v>
      </c>
      <c r="B57" s="33" t="s">
        <v>2167</v>
      </c>
      <c r="C57" s="34" t="s">
        <v>662</v>
      </c>
      <c r="D57" s="51" t="s">
        <v>395</v>
      </c>
      <c r="E57" s="61" t="str">
        <f>IFERROR(VLOOKUP(D57,'Master List'!D:H,2,FALSE),"NA")</f>
        <v>430106</v>
      </c>
      <c r="F57" s="62" t="str">
        <f>IFERROR(VLOOKUP(D57,'Master List'!D:H,3,FALSE),"NA")</f>
        <v>430406</v>
      </c>
      <c r="G57" s="58" t="str">
        <f>IFERROR(VLOOKUP(D57,'Master List'!D:H,4,FALSE),"NA")</f>
        <v>430406</v>
      </c>
      <c r="H57" s="39" t="str">
        <f>IFERROR(VLOOKUP(D57,'Master List'!D:H,5,FALSE),"NA")</f>
        <v>Forensic Science and Technology.</v>
      </c>
      <c r="I57" s="19"/>
      <c r="J57" s="20"/>
      <c r="K57" s="20"/>
      <c r="L57" s="21"/>
    </row>
    <row r="58" spans="1:12" x14ac:dyDescent="0.3">
      <c r="A58" s="33">
        <v>23</v>
      </c>
      <c r="B58" s="33" t="s">
        <v>2167</v>
      </c>
      <c r="C58" s="34" t="s">
        <v>662</v>
      </c>
      <c r="D58" s="51" t="s">
        <v>71</v>
      </c>
      <c r="E58" s="61" t="str">
        <f>IFERROR(VLOOKUP(D58,'Master List'!D:H,2,FALSE),"NA")</f>
        <v>430107</v>
      </c>
      <c r="F58" s="62" t="str">
        <f>IFERROR(VLOOKUP(D58,'Master List'!D:H,3,FALSE),"NA")</f>
        <v>430107</v>
      </c>
      <c r="G58" s="58" t="str">
        <f>IFERROR(VLOOKUP(D58,'Master List'!D:H,4,FALSE),"NA")</f>
        <v>430107</v>
      </c>
      <c r="H58" s="39" t="str">
        <f>IFERROR(VLOOKUP(D58,'Master List'!D:H,5,FALSE),"NA")</f>
        <v>Criminal Justice/Police Science.</v>
      </c>
      <c r="I58" s="19"/>
      <c r="J58" s="20"/>
      <c r="K58" s="20"/>
      <c r="L58" s="21"/>
    </row>
    <row r="59" spans="1:12" x14ac:dyDescent="0.3">
      <c r="A59" s="33">
        <v>23</v>
      </c>
      <c r="B59" s="33" t="s">
        <v>2167</v>
      </c>
      <c r="C59" s="34" t="s">
        <v>662</v>
      </c>
      <c r="D59" s="51" t="s">
        <v>575</v>
      </c>
      <c r="E59" s="61" t="str">
        <f>IFERROR(VLOOKUP(D59,'Master List'!D:H,2,FALSE),"NA")</f>
        <v>430112</v>
      </c>
      <c r="F59" s="62" t="str">
        <f>IFERROR(VLOOKUP(D59,'Master List'!D:H,3,FALSE),"NA")</f>
        <v>430112</v>
      </c>
      <c r="G59" s="58" t="str">
        <f>IFERROR(VLOOKUP(D59,'Master List'!D:H,4,FALSE),"NA")</f>
        <v>430112</v>
      </c>
      <c r="H59" s="39" t="str">
        <f>IFERROR(VLOOKUP(D59,'Master List'!D:H,5,FALSE),"NA")</f>
        <v>Securities Services Administration/Management.</v>
      </c>
      <c r="I59" s="19"/>
      <c r="J59" s="20"/>
      <c r="K59" s="20"/>
      <c r="L59" s="21"/>
    </row>
    <row r="60" spans="1:12" x14ac:dyDescent="0.3">
      <c r="A60" s="33">
        <v>23</v>
      </c>
      <c r="B60" s="33" t="s">
        <v>2167</v>
      </c>
      <c r="C60" s="34" t="s">
        <v>662</v>
      </c>
      <c r="D60" s="51" t="s">
        <v>578</v>
      </c>
      <c r="E60" s="61" t="str">
        <f>IFERROR(VLOOKUP(D60,'Master List'!D:H,2,FALSE),"NA")</f>
        <v>430201</v>
      </c>
      <c r="F60" s="62" t="str">
        <f>IFERROR(VLOOKUP(D60,'Master List'!D:H,3,FALSE),"NA")</f>
        <v>430201</v>
      </c>
      <c r="G60" s="58" t="str">
        <f>IFERROR(VLOOKUP(D60,'Master List'!D:H,4,FALSE),"NA")</f>
        <v>430201</v>
      </c>
      <c r="H60" s="39" t="str">
        <f>IFERROR(VLOOKUP(D60,'Master List'!D:H,5,FALSE),"NA")</f>
        <v>Fire Prevention and Safety Technology/Technician.</v>
      </c>
      <c r="I60" s="19"/>
      <c r="J60" s="20"/>
      <c r="K60" s="20"/>
      <c r="L60" s="21"/>
    </row>
    <row r="61" spans="1:12" x14ac:dyDescent="0.3">
      <c r="A61" s="33">
        <v>23</v>
      </c>
      <c r="B61" s="33" t="s">
        <v>2167</v>
      </c>
      <c r="C61" s="34" t="s">
        <v>662</v>
      </c>
      <c r="D61" s="51" t="s">
        <v>317</v>
      </c>
      <c r="E61" s="61" t="str">
        <f>IFERROR(VLOOKUP(D61,'Master List'!D:H,2,FALSE),"NA")</f>
        <v>NA</v>
      </c>
      <c r="F61" s="62" t="str">
        <f>IFERROR(VLOOKUP(D61,'Master List'!D:H,3,FALSE),"NA")</f>
        <v>NA</v>
      </c>
      <c r="G61" s="58" t="str">
        <f>IFERROR(VLOOKUP(D61,'Master List'!D:H,4,FALSE),"NA")</f>
        <v>NA</v>
      </c>
      <c r="H61" s="39" t="str">
        <f>IFERROR(VLOOKUP(D61,'Master List'!D:H,5,FALSE),"NA")</f>
        <v>NA</v>
      </c>
      <c r="I61" s="19"/>
      <c r="J61" s="20"/>
      <c r="K61" s="20"/>
      <c r="L61" s="21"/>
    </row>
    <row r="62" spans="1:12" x14ac:dyDescent="0.3">
      <c r="A62" s="33">
        <v>23</v>
      </c>
      <c r="B62" s="33" t="s">
        <v>2167</v>
      </c>
      <c r="C62" s="34" t="s">
        <v>662</v>
      </c>
      <c r="D62" s="51" t="s">
        <v>75</v>
      </c>
      <c r="E62" s="61" t="str">
        <f>IFERROR(VLOOKUP(D62,'Master List'!D:H,2,FALSE),"NA")</f>
        <v>430203</v>
      </c>
      <c r="F62" s="62" t="str">
        <f>IFERROR(VLOOKUP(D62,'Master List'!D:H,3,FALSE),"NA")</f>
        <v>430203</v>
      </c>
      <c r="G62" s="58" t="str">
        <f>IFERROR(VLOOKUP(D62,'Master List'!D:H,4,FALSE),"NA")</f>
        <v>430203</v>
      </c>
      <c r="H62" s="39" t="str">
        <f>IFERROR(VLOOKUP(D62,'Master List'!D:H,5,FALSE),"NA")</f>
        <v>Fire Science/Fire-fighting.</v>
      </c>
      <c r="I62" s="19"/>
      <c r="J62" s="20"/>
      <c r="K62" s="20"/>
      <c r="L62" s="21"/>
    </row>
    <row r="63" spans="1:12" x14ac:dyDescent="0.3">
      <c r="A63" s="33">
        <v>23</v>
      </c>
      <c r="B63" s="33" t="s">
        <v>2167</v>
      </c>
      <c r="C63" s="34" t="s">
        <v>662</v>
      </c>
      <c r="D63" s="51" t="s">
        <v>318</v>
      </c>
      <c r="E63" s="61" t="str">
        <f>IFERROR(VLOOKUP(D63,'Master List'!D:H,2,FALSE),"NA")</f>
        <v>430203</v>
      </c>
      <c r="F63" s="62" t="str">
        <f>IFERROR(VLOOKUP(D63,'Master List'!D:H,3,FALSE),"NA")</f>
        <v>430203</v>
      </c>
      <c r="G63" s="58" t="str">
        <f>IFERROR(VLOOKUP(D63,'Master List'!D:H,4,FALSE),"NA")</f>
        <v>430203</v>
      </c>
      <c r="H63" s="39" t="str">
        <f>IFERROR(VLOOKUP(D63,'Master List'!D:H,5,FALSE),"NA")</f>
        <v>Fire Science/Fire-fighting.</v>
      </c>
      <c r="I63" s="19"/>
      <c r="J63" s="20"/>
      <c r="K63" s="20"/>
      <c r="L63" s="21"/>
    </row>
    <row r="64" spans="1:12" x14ac:dyDescent="0.3">
      <c r="A64" s="33">
        <v>23</v>
      </c>
      <c r="B64" s="33" t="s">
        <v>2167</v>
      </c>
      <c r="C64" s="34" t="s">
        <v>662</v>
      </c>
      <c r="D64" s="51" t="s">
        <v>678</v>
      </c>
      <c r="E64" s="61" t="str">
        <f>IFERROR(VLOOKUP(D64,'Master List'!D:H,2,FALSE),"NA")</f>
        <v>NA</v>
      </c>
      <c r="F64" s="62" t="str">
        <f>IFERROR(VLOOKUP(D64,'Master List'!D:H,3,FALSE),"NA")</f>
        <v>NA</v>
      </c>
      <c r="G64" s="58" t="str">
        <f>IFERROR(VLOOKUP(D64,'Master List'!D:H,4,FALSE),"NA")</f>
        <v>NA</v>
      </c>
      <c r="H64" s="39" t="str">
        <f>IFERROR(VLOOKUP(D64,'Master List'!D:H,5,FALSE),"NA")</f>
        <v>NA</v>
      </c>
      <c r="I64" s="19"/>
      <c r="J64" s="20"/>
      <c r="K64" s="20"/>
      <c r="L64" s="21"/>
    </row>
    <row r="65" spans="1:12" x14ac:dyDescent="0.3">
      <c r="A65" s="33">
        <v>23</v>
      </c>
      <c r="B65" s="33" t="s">
        <v>2167</v>
      </c>
      <c r="C65" s="34" t="s">
        <v>662</v>
      </c>
      <c r="D65" s="51" t="s">
        <v>319</v>
      </c>
      <c r="E65" s="61" t="str">
        <f>IFERROR(VLOOKUP(D65,'Master List'!D:H,2,FALSE),"NA")</f>
        <v>430302</v>
      </c>
      <c r="F65" s="62" t="str">
        <f>IFERROR(VLOOKUP(D65,'Master List'!D:H,3,FALSE),"NA")</f>
        <v>430302</v>
      </c>
      <c r="G65" s="58" t="str">
        <f>IFERROR(VLOOKUP(D65,'Master List'!D:H,4,FALSE),"NA")</f>
        <v>430302</v>
      </c>
      <c r="H65" s="39" t="str">
        <f>IFERROR(VLOOKUP(D65,'Master List'!D:H,5,FALSE),"NA")</f>
        <v>Crisis/Emergency/Disaster Management.</v>
      </c>
      <c r="I65" s="19"/>
      <c r="J65" s="20"/>
      <c r="K65" s="20"/>
      <c r="L65" s="21"/>
    </row>
    <row r="66" spans="1:12" x14ac:dyDescent="0.3">
      <c r="A66" s="33">
        <v>23</v>
      </c>
      <c r="B66" s="33" t="s">
        <v>2167</v>
      </c>
      <c r="C66" s="34" t="s">
        <v>662</v>
      </c>
      <c r="D66" s="51" t="s">
        <v>606</v>
      </c>
      <c r="E66" s="61" t="str">
        <f>IFERROR(VLOOKUP(D66,'Master List'!D:H,2,FALSE),"NA")</f>
        <v>430399</v>
      </c>
      <c r="F66" s="62" t="str">
        <f>IFERROR(VLOOKUP(D66,'Master List'!D:H,3,FALSE),"NA")</f>
        <v>430399</v>
      </c>
      <c r="G66" s="58" t="str">
        <f>IFERROR(VLOOKUP(D66,'Master List'!D:H,4,FALSE),"NA")</f>
        <v>430399</v>
      </c>
      <c r="H66" s="39" t="str">
        <f>IFERROR(VLOOKUP(D66,'Master List'!D:H,5,FALSE),"NA")</f>
        <v>Homeland Security, Other.</v>
      </c>
      <c r="I66" s="19"/>
      <c r="J66" s="20"/>
      <c r="K66" s="20"/>
      <c r="L66" s="21"/>
    </row>
    <row r="67" spans="1:12" x14ac:dyDescent="0.3">
      <c r="A67" s="33">
        <v>23</v>
      </c>
      <c r="B67" s="33" t="s">
        <v>2167</v>
      </c>
      <c r="C67" s="34" t="s">
        <v>662</v>
      </c>
      <c r="D67" s="51" t="s">
        <v>166</v>
      </c>
      <c r="E67" s="61" t="str">
        <f>IFERROR(VLOOKUP(D67,'Master List'!D:H,2,FALSE),"NA")</f>
        <v>NA</v>
      </c>
      <c r="F67" s="62" t="str">
        <f>IFERROR(VLOOKUP(D67,'Master List'!D:H,3,FALSE),"NA")</f>
        <v>NA</v>
      </c>
      <c r="G67" s="58" t="str">
        <f>IFERROR(VLOOKUP(D67,'Master List'!D:H,4,FALSE),"NA")</f>
        <v>NA</v>
      </c>
      <c r="H67" s="39" t="str">
        <f>IFERROR(VLOOKUP(D67,'Master List'!D:H,5,FALSE),"NA")</f>
        <v>NA</v>
      </c>
      <c r="I67" s="19"/>
      <c r="J67" s="20"/>
      <c r="K67" s="20"/>
      <c r="L67" s="21"/>
    </row>
    <row r="68" spans="1:12" x14ac:dyDescent="0.3">
      <c r="A68" s="33">
        <v>23</v>
      </c>
      <c r="B68" s="33" t="s">
        <v>2167</v>
      </c>
      <c r="C68" s="34" t="s">
        <v>662</v>
      </c>
      <c r="D68" s="51" t="s">
        <v>79</v>
      </c>
      <c r="E68" s="61" t="str">
        <f>IFERROR(VLOOKUP(D68,'Master List'!D:H,2,FALSE),"NA")</f>
        <v>520901</v>
      </c>
      <c r="F68" s="62" t="str">
        <f>IFERROR(VLOOKUP(D68,'Master List'!D:H,3,FALSE),"NA")</f>
        <v>520901</v>
      </c>
      <c r="G68" s="58" t="str">
        <f>IFERROR(VLOOKUP(D68,'Master List'!D:H,4,FALSE),"NA")</f>
        <v>520901</v>
      </c>
      <c r="H68" s="39" t="str">
        <f>IFERROR(VLOOKUP(D68,'Master List'!D:H,5,FALSE),"NA")</f>
        <v>Hospitality Administration/Management, General.</v>
      </c>
      <c r="I68" s="19"/>
      <c r="J68" s="20"/>
      <c r="K68" s="20"/>
      <c r="L68" s="21"/>
    </row>
    <row r="69" spans="1:12" x14ac:dyDescent="0.3">
      <c r="A69" s="33">
        <v>23</v>
      </c>
      <c r="B69" s="33" t="s">
        <v>2167</v>
      </c>
      <c r="C69" s="34" t="s">
        <v>662</v>
      </c>
      <c r="D69" s="51" t="s">
        <v>323</v>
      </c>
      <c r="E69" s="61" t="str">
        <f>IFERROR(VLOOKUP(D69,'Master List'!D:H,2,FALSE),"NA")</f>
        <v>120301</v>
      </c>
      <c r="F69" s="62" t="str">
        <f>IFERROR(VLOOKUP(D69,'Master List'!D:H,3,FALSE),"NA")</f>
        <v>120301</v>
      </c>
      <c r="G69" s="58" t="str">
        <f>IFERROR(VLOOKUP(D69,'Master List'!D:H,4,FALSE),"NA")</f>
        <v>120301</v>
      </c>
      <c r="H69" s="39" t="str">
        <f>IFERROR(VLOOKUP(D69,'Master List'!D:H,5,FALSE),"NA")</f>
        <v>Funeral Service and Mortuary Science, General.</v>
      </c>
      <c r="I69" s="19"/>
      <c r="J69" s="20"/>
      <c r="K69" s="20"/>
      <c r="L69" s="21"/>
    </row>
    <row r="70" spans="1:12" x14ac:dyDescent="0.3">
      <c r="A70" s="33">
        <v>23</v>
      </c>
      <c r="B70" s="33" t="s">
        <v>2167</v>
      </c>
      <c r="C70" s="34" t="s">
        <v>662</v>
      </c>
      <c r="D70" s="51" t="s">
        <v>324</v>
      </c>
      <c r="E70" s="61" t="str">
        <f>IFERROR(VLOOKUP(D70,'Master List'!D:H,2,FALSE),"NA")</f>
        <v>410101</v>
      </c>
      <c r="F70" s="62" t="str">
        <f>IFERROR(VLOOKUP(D70,'Master List'!D:H,3,FALSE),"NA")</f>
        <v>410101</v>
      </c>
      <c r="G70" s="58" t="str">
        <f>IFERROR(VLOOKUP(D70,'Master List'!D:H,4,FALSE),"NA")</f>
        <v>410101</v>
      </c>
      <c r="H70" s="39" t="str">
        <f>IFERROR(VLOOKUP(D70,'Master List'!D:H,5,FALSE),"NA")</f>
        <v>Biology/Biotechnology Technology/Technician.</v>
      </c>
      <c r="I70" s="19"/>
      <c r="J70" s="20"/>
      <c r="K70" s="20"/>
      <c r="L70" s="21"/>
    </row>
    <row r="71" spans="1:12" x14ac:dyDescent="0.3">
      <c r="A71" s="33">
        <v>23</v>
      </c>
      <c r="B71" s="33" t="s">
        <v>2167</v>
      </c>
      <c r="C71" s="34" t="s">
        <v>662</v>
      </c>
      <c r="D71" s="51" t="s">
        <v>84</v>
      </c>
      <c r="E71" s="61" t="str">
        <f>IFERROR(VLOOKUP(D71,'Master List'!D:H,2,FALSE),"NA")</f>
        <v>510602</v>
      </c>
      <c r="F71" s="62" t="str">
        <f>IFERROR(VLOOKUP(D71,'Master List'!D:H,3,FALSE),"NA")</f>
        <v>510602</v>
      </c>
      <c r="G71" s="58" t="str">
        <f>IFERROR(VLOOKUP(D71,'Master List'!D:H,4,FALSE),"NA")</f>
        <v>510602</v>
      </c>
      <c r="H71" s="39" t="str">
        <f>IFERROR(VLOOKUP(D71,'Master List'!D:H,5,FALSE),"NA")</f>
        <v>Dental Hygiene/Hygienist.</v>
      </c>
      <c r="I71" s="19"/>
      <c r="J71" s="20"/>
      <c r="K71" s="20"/>
      <c r="L71" s="21"/>
    </row>
    <row r="72" spans="1:12" x14ac:dyDescent="0.3">
      <c r="A72" s="33">
        <v>23</v>
      </c>
      <c r="B72" s="33" t="s">
        <v>2167</v>
      </c>
      <c r="C72" s="34" t="s">
        <v>662</v>
      </c>
      <c r="D72" s="51" t="s">
        <v>612</v>
      </c>
      <c r="E72" s="61" t="str">
        <f>IFERROR(VLOOKUP(D72,'Master List'!D:H,2,FALSE),"NA")</f>
        <v>510701</v>
      </c>
      <c r="F72" s="62" t="str">
        <f>IFERROR(VLOOKUP(D72,'Master List'!D:H,3,FALSE),"NA")</f>
        <v>510701</v>
      </c>
      <c r="G72" s="58" t="str">
        <f>IFERROR(VLOOKUP(D72,'Master List'!D:H,4,FALSE),"NA")</f>
        <v>510701</v>
      </c>
      <c r="H72" s="39" t="str">
        <f>IFERROR(VLOOKUP(D72,'Master List'!D:H,5,FALSE),"NA")</f>
        <v>Health/Health Care Administration/Management.</v>
      </c>
      <c r="I72" s="19"/>
      <c r="J72" s="20"/>
      <c r="K72" s="20"/>
      <c r="L72" s="21"/>
    </row>
    <row r="73" spans="1:12" x14ac:dyDescent="0.3">
      <c r="A73" s="33">
        <v>23</v>
      </c>
      <c r="B73" s="33" t="s">
        <v>2167</v>
      </c>
      <c r="C73" s="34" t="s">
        <v>662</v>
      </c>
      <c r="D73" s="51" t="s">
        <v>325</v>
      </c>
      <c r="E73" s="61" t="str">
        <f>IFERROR(VLOOKUP(D73,'Master List'!D:H,2,FALSE),"NA")</f>
        <v>510707</v>
      </c>
      <c r="F73" s="62" t="str">
        <f>IFERROR(VLOOKUP(D73,'Master List'!D:H,3,FALSE),"NA")</f>
        <v>510707</v>
      </c>
      <c r="G73" s="58" t="str">
        <f>IFERROR(VLOOKUP(D73,'Master List'!D:H,4,FALSE),"NA")</f>
        <v>510707</v>
      </c>
      <c r="H73" s="39" t="str">
        <f>IFERROR(VLOOKUP(D73,'Master List'!D:H,5,FALSE),"NA")</f>
        <v>Health Information/Medical Records Technology/Technician.</v>
      </c>
      <c r="I73" s="19"/>
      <c r="J73" s="20"/>
      <c r="K73" s="20"/>
      <c r="L73" s="21"/>
    </row>
    <row r="74" spans="1:12" x14ac:dyDescent="0.3">
      <c r="A74" s="33">
        <v>23</v>
      </c>
      <c r="B74" s="33" t="s">
        <v>2167</v>
      </c>
      <c r="C74" s="34" t="s">
        <v>662</v>
      </c>
      <c r="D74" s="51" t="s">
        <v>87</v>
      </c>
      <c r="E74" s="61" t="str">
        <f>IFERROR(VLOOKUP(D74,'Master List'!D:H,2,FALSE),"NA")</f>
        <v>510806</v>
      </c>
      <c r="F74" s="62" t="str">
        <f>IFERROR(VLOOKUP(D74,'Master List'!D:H,3,FALSE),"NA")</f>
        <v>510806</v>
      </c>
      <c r="G74" s="58" t="str">
        <f>IFERROR(VLOOKUP(D74,'Master List'!D:H,4,FALSE),"NA")</f>
        <v>510806</v>
      </c>
      <c r="H74" s="39" t="str">
        <f>IFERROR(VLOOKUP(D74,'Master List'!D:H,5,FALSE),"NA")</f>
        <v>Physical Therapy Assistant.</v>
      </c>
      <c r="I74" s="19"/>
      <c r="J74" s="20"/>
      <c r="K74" s="20"/>
      <c r="L74" s="21"/>
    </row>
    <row r="75" spans="1:12" x14ac:dyDescent="0.3">
      <c r="A75" s="33">
        <v>23</v>
      </c>
      <c r="B75" s="33" t="s">
        <v>2167</v>
      </c>
      <c r="C75" s="34" t="s">
        <v>662</v>
      </c>
      <c r="D75" s="51" t="s">
        <v>679</v>
      </c>
      <c r="E75" s="61" t="str">
        <f>IFERROR(VLOOKUP(D75,'Master List'!D:H,2,FALSE),"NA")</f>
        <v>510808</v>
      </c>
      <c r="F75" s="62" t="str">
        <f>IFERROR(VLOOKUP(D75,'Master List'!D:H,3,FALSE),"NA")</f>
        <v>018301</v>
      </c>
      <c r="G75" s="58" t="str">
        <f>IFERROR(VLOOKUP(D75,'Master List'!D:H,4,FALSE),"NA")</f>
        <v>018301</v>
      </c>
      <c r="H75" s="39" t="str">
        <f>IFERROR(VLOOKUP(D75,'Master List'!D:H,5,FALSE),"NA")</f>
        <v>Veterinary/Animal Health Technology/Technician and Veterinary Assistant.</v>
      </c>
      <c r="I75" s="19"/>
      <c r="J75" s="20"/>
      <c r="K75" s="20"/>
      <c r="L75" s="21"/>
    </row>
    <row r="76" spans="1:12" x14ac:dyDescent="0.3">
      <c r="A76" s="33">
        <v>23</v>
      </c>
      <c r="B76" s="33" t="s">
        <v>2167</v>
      </c>
      <c r="C76" s="34" t="s">
        <v>662</v>
      </c>
      <c r="D76" s="51" t="s">
        <v>90</v>
      </c>
      <c r="E76" s="61" t="str">
        <f>IFERROR(VLOOKUP(D76,'Master List'!D:H,2,FALSE),"NA")</f>
        <v>510904</v>
      </c>
      <c r="F76" s="62" t="str">
        <f>IFERROR(VLOOKUP(D76,'Master List'!D:H,3,FALSE),"NA")</f>
        <v>510904</v>
      </c>
      <c r="G76" s="58" t="str">
        <f>IFERROR(VLOOKUP(D76,'Master List'!D:H,4,FALSE),"NA")</f>
        <v>510904</v>
      </c>
      <c r="H76" s="39" t="str">
        <f>IFERROR(VLOOKUP(D76,'Master List'!D:H,5,FALSE),"NA")</f>
        <v>Emergency Medical Technology/Technician (EMT Paramedic).</v>
      </c>
      <c r="I76" s="19"/>
      <c r="J76" s="20"/>
      <c r="K76" s="20"/>
      <c r="L76" s="21"/>
    </row>
    <row r="77" spans="1:12" x14ac:dyDescent="0.3">
      <c r="A77" s="33">
        <v>23</v>
      </c>
      <c r="B77" s="33" t="s">
        <v>2167</v>
      </c>
      <c r="C77" s="34" t="s">
        <v>662</v>
      </c>
      <c r="D77" s="51" t="s">
        <v>91</v>
      </c>
      <c r="E77" s="61" t="str">
        <f>IFERROR(VLOOKUP(D77,'Master List'!D:H,2,FALSE),"NA")</f>
        <v>510907</v>
      </c>
      <c r="F77" s="62" t="str">
        <f>IFERROR(VLOOKUP(D77,'Master List'!D:H,3,FALSE),"NA")</f>
        <v>510907</v>
      </c>
      <c r="G77" s="58">
        <f>IFERROR(VLOOKUP(D77,'Master List'!D:H,4,FALSE),"NA")</f>
        <v>510911</v>
      </c>
      <c r="H77" s="39" t="str">
        <f>IFERROR(VLOOKUP(D77,'Master List'!D:H,5,FALSE),"NA")</f>
        <v>Radiologic Technology/Science - Radiographer</v>
      </c>
      <c r="I77" s="19"/>
      <c r="J77" s="20"/>
      <c r="K77" s="20"/>
      <c r="L77" s="21"/>
    </row>
    <row r="78" spans="1:12" x14ac:dyDescent="0.3">
      <c r="A78" s="33">
        <v>23</v>
      </c>
      <c r="B78" s="33" t="s">
        <v>2167</v>
      </c>
      <c r="C78" s="34" t="s">
        <v>662</v>
      </c>
      <c r="D78" s="51" t="s">
        <v>94</v>
      </c>
      <c r="E78" s="61" t="str">
        <f>IFERROR(VLOOKUP(D78,'Master List'!D:H,2,FALSE),"NA")</f>
        <v>510908</v>
      </c>
      <c r="F78" s="62" t="str">
        <f>IFERROR(VLOOKUP(D78,'Master List'!D:H,3,FALSE),"NA")</f>
        <v>510908</v>
      </c>
      <c r="G78" s="58" t="str">
        <f>IFERROR(VLOOKUP(D78,'Master List'!D:H,4,FALSE),"NA")</f>
        <v>510908</v>
      </c>
      <c r="H78" s="39" t="str">
        <f>IFERROR(VLOOKUP(D78,'Master List'!D:H,5,FALSE),"NA")</f>
        <v>Respiratory Care Therapy/Therapist.</v>
      </c>
      <c r="I78" s="19"/>
      <c r="J78" s="20"/>
      <c r="K78" s="20"/>
      <c r="L78" s="21"/>
    </row>
    <row r="79" spans="1:12" x14ac:dyDescent="0.3">
      <c r="A79" s="33">
        <v>23</v>
      </c>
      <c r="B79" s="33" t="s">
        <v>2167</v>
      </c>
      <c r="C79" s="34" t="s">
        <v>662</v>
      </c>
      <c r="D79" s="51" t="s">
        <v>399</v>
      </c>
      <c r="E79" s="61" t="str">
        <f>IFERROR(VLOOKUP(D79,'Master List'!D:H,2,FALSE),"NA")</f>
        <v>NA</v>
      </c>
      <c r="F79" s="62" t="str">
        <f>IFERROR(VLOOKUP(D79,'Master List'!D:H,3,FALSE),"NA")</f>
        <v>NA</v>
      </c>
      <c r="G79" s="58" t="str">
        <f>IFERROR(VLOOKUP(D79,'Master List'!D:H,4,FALSE),"NA")</f>
        <v>NA</v>
      </c>
      <c r="H79" s="39" t="str">
        <f>IFERROR(VLOOKUP(D79,'Master List'!D:H,5,FALSE),"NA")</f>
        <v>NA</v>
      </c>
      <c r="I79" s="19"/>
      <c r="J79" s="20"/>
      <c r="K79" s="20"/>
      <c r="L79" s="21"/>
    </row>
    <row r="80" spans="1:12" x14ac:dyDescent="0.3">
      <c r="A80" s="33">
        <v>23</v>
      </c>
      <c r="B80" s="33" t="s">
        <v>2167</v>
      </c>
      <c r="C80" s="34" t="s">
        <v>662</v>
      </c>
      <c r="D80" s="51" t="s">
        <v>683</v>
      </c>
      <c r="E80" s="61" t="str">
        <f>IFERROR(VLOOKUP(D80,'Master List'!D:H,2,FALSE),"NA")</f>
        <v>512307</v>
      </c>
      <c r="F80" s="62" t="str">
        <f>IFERROR(VLOOKUP(D80,'Master List'!D:H,3,FALSE),"NA")</f>
        <v>512307</v>
      </c>
      <c r="G80" s="58" t="str">
        <f>IFERROR(VLOOKUP(D80,'Master List'!D:H,4,FALSE),"NA")</f>
        <v>512307</v>
      </c>
      <c r="H80" s="39" t="str">
        <f>IFERROR(VLOOKUP(D80,'Master List'!D:H,5,FALSE),"NA")</f>
        <v>Orthotist/Prosthetist.</v>
      </c>
      <c r="I80" s="19"/>
      <c r="J80" s="20"/>
      <c r="K80" s="20"/>
      <c r="L80" s="21"/>
    </row>
    <row r="81" spans="1:12" x14ac:dyDescent="0.3">
      <c r="A81" s="33">
        <v>23</v>
      </c>
      <c r="B81" s="33" t="s">
        <v>2167</v>
      </c>
      <c r="C81" s="34" t="s">
        <v>662</v>
      </c>
      <c r="D81" s="51" t="s">
        <v>101</v>
      </c>
      <c r="E81" s="61" t="str">
        <f>IFERROR(VLOOKUP(D81,'Master List'!D:H,2,FALSE),"NA")</f>
        <v>513801</v>
      </c>
      <c r="F81" s="62" t="str">
        <f>IFERROR(VLOOKUP(D81,'Master List'!D:H,3,FALSE),"NA")</f>
        <v>513801</v>
      </c>
      <c r="G81" s="58" t="str">
        <f>IFERROR(VLOOKUP(D81,'Master List'!D:H,4,FALSE),"NA")</f>
        <v>513801</v>
      </c>
      <c r="H81" s="39" t="str">
        <f>IFERROR(VLOOKUP(D81,'Master List'!D:H,5,FALSE),"NA")</f>
        <v>Registered Nursing/Registered Nurse.</v>
      </c>
      <c r="I81" s="19"/>
      <c r="J81" s="20"/>
      <c r="K81" s="20"/>
      <c r="L81" s="21"/>
    </row>
    <row r="82" spans="1:12" x14ac:dyDescent="0.3">
      <c r="A82" s="33">
        <v>23</v>
      </c>
      <c r="B82" s="33" t="s">
        <v>2167</v>
      </c>
      <c r="C82" s="34" t="s">
        <v>662</v>
      </c>
      <c r="D82" s="51" t="s">
        <v>104</v>
      </c>
      <c r="E82" s="61" t="str">
        <f>IFERROR(VLOOKUP(D82,'Master List'!D:H,2,FALSE),"NA")</f>
        <v>NA</v>
      </c>
      <c r="F82" s="62" t="str">
        <f>IFERROR(VLOOKUP(D82,'Master List'!D:H,3,FALSE),"NA")</f>
        <v>NA</v>
      </c>
      <c r="G82" s="58" t="str">
        <f>IFERROR(VLOOKUP(D82,'Master List'!D:H,4,FALSE),"NA")</f>
        <v>NA</v>
      </c>
      <c r="H82" s="39" t="str">
        <f>IFERROR(VLOOKUP(D82,'Master List'!D:H,5,FALSE),"NA")</f>
        <v>NA</v>
      </c>
      <c r="I82" s="19"/>
      <c r="J82" s="20"/>
      <c r="K82" s="20"/>
      <c r="L82" s="21"/>
    </row>
    <row r="83" spans="1:12" x14ac:dyDescent="0.3">
      <c r="A83" s="33">
        <v>23</v>
      </c>
      <c r="B83" s="33" t="s">
        <v>2167</v>
      </c>
      <c r="C83" s="34" t="s">
        <v>662</v>
      </c>
      <c r="D83" s="51" t="s">
        <v>400</v>
      </c>
      <c r="E83" s="61" t="str">
        <f>IFERROR(VLOOKUP(D83,'Master List'!D:H,2,FALSE),"NA")</f>
        <v>131210</v>
      </c>
      <c r="F83" s="62" t="str">
        <f>IFERROR(VLOOKUP(D83,'Master List'!D:H,3,FALSE),"NA")</f>
        <v>131210</v>
      </c>
      <c r="G83" s="58" t="str">
        <f>IFERROR(VLOOKUP(D83,'Master List'!D:H,4,FALSE),"NA")</f>
        <v>131210</v>
      </c>
      <c r="H83" s="39" t="str">
        <f>IFERROR(VLOOKUP(D83,'Master List'!D:H,5,FALSE),"NA")</f>
        <v>Early Childhood Education and Teaching.</v>
      </c>
      <c r="I83" s="19"/>
      <c r="J83" s="20"/>
      <c r="K83" s="20"/>
      <c r="L83" s="21"/>
    </row>
    <row r="84" spans="1:12" x14ac:dyDescent="0.3">
      <c r="A84" s="33">
        <v>23</v>
      </c>
      <c r="B84" s="33" t="s">
        <v>2167</v>
      </c>
      <c r="C84" s="34" t="s">
        <v>662</v>
      </c>
      <c r="D84" s="51" t="s">
        <v>403</v>
      </c>
      <c r="E84" s="61" t="str">
        <f>IFERROR(VLOOKUP(D84,'Master List'!D:H,2,FALSE),"NA")</f>
        <v>511599</v>
      </c>
      <c r="F84" s="62" t="str">
        <f>IFERROR(VLOOKUP(D84,'Master List'!D:H,3,FALSE),"NA")</f>
        <v>511599</v>
      </c>
      <c r="G84" s="58" t="str">
        <f>IFERROR(VLOOKUP(D84,'Master List'!D:H,4,FALSE),"NA")</f>
        <v>511599</v>
      </c>
      <c r="H84" s="39" t="str">
        <f>IFERROR(VLOOKUP(D84,'Master List'!D:H,5,FALSE),"NA")</f>
        <v>Mental and Social Health Services and Allied Professions, Other.</v>
      </c>
      <c r="I84" s="19"/>
      <c r="J84" s="20"/>
      <c r="K84" s="20"/>
      <c r="L84" s="21"/>
    </row>
    <row r="85" spans="1:12" x14ac:dyDescent="0.3">
      <c r="A85" s="33">
        <v>23</v>
      </c>
      <c r="B85" s="33" t="s">
        <v>2167</v>
      </c>
      <c r="C85" s="34" t="s">
        <v>662</v>
      </c>
      <c r="D85" s="51" t="s">
        <v>167</v>
      </c>
      <c r="E85" s="61" t="str">
        <f>IFERROR(VLOOKUP(D85,'Master List'!D:H,2,FALSE),"NA")</f>
        <v>110103</v>
      </c>
      <c r="F85" s="62" t="str">
        <f>IFERROR(VLOOKUP(D85,'Master List'!D:H,3,FALSE),"NA")</f>
        <v>110103</v>
      </c>
      <c r="G85" s="58" t="str">
        <f>IFERROR(VLOOKUP(D85,'Master List'!D:H,4,FALSE),"NA")</f>
        <v>110103</v>
      </c>
      <c r="H85" s="39" t="str">
        <f>IFERROR(VLOOKUP(D85,'Master List'!D:H,5,FALSE),"NA")</f>
        <v>Information Technology.</v>
      </c>
      <c r="I85" s="19"/>
      <c r="J85" s="20"/>
      <c r="K85" s="20"/>
      <c r="L85" s="21"/>
    </row>
    <row r="86" spans="1:12" x14ac:dyDescent="0.3">
      <c r="A86" s="33">
        <v>23</v>
      </c>
      <c r="B86" s="33" t="s">
        <v>2167</v>
      </c>
      <c r="C86" s="34" t="s">
        <v>662</v>
      </c>
      <c r="D86" s="51" t="s">
        <v>105</v>
      </c>
      <c r="E86" s="61" t="str">
        <f>IFERROR(VLOOKUP(D86,'Master List'!D:H,2,FALSE),"NA")</f>
        <v>NA</v>
      </c>
      <c r="F86" s="62" t="str">
        <f>IFERROR(VLOOKUP(D86,'Master List'!D:H,3,FALSE),"NA")</f>
        <v>NA</v>
      </c>
      <c r="G86" s="58" t="str">
        <f>IFERROR(VLOOKUP(D86,'Master List'!D:H,4,FALSE),"NA")</f>
        <v>NA</v>
      </c>
      <c r="H86" s="39" t="str">
        <f>IFERROR(VLOOKUP(D86,'Master List'!D:H,5,FALSE),"NA")</f>
        <v>NA</v>
      </c>
      <c r="I86" s="19"/>
      <c r="J86" s="20"/>
      <c r="K86" s="20"/>
      <c r="L86" s="21"/>
    </row>
    <row r="87" spans="1:12" x14ac:dyDescent="0.3">
      <c r="A87" s="33">
        <v>23</v>
      </c>
      <c r="B87" s="33" t="s">
        <v>2167</v>
      </c>
      <c r="C87" s="34" t="s">
        <v>662</v>
      </c>
      <c r="D87" s="51" t="s">
        <v>170</v>
      </c>
      <c r="E87" s="61" t="str">
        <f>IFERROR(VLOOKUP(D87,'Master List'!D:H,2,FALSE),"NA")</f>
        <v>110201</v>
      </c>
      <c r="F87" s="62" t="str">
        <f>IFERROR(VLOOKUP(D87,'Master List'!D:H,3,FALSE),"NA")</f>
        <v>110201</v>
      </c>
      <c r="G87" s="58" t="str">
        <f>IFERROR(VLOOKUP(D87,'Master List'!D:H,4,FALSE),"NA")</f>
        <v>110201</v>
      </c>
      <c r="H87" s="39" t="str">
        <f>IFERROR(VLOOKUP(D87,'Master List'!D:H,5,FALSE),"NA")</f>
        <v>Computer Programming/Programmer, General.</v>
      </c>
      <c r="I87" s="19"/>
      <c r="J87" s="20"/>
      <c r="K87" s="20"/>
      <c r="L87" s="21"/>
    </row>
    <row r="88" spans="1:12" x14ac:dyDescent="0.3">
      <c r="A88" s="33">
        <v>23</v>
      </c>
      <c r="B88" s="33" t="s">
        <v>2167</v>
      </c>
      <c r="C88" s="34" t="s">
        <v>662</v>
      </c>
      <c r="D88" s="51" t="s">
        <v>404</v>
      </c>
      <c r="E88" s="61" t="str">
        <f>IFERROR(VLOOKUP(D88,'Master List'!D:H,2,FALSE),"NA")</f>
        <v>110801</v>
      </c>
      <c r="F88" s="62" t="str">
        <f>IFERROR(VLOOKUP(D88,'Master List'!D:H,3,FALSE),"NA")</f>
        <v>110801</v>
      </c>
      <c r="G88" s="58" t="str">
        <f>IFERROR(VLOOKUP(D88,'Master List'!D:H,4,FALSE),"NA")</f>
        <v>110801</v>
      </c>
      <c r="H88" s="39" t="str">
        <f>IFERROR(VLOOKUP(D88,'Master List'!D:H,5,FALSE),"NA")</f>
        <v>Web Page, Digital/Multimedia and Information Resources Design.</v>
      </c>
      <c r="I88" s="19"/>
      <c r="J88" s="20"/>
      <c r="K88" s="20"/>
      <c r="L88" s="21"/>
    </row>
    <row r="89" spans="1:12" x14ac:dyDescent="0.3">
      <c r="A89" s="33">
        <v>23</v>
      </c>
      <c r="B89" s="33" t="s">
        <v>2167</v>
      </c>
      <c r="C89" s="34" t="s">
        <v>662</v>
      </c>
      <c r="D89" s="51" t="s">
        <v>686</v>
      </c>
      <c r="E89" s="61" t="str">
        <f>IFERROR(VLOOKUP(D89,'Master List'!D:H,2,FALSE),"NA")</f>
        <v>110801</v>
      </c>
      <c r="F89" s="62" t="str">
        <f>IFERROR(VLOOKUP(D89,'Master List'!D:H,3,FALSE),"NA")</f>
        <v>110801</v>
      </c>
      <c r="G89" s="58">
        <f>IFERROR(VLOOKUP(D89,'Master List'!D:H,4,FALSE),"NA")</f>
        <v>111004</v>
      </c>
      <c r="H89" s="39" t="str">
        <f>IFERROR(VLOOKUP(D89,'Master List'!D:H,5,FALSE),"NA")</f>
        <v xml:space="preserve">Web/Multimedia Management and Webmaster. </v>
      </c>
      <c r="I89" s="19"/>
      <c r="J89" s="20"/>
      <c r="K89" s="20"/>
      <c r="L89" s="21"/>
    </row>
    <row r="90" spans="1:12" x14ac:dyDescent="0.3">
      <c r="A90" s="33">
        <v>23</v>
      </c>
      <c r="B90" s="33" t="s">
        <v>2167</v>
      </c>
      <c r="C90" s="34" t="s">
        <v>662</v>
      </c>
      <c r="D90" s="51" t="s">
        <v>349</v>
      </c>
      <c r="E90" s="61" t="str">
        <f>IFERROR(VLOOKUP(D90,'Master List'!D:H,2,FALSE),"NA")</f>
        <v>NA</v>
      </c>
      <c r="F90" s="62" t="str">
        <f>IFERROR(VLOOKUP(D90,'Master List'!D:H,3,FALSE),"NA")</f>
        <v>NA</v>
      </c>
      <c r="G90" s="58" t="str">
        <f>IFERROR(VLOOKUP(D90,'Master List'!D:H,4,FALSE),"NA")</f>
        <v>NA</v>
      </c>
      <c r="H90" s="39" t="str">
        <f>IFERROR(VLOOKUP(D90,'Master List'!D:H,5,FALSE),"NA")</f>
        <v>NA</v>
      </c>
      <c r="I90" s="19"/>
      <c r="J90" s="20"/>
      <c r="K90" s="20"/>
      <c r="L90" s="21"/>
    </row>
    <row r="91" spans="1:12" x14ac:dyDescent="0.3">
      <c r="A91" s="33">
        <v>23</v>
      </c>
      <c r="B91" s="33" t="s">
        <v>2167</v>
      </c>
      <c r="C91" s="34" t="s">
        <v>662</v>
      </c>
      <c r="D91" s="51" t="s">
        <v>106</v>
      </c>
      <c r="E91" s="61" t="str">
        <f>IFERROR(VLOOKUP(D91,'Master List'!D:H,2,FALSE),"NA")</f>
        <v>111001</v>
      </c>
      <c r="F91" s="62" t="str">
        <f>IFERROR(VLOOKUP(D91,'Master List'!D:H,3,FALSE),"NA")</f>
        <v>111001</v>
      </c>
      <c r="G91" s="58" t="str">
        <f>IFERROR(VLOOKUP(D91,'Master List'!D:H,4,FALSE),"NA")</f>
        <v>111001</v>
      </c>
      <c r="H91" s="39" t="str">
        <f>IFERROR(VLOOKUP(D91,'Master List'!D:H,5,FALSE),"NA")</f>
        <v>Network and System Administration/Administrator.</v>
      </c>
      <c r="I91" s="19"/>
      <c r="J91" s="20"/>
      <c r="K91" s="20"/>
      <c r="L91" s="21"/>
    </row>
    <row r="92" spans="1:12" x14ac:dyDescent="0.3">
      <c r="A92" s="33">
        <v>23</v>
      </c>
      <c r="B92" s="33" t="s">
        <v>2167</v>
      </c>
      <c r="C92" s="34" t="s">
        <v>662</v>
      </c>
      <c r="D92" s="51" t="s">
        <v>350</v>
      </c>
      <c r="E92" s="61" t="str">
        <f>IFERROR(VLOOKUP(D92,'Master List'!D:H,2,FALSE),"NA")</f>
        <v>NA</v>
      </c>
      <c r="F92" s="62" t="str">
        <f>IFERROR(VLOOKUP(D92,'Master List'!D:H,3,FALSE),"NA")</f>
        <v>NA</v>
      </c>
      <c r="G92" s="58" t="str">
        <f>IFERROR(VLOOKUP(D92,'Master List'!D:H,4,FALSE),"NA")</f>
        <v>NA</v>
      </c>
      <c r="H92" s="39" t="str">
        <f>IFERROR(VLOOKUP(D92,'Master List'!D:H,5,FALSE),"NA")</f>
        <v>NA</v>
      </c>
      <c r="I92" s="19"/>
      <c r="J92" s="20"/>
      <c r="K92" s="20"/>
      <c r="L92" s="21"/>
    </row>
    <row r="93" spans="1:12" x14ac:dyDescent="0.3">
      <c r="A93" s="33">
        <v>23</v>
      </c>
      <c r="B93" s="33" t="s">
        <v>2167</v>
      </c>
      <c r="C93" s="34" t="s">
        <v>662</v>
      </c>
      <c r="D93" s="51" t="s">
        <v>656</v>
      </c>
      <c r="E93" s="61" t="str">
        <f>IFERROR(VLOOKUP(D93,'Master List'!D:H,2,FALSE),"NA")</f>
        <v>111003</v>
      </c>
      <c r="F93" s="62" t="str">
        <f>IFERROR(VLOOKUP(D93,'Master List'!D:H,3,FALSE),"NA")</f>
        <v>111003</v>
      </c>
      <c r="G93" s="58" t="str">
        <f>IFERROR(VLOOKUP(D93,'Master List'!D:H,4,FALSE),"NA")</f>
        <v>111003</v>
      </c>
      <c r="H93" s="39" t="str">
        <f>IFERROR(VLOOKUP(D93,'Master List'!D:H,5,FALSE),"NA")</f>
        <v>Computer and Information Systems Security/Auditing/Information Assurance.</v>
      </c>
      <c r="I93" s="19"/>
      <c r="J93" s="20"/>
      <c r="K93" s="20"/>
      <c r="L93" s="21"/>
    </row>
    <row r="94" spans="1:12" x14ac:dyDescent="0.3">
      <c r="A94" s="33">
        <v>23</v>
      </c>
      <c r="B94" s="33" t="s">
        <v>2167</v>
      </c>
      <c r="C94" s="34" t="s">
        <v>662</v>
      </c>
      <c r="D94" s="51" t="s">
        <v>687</v>
      </c>
      <c r="E94" s="61" t="str">
        <f>IFERROR(VLOOKUP(D94,'Master List'!D:H,2,FALSE),"NA")</f>
        <v>NA</v>
      </c>
      <c r="F94" s="62" t="str">
        <f>IFERROR(VLOOKUP(D94,'Master List'!D:H,3,FALSE),"NA")</f>
        <v>NA</v>
      </c>
      <c r="G94" s="58" t="str">
        <f>IFERROR(VLOOKUP(D94,'Master List'!D:H,4,FALSE),"NA")</f>
        <v>NA</v>
      </c>
      <c r="H94" s="39" t="str">
        <f>IFERROR(VLOOKUP(D94,'Master List'!D:H,5,FALSE),"NA")</f>
        <v>NA</v>
      </c>
      <c r="I94" s="19"/>
      <c r="J94" s="20"/>
      <c r="K94" s="20"/>
      <c r="L94" s="21"/>
    </row>
    <row r="95" spans="1:12" x14ac:dyDescent="0.3">
      <c r="A95" s="33">
        <v>23</v>
      </c>
      <c r="B95" s="33" t="s">
        <v>2167</v>
      </c>
      <c r="C95" s="34" t="s">
        <v>662</v>
      </c>
      <c r="D95" s="51" t="s">
        <v>107</v>
      </c>
      <c r="E95" s="61" t="str">
        <f>IFERROR(VLOOKUP(D95,'Master List'!D:H,2,FALSE),"NA")</f>
        <v>520201</v>
      </c>
      <c r="F95" s="62" t="str">
        <f>IFERROR(VLOOKUP(D95,'Master List'!D:H,3,FALSE),"NA")</f>
        <v>520201</v>
      </c>
      <c r="G95" s="58" t="str">
        <f>IFERROR(VLOOKUP(D95,'Master List'!D:H,4,FALSE),"NA")</f>
        <v>520201</v>
      </c>
      <c r="H95" s="39" t="str">
        <f>IFERROR(VLOOKUP(D95,'Master List'!D:H,5,FALSE),"NA")</f>
        <v>Business Administration and Management, General.</v>
      </c>
      <c r="I95" s="19"/>
      <c r="J95" s="20"/>
      <c r="K95" s="20"/>
      <c r="L95" s="21"/>
    </row>
    <row r="96" spans="1:12" x14ac:dyDescent="0.3">
      <c r="A96" s="33">
        <v>23</v>
      </c>
      <c r="B96" s="33" t="s">
        <v>2167</v>
      </c>
      <c r="C96" s="34" t="s">
        <v>662</v>
      </c>
      <c r="D96" s="51" t="s">
        <v>353</v>
      </c>
      <c r="E96" s="61" t="str">
        <f>IFERROR(VLOOKUP(D96,'Master List'!D:H,2,FALSE),"NA")</f>
        <v>040901</v>
      </c>
      <c r="F96" s="62" t="str">
        <f>IFERROR(VLOOKUP(D96,'Master List'!D:H,3,FALSE),"NA")</f>
        <v>040901</v>
      </c>
      <c r="G96" s="58" t="str">
        <f>IFERROR(VLOOKUP(D96,'Master List'!D:H,4,FALSE),"NA")</f>
        <v>040901</v>
      </c>
      <c r="H96" s="39" t="str">
        <f>IFERROR(VLOOKUP(D96,'Master List'!D:H,5,FALSE),"NA")</f>
        <v>Architectural Technology/Technician.</v>
      </c>
      <c r="I96" s="19"/>
      <c r="J96" s="20"/>
      <c r="K96" s="20"/>
      <c r="L96" s="21"/>
    </row>
    <row r="97" spans="1:12" x14ac:dyDescent="0.3">
      <c r="A97" s="33">
        <v>23</v>
      </c>
      <c r="B97" s="33" t="s">
        <v>2167</v>
      </c>
      <c r="C97" s="34" t="s">
        <v>662</v>
      </c>
      <c r="D97" s="51" t="s">
        <v>356</v>
      </c>
      <c r="E97" s="61" t="str">
        <f>IFERROR(VLOOKUP(D97,'Master List'!D:H,2,FALSE),"NA")</f>
        <v>NA</v>
      </c>
      <c r="F97" s="62" t="str">
        <f>IFERROR(VLOOKUP(D97,'Master List'!D:H,3,FALSE),"NA")</f>
        <v>NA</v>
      </c>
      <c r="G97" s="58" t="str">
        <f>IFERROR(VLOOKUP(D97,'Master List'!D:H,4,FALSE),"NA")</f>
        <v>NA</v>
      </c>
      <c r="H97" s="39" t="str">
        <f>IFERROR(VLOOKUP(D97,'Master List'!D:H,5,FALSE),"NA")</f>
        <v>NA</v>
      </c>
      <c r="I97" s="19"/>
      <c r="J97" s="20"/>
      <c r="K97" s="20"/>
      <c r="L97" s="21"/>
    </row>
    <row r="98" spans="1:12" x14ac:dyDescent="0.3">
      <c r="A98" s="33">
        <v>23</v>
      </c>
      <c r="B98" s="33" t="s">
        <v>2167</v>
      </c>
      <c r="C98" s="34" t="s">
        <v>662</v>
      </c>
      <c r="D98" s="51" t="s">
        <v>114</v>
      </c>
      <c r="E98" s="61" t="str">
        <f>IFERROR(VLOOKUP(D98,'Master List'!D:H,2,FALSE),"NA")</f>
        <v>110801</v>
      </c>
      <c r="F98" s="62" t="str">
        <f>IFERROR(VLOOKUP(D98,'Master List'!D:H,3,FALSE),"NA")</f>
        <v>110801</v>
      </c>
      <c r="G98" s="58" t="str">
        <f>IFERROR(VLOOKUP(D98,'Master List'!D:H,4,FALSE),"NA")</f>
        <v>110801</v>
      </c>
      <c r="H98" s="39" t="str">
        <f>IFERROR(VLOOKUP(D98,'Master List'!D:H,5,FALSE),"NA")</f>
        <v>Web Page, Digital/Multimedia and Information Resources Design.</v>
      </c>
      <c r="I98" s="19"/>
      <c r="J98" s="20"/>
      <c r="K98" s="20"/>
      <c r="L98" s="21"/>
    </row>
    <row r="99" spans="1:12" x14ac:dyDescent="0.3">
      <c r="A99" s="33">
        <v>23</v>
      </c>
      <c r="B99" s="33" t="s">
        <v>2167</v>
      </c>
      <c r="C99" s="34" t="s">
        <v>662</v>
      </c>
      <c r="D99" s="51" t="s">
        <v>120</v>
      </c>
      <c r="E99" s="61" t="str">
        <f>IFERROR(VLOOKUP(D99,'Master List'!D:H,2,FALSE),"NA")</f>
        <v>150000</v>
      </c>
      <c r="F99" s="62" t="str">
        <f>IFERROR(VLOOKUP(D99,'Master List'!D:H,3,FALSE),"NA")</f>
        <v>150000</v>
      </c>
      <c r="G99" s="58" t="str">
        <f>IFERROR(VLOOKUP(D99,'Master List'!D:H,4,FALSE),"NA")</f>
        <v>150000</v>
      </c>
      <c r="H99" s="39" t="str">
        <f>IFERROR(VLOOKUP(D99,'Master List'!D:H,5,FALSE),"NA")</f>
        <v>Engineering Technologies/Technicians, General.</v>
      </c>
      <c r="I99" s="19"/>
      <c r="J99" s="20"/>
      <c r="K99" s="20"/>
      <c r="L99" s="21"/>
    </row>
    <row r="100" spans="1:12" x14ac:dyDescent="0.3">
      <c r="A100" s="33">
        <v>23</v>
      </c>
      <c r="B100" s="33" t="s">
        <v>2167</v>
      </c>
      <c r="C100" s="34" t="s">
        <v>662</v>
      </c>
      <c r="D100" s="51" t="s">
        <v>357</v>
      </c>
      <c r="E100" s="61" t="str">
        <f>IFERROR(VLOOKUP(D100,'Master List'!D:H,2,FALSE),"NA")</f>
        <v>NA</v>
      </c>
      <c r="F100" s="62" t="str">
        <f>IFERROR(VLOOKUP(D100,'Master List'!D:H,3,FALSE),"NA")</f>
        <v>NA</v>
      </c>
      <c r="G100" s="58" t="str">
        <f>IFERROR(VLOOKUP(D100,'Master List'!D:H,4,FALSE),"NA")</f>
        <v>NA</v>
      </c>
      <c r="H100" s="39" t="str">
        <f>IFERROR(VLOOKUP(D100,'Master List'!D:H,5,FALSE),"NA")</f>
        <v>NA</v>
      </c>
      <c r="I100" s="19"/>
      <c r="J100" s="20"/>
      <c r="K100" s="20"/>
      <c r="L100" s="21"/>
    </row>
    <row r="101" spans="1:12" x14ac:dyDescent="0.3">
      <c r="A101" s="33">
        <v>23</v>
      </c>
      <c r="B101" s="33" t="s">
        <v>2167</v>
      </c>
      <c r="C101" s="34" t="s">
        <v>662</v>
      </c>
      <c r="D101" s="51" t="s">
        <v>615</v>
      </c>
      <c r="E101" s="61" t="str">
        <f>IFERROR(VLOOKUP(D101,'Master List'!D:H,2,FALSE),"NA")</f>
        <v>150401</v>
      </c>
      <c r="F101" s="62" t="str">
        <f>IFERROR(VLOOKUP(D101,'Master List'!D:H,3,FALSE),"NA")</f>
        <v>150401</v>
      </c>
      <c r="G101" s="58" t="str">
        <f>IFERROR(VLOOKUP(D101,'Master List'!D:H,4,FALSE),"NA")</f>
        <v>150401</v>
      </c>
      <c r="H101" s="39" t="str">
        <f>IFERROR(VLOOKUP(D101,'Master List'!D:H,5,FALSE),"NA")</f>
        <v>Biomedical Technology/Technician.</v>
      </c>
      <c r="I101" s="19"/>
      <c r="J101" s="20"/>
      <c r="K101" s="20"/>
      <c r="L101" s="21"/>
    </row>
    <row r="102" spans="1:12" x14ac:dyDescent="0.3">
      <c r="A102" s="33">
        <v>23</v>
      </c>
      <c r="B102" s="33" t="s">
        <v>2167</v>
      </c>
      <c r="C102" s="34" t="s">
        <v>662</v>
      </c>
      <c r="D102" s="51" t="s">
        <v>405</v>
      </c>
      <c r="E102" s="61" t="str">
        <f>IFERROR(VLOOKUP(D102,'Master List'!D:H,2,FALSE),"NA")</f>
        <v>151301</v>
      </c>
      <c r="F102" s="62" t="str">
        <f>IFERROR(VLOOKUP(D102,'Master List'!D:H,3,FALSE),"NA")</f>
        <v>151301</v>
      </c>
      <c r="G102" s="58">
        <f>IFERROR(VLOOKUP(D102,'Master List'!D:H,4,FALSE),"NA")</f>
        <v>151302</v>
      </c>
      <c r="H102" s="39" t="str">
        <f>IFERROR(VLOOKUP(D102,'Master List'!D:H,5,FALSE),"NA")</f>
        <v>CAD/CADD Drafting and/or Design Technology/Technician</v>
      </c>
      <c r="I102" s="19"/>
      <c r="J102" s="20"/>
      <c r="K102" s="20"/>
      <c r="L102" s="21"/>
    </row>
    <row r="103" spans="1:12" x14ac:dyDescent="0.3">
      <c r="A103" s="33">
        <v>23</v>
      </c>
      <c r="B103" s="33" t="s">
        <v>2167</v>
      </c>
      <c r="C103" s="34" t="s">
        <v>662</v>
      </c>
      <c r="D103" s="51" t="s">
        <v>364</v>
      </c>
      <c r="E103" s="61" t="str">
        <f>IFERROR(VLOOKUP(D103,'Master List'!D:H,2,FALSE),"NA")</f>
        <v>490104</v>
      </c>
      <c r="F103" s="62" t="str">
        <f>IFERROR(VLOOKUP(D103,'Master List'!D:H,3,FALSE),"NA")</f>
        <v>490104</v>
      </c>
      <c r="G103" s="58" t="str">
        <f>IFERROR(VLOOKUP(D103,'Master List'!D:H,4,FALSE),"NA")</f>
        <v>490104</v>
      </c>
      <c r="H103" s="39" t="str">
        <f>IFERROR(VLOOKUP(D103,'Master List'!D:H,5,FALSE),"NA")</f>
        <v>Aviation/Airway Management and Operations.</v>
      </c>
      <c r="I103" s="19"/>
      <c r="J103" s="20"/>
      <c r="K103" s="20"/>
      <c r="L103" s="21"/>
    </row>
    <row r="104" spans="1:12" x14ac:dyDescent="0.3">
      <c r="A104" s="33">
        <v>23</v>
      </c>
      <c r="B104" s="33" t="s">
        <v>2167</v>
      </c>
      <c r="C104" s="34" t="s">
        <v>662</v>
      </c>
      <c r="D104" s="51" t="s">
        <v>475</v>
      </c>
      <c r="E104" s="61" t="str">
        <f>IFERROR(VLOOKUP(D104,'Master List'!D:H,2,FALSE),"NA")</f>
        <v>500605</v>
      </c>
      <c r="F104" s="62" t="str">
        <f>IFERROR(VLOOKUP(D104,'Master List'!D:H,3,FALSE),"NA")</f>
        <v>500605</v>
      </c>
      <c r="G104" s="58" t="str">
        <f>IFERROR(VLOOKUP(D104,'Master List'!D:H,4,FALSE),"NA")</f>
        <v>500605</v>
      </c>
      <c r="H104" s="39" t="str">
        <f>IFERROR(VLOOKUP(D104,'Master List'!D:H,5,FALSE),"NA")</f>
        <v>Photography.</v>
      </c>
      <c r="I104" s="19"/>
      <c r="J104" s="20"/>
      <c r="K104" s="20"/>
      <c r="L104" s="21"/>
    </row>
    <row r="105" spans="1:12" x14ac:dyDescent="0.3">
      <c r="A105" s="33">
        <v>23</v>
      </c>
      <c r="B105" s="33" t="s">
        <v>2167</v>
      </c>
      <c r="C105" s="34" t="s">
        <v>662</v>
      </c>
      <c r="D105" s="51" t="s">
        <v>478</v>
      </c>
      <c r="E105" s="61" t="str">
        <f>IFERROR(VLOOKUP(D105,'Master List'!D:H,2,FALSE),"NA")</f>
        <v>500913</v>
      </c>
      <c r="F105" s="62" t="str">
        <f>IFERROR(VLOOKUP(D105,'Master List'!D:H,3,FALSE),"NA")</f>
        <v>500913</v>
      </c>
      <c r="G105" s="58" t="str">
        <f>IFERROR(VLOOKUP(D105,'Master List'!D:H,4,FALSE),"NA")</f>
        <v>500913</v>
      </c>
      <c r="H105" s="39" t="str">
        <f>IFERROR(VLOOKUP(D105,'Master List'!D:H,5,FALSE),"NA")</f>
        <v>Music Technology.</v>
      </c>
      <c r="I105" s="19"/>
      <c r="J105" s="20"/>
      <c r="K105" s="20"/>
      <c r="L105" s="21"/>
    </row>
    <row r="106" spans="1:12" x14ac:dyDescent="0.3">
      <c r="A106" s="33">
        <v>23</v>
      </c>
      <c r="B106" s="33" t="s">
        <v>2167</v>
      </c>
      <c r="C106" s="34" t="s">
        <v>662</v>
      </c>
      <c r="D106" s="51" t="s">
        <v>367</v>
      </c>
      <c r="E106" s="61" t="str">
        <f>IFERROR(VLOOKUP(D106,'Master List'!D:H,2,FALSE),"NA")</f>
        <v>520205</v>
      </c>
      <c r="F106" s="62" t="str">
        <f>IFERROR(VLOOKUP(D106,'Master List'!D:H,3,FALSE),"NA")</f>
        <v>520205</v>
      </c>
      <c r="G106" s="58" t="str">
        <f>IFERROR(VLOOKUP(D106,'Master List'!D:H,4,FALSE),"NA")</f>
        <v>520205</v>
      </c>
      <c r="H106" s="39" t="str">
        <f>IFERROR(VLOOKUP(D106,'Master List'!D:H,5,FALSE),"NA")</f>
        <v>Operations Management and Supervision.</v>
      </c>
      <c r="I106" s="19"/>
      <c r="J106" s="20"/>
      <c r="K106" s="20"/>
      <c r="L106" s="21"/>
    </row>
    <row r="107" spans="1:12" x14ac:dyDescent="0.3">
      <c r="A107" s="33">
        <v>23</v>
      </c>
      <c r="B107" s="33" t="s">
        <v>2167</v>
      </c>
      <c r="C107" s="34" t="s">
        <v>662</v>
      </c>
      <c r="D107" s="51" t="s">
        <v>372</v>
      </c>
      <c r="E107" s="61" t="str">
        <f>IFERROR(VLOOKUP(D107,'Master List'!D:H,2,FALSE),"NA")</f>
        <v>030104</v>
      </c>
      <c r="F107" s="62" t="str">
        <f>IFERROR(VLOOKUP(D107,'Master List'!D:H,3,FALSE),"NA")</f>
        <v>030104</v>
      </c>
      <c r="G107" s="58" t="str">
        <f>IFERROR(VLOOKUP(D107,'Master List'!D:H,4,FALSE),"NA")</f>
        <v>030104</v>
      </c>
      <c r="H107" s="39" t="str">
        <f>IFERROR(VLOOKUP(D107,'Master List'!D:H,5,FALSE),"NA")</f>
        <v>Environmental Science.</v>
      </c>
      <c r="I107" s="19"/>
      <c r="J107" s="20"/>
      <c r="K107" s="20"/>
      <c r="L107" s="21"/>
    </row>
    <row r="108" spans="1:12" x14ac:dyDescent="0.3">
      <c r="A108" s="33">
        <v>23</v>
      </c>
      <c r="B108" s="33" t="s">
        <v>2167</v>
      </c>
      <c r="C108" s="34" t="s">
        <v>662</v>
      </c>
      <c r="D108" s="51" t="s">
        <v>373</v>
      </c>
      <c r="E108" s="61" t="str">
        <f>IFERROR(VLOOKUP(D108,'Master List'!D:H,2,FALSE),"NA")</f>
        <v>NA</v>
      </c>
      <c r="F108" s="62" t="str">
        <f>IFERROR(VLOOKUP(D108,'Master List'!D:H,3,FALSE),"NA")</f>
        <v>NA</v>
      </c>
      <c r="G108" s="58" t="str">
        <f>IFERROR(VLOOKUP(D108,'Master List'!D:H,4,FALSE),"NA")</f>
        <v>NA</v>
      </c>
      <c r="H108" s="39" t="str">
        <f>IFERROR(VLOOKUP(D108,'Master List'!D:H,5,FALSE),"NA")</f>
        <v>NA</v>
      </c>
      <c r="I108" s="19"/>
      <c r="J108" s="20"/>
      <c r="K108" s="20"/>
      <c r="L108" s="21"/>
    </row>
    <row r="109" spans="1:12" x14ac:dyDescent="0.3">
      <c r="A109" s="33">
        <v>23</v>
      </c>
      <c r="B109" s="33" t="s">
        <v>2167</v>
      </c>
      <c r="C109" s="34" t="s">
        <v>662</v>
      </c>
      <c r="D109" s="51" t="s">
        <v>125</v>
      </c>
      <c r="E109" s="61" t="str">
        <f>IFERROR(VLOOKUP(D109,'Master List'!D:H,2,FALSE),"NA")</f>
        <v>220302</v>
      </c>
      <c r="F109" s="62" t="str">
        <f>IFERROR(VLOOKUP(D109,'Master List'!D:H,3,FALSE),"NA")</f>
        <v>220302</v>
      </c>
      <c r="G109" s="58" t="str">
        <f>IFERROR(VLOOKUP(D109,'Master List'!D:H,4,FALSE),"NA")</f>
        <v>220302</v>
      </c>
      <c r="H109" s="39" t="str">
        <f>IFERROR(VLOOKUP(D109,'Master List'!D:H,5,FALSE),"NA")</f>
        <v>Legal Assistant/Paralegal.</v>
      </c>
      <c r="I109" s="19"/>
      <c r="J109" s="20"/>
      <c r="K109" s="20"/>
      <c r="L109" s="21"/>
    </row>
    <row r="110" spans="1:12" x14ac:dyDescent="0.3">
      <c r="A110" s="33">
        <v>23</v>
      </c>
      <c r="B110" s="33" t="s">
        <v>2167</v>
      </c>
      <c r="C110" s="34" t="s">
        <v>662</v>
      </c>
      <c r="D110" s="51" t="s">
        <v>374</v>
      </c>
      <c r="E110" s="61" t="str">
        <f>IFERROR(VLOOKUP(D110,'Master List'!D:H,2,FALSE),"NA")</f>
        <v>NA</v>
      </c>
      <c r="F110" s="62" t="str">
        <f>IFERROR(VLOOKUP(D110,'Master List'!D:H,3,FALSE),"NA")</f>
        <v>NA</v>
      </c>
      <c r="G110" s="58" t="str">
        <f>IFERROR(VLOOKUP(D110,'Master List'!D:H,4,FALSE),"NA")</f>
        <v>NA</v>
      </c>
      <c r="H110" s="39" t="str">
        <f>IFERROR(VLOOKUP(D110,'Master List'!D:H,5,FALSE),"NA")</f>
        <v>NA</v>
      </c>
      <c r="I110" s="19"/>
      <c r="J110" s="20"/>
      <c r="K110" s="20"/>
      <c r="L110" s="21"/>
    </row>
    <row r="111" spans="1:12" x14ac:dyDescent="0.3">
      <c r="A111" s="33">
        <v>23</v>
      </c>
      <c r="B111" s="33" t="s">
        <v>2167</v>
      </c>
      <c r="C111" s="34" t="s">
        <v>662</v>
      </c>
      <c r="D111" s="51" t="s">
        <v>128</v>
      </c>
      <c r="E111" s="61" t="str">
        <f>IFERROR(VLOOKUP(D111,'Master List'!D:H,2,FALSE),"NA")</f>
        <v>430103</v>
      </c>
      <c r="F111" s="62" t="str">
        <f>IFERROR(VLOOKUP(D111,'Master List'!D:H,3,FALSE),"NA")</f>
        <v>430103</v>
      </c>
      <c r="G111" s="58" t="str">
        <f>IFERROR(VLOOKUP(D111,'Master List'!D:H,4,FALSE),"NA")</f>
        <v>430103</v>
      </c>
      <c r="H111" s="39" t="str">
        <f>IFERROR(VLOOKUP(D111,'Master List'!D:H,5,FALSE),"NA")</f>
        <v>Criminal Justice/Law Enforcement Administration.</v>
      </c>
      <c r="I111" s="19"/>
      <c r="J111" s="20"/>
      <c r="K111" s="20"/>
      <c r="L111" s="21"/>
    </row>
    <row r="112" spans="1:12" x14ac:dyDescent="0.3">
      <c r="A112" s="33">
        <v>23</v>
      </c>
      <c r="B112" s="33" t="s">
        <v>2167</v>
      </c>
      <c r="C112" s="34" t="s">
        <v>662</v>
      </c>
      <c r="D112" s="51" t="s">
        <v>407</v>
      </c>
      <c r="E112" s="61" t="str">
        <f>IFERROR(VLOOKUP(D112,'Master List'!D:H,2,FALSE),"NA")</f>
        <v>430106</v>
      </c>
      <c r="F112" s="62" t="str">
        <f>IFERROR(VLOOKUP(D112,'Master List'!D:H,3,FALSE),"NA")</f>
        <v>430406</v>
      </c>
      <c r="G112" s="58" t="str">
        <f>IFERROR(VLOOKUP(D112,'Master List'!D:H,4,FALSE),"NA")</f>
        <v>430406</v>
      </c>
      <c r="H112" s="39" t="str">
        <f>IFERROR(VLOOKUP(D112,'Master List'!D:H,5,FALSE),"NA")</f>
        <v>Forensic Science and Technology.</v>
      </c>
      <c r="I112" s="19"/>
      <c r="J112" s="20"/>
      <c r="K112" s="20"/>
      <c r="L112" s="21"/>
    </row>
    <row r="113" spans="1:12" x14ac:dyDescent="0.3">
      <c r="A113" s="33">
        <v>23</v>
      </c>
      <c r="B113" s="33" t="s">
        <v>2167</v>
      </c>
      <c r="C113" s="34" t="s">
        <v>662</v>
      </c>
      <c r="D113" s="51" t="s">
        <v>688</v>
      </c>
      <c r="E113" s="61" t="str">
        <f>IFERROR(VLOOKUP(D113,'Master List'!D:H,2,FALSE),"NA")</f>
        <v>430112</v>
      </c>
      <c r="F113" s="62" t="str">
        <f>IFERROR(VLOOKUP(D113,'Master List'!D:H,3,FALSE),"NA")</f>
        <v>430112</v>
      </c>
      <c r="G113" s="58" t="str">
        <f>IFERROR(VLOOKUP(D113,'Master List'!D:H,4,FALSE),"NA")</f>
        <v>430112</v>
      </c>
      <c r="H113" s="39" t="str">
        <f>IFERROR(VLOOKUP(D113,'Master List'!D:H,5,FALSE),"NA")</f>
        <v>Securities Services Administration/Management.</v>
      </c>
      <c r="I113" s="19"/>
      <c r="J113" s="20"/>
      <c r="K113" s="20"/>
      <c r="L113" s="21"/>
    </row>
    <row r="114" spans="1:12" x14ac:dyDescent="0.3">
      <c r="A114" s="33">
        <v>23</v>
      </c>
      <c r="B114" s="33" t="s">
        <v>2167</v>
      </c>
      <c r="C114" s="34" t="s">
        <v>662</v>
      </c>
      <c r="D114" s="51" t="s">
        <v>689</v>
      </c>
      <c r="E114" s="61" t="str">
        <f>IFERROR(VLOOKUP(D114,'Master List'!D:H,2,FALSE),"NA")</f>
        <v>NA</v>
      </c>
      <c r="F114" s="62" t="str">
        <f>IFERROR(VLOOKUP(D114,'Master List'!D:H,3,FALSE),"NA")</f>
        <v>NA</v>
      </c>
      <c r="G114" s="58" t="str">
        <f>IFERROR(VLOOKUP(D114,'Master List'!D:H,4,FALSE),"NA")</f>
        <v>NA</v>
      </c>
      <c r="H114" s="39" t="str">
        <f>IFERROR(VLOOKUP(D114,'Master List'!D:H,5,FALSE),"NA")</f>
        <v>NA</v>
      </c>
      <c r="I114" s="19"/>
      <c r="J114" s="20"/>
      <c r="K114" s="20"/>
      <c r="L114" s="21"/>
    </row>
    <row r="115" spans="1:12" x14ac:dyDescent="0.3">
      <c r="A115" s="33">
        <v>23</v>
      </c>
      <c r="B115" s="33" t="s">
        <v>2167</v>
      </c>
      <c r="C115" s="34" t="s">
        <v>662</v>
      </c>
      <c r="D115" s="51" t="s">
        <v>690</v>
      </c>
      <c r="E115" s="61" t="str">
        <f>IFERROR(VLOOKUP(D115,'Master List'!D:H,2,FALSE),"NA")</f>
        <v>430116</v>
      </c>
      <c r="F115" s="62" t="str">
        <f>IFERROR(VLOOKUP(D115,'Master List'!D:H,3,FALSE),"NA")</f>
        <v>430403</v>
      </c>
      <c r="G115" s="58" t="str">
        <f>IFERROR(VLOOKUP(D115,'Master List'!D:H,4,FALSE),"NA")</f>
        <v>430403</v>
      </c>
      <c r="H115" s="39" t="str">
        <f>IFERROR(VLOOKUP(D115,'Master List'!D:H,5,FALSE),"NA")</f>
        <v>Cyber/Computer Forensics and Counterterrorism.</v>
      </c>
      <c r="I115" s="19"/>
      <c r="J115" s="20"/>
      <c r="K115" s="20"/>
      <c r="L115" s="21"/>
    </row>
    <row r="116" spans="1:12" x14ac:dyDescent="0.3">
      <c r="A116" s="33">
        <v>23</v>
      </c>
      <c r="B116" s="33" t="s">
        <v>2167</v>
      </c>
      <c r="C116" s="34" t="s">
        <v>662</v>
      </c>
      <c r="D116" s="51" t="s">
        <v>131</v>
      </c>
      <c r="E116" s="61" t="str">
        <f>IFERROR(VLOOKUP(D116,'Master List'!D:H,2,FALSE),"NA")</f>
        <v>NA</v>
      </c>
      <c r="F116" s="62" t="str">
        <f>IFERROR(VLOOKUP(D116,'Master List'!D:H,3,FALSE),"NA")</f>
        <v>NA</v>
      </c>
      <c r="G116" s="58" t="str">
        <f>IFERROR(VLOOKUP(D116,'Master List'!D:H,4,FALSE),"NA")</f>
        <v>NA</v>
      </c>
      <c r="H116" s="39" t="str">
        <f>IFERROR(VLOOKUP(D116,'Master List'!D:H,5,FALSE),"NA")</f>
        <v>NA</v>
      </c>
      <c r="I116" s="19"/>
      <c r="J116" s="20"/>
      <c r="K116" s="20"/>
      <c r="L116" s="21"/>
    </row>
    <row r="117" spans="1:12" x14ac:dyDescent="0.3">
      <c r="A117" s="33">
        <v>23</v>
      </c>
      <c r="B117" s="33" t="s">
        <v>2167</v>
      </c>
      <c r="C117" s="34" t="s">
        <v>662</v>
      </c>
      <c r="D117" s="51" t="s">
        <v>375</v>
      </c>
      <c r="E117" s="61" t="str">
        <f>IFERROR(VLOOKUP(D117,'Master List'!D:H,2,FALSE),"NA")</f>
        <v>430201</v>
      </c>
      <c r="F117" s="62" t="str">
        <f>IFERROR(VLOOKUP(D117,'Master List'!D:H,3,FALSE),"NA")</f>
        <v>430201</v>
      </c>
      <c r="G117" s="58" t="str">
        <f>IFERROR(VLOOKUP(D117,'Master List'!D:H,4,FALSE),"NA")</f>
        <v>430201</v>
      </c>
      <c r="H117" s="39" t="str">
        <f>IFERROR(VLOOKUP(D117,'Master List'!D:H,5,FALSE),"NA")</f>
        <v>Fire Prevention and Safety Technology/Technician.</v>
      </c>
      <c r="I117" s="19"/>
      <c r="J117" s="20"/>
      <c r="K117" s="20"/>
      <c r="L117" s="21"/>
    </row>
    <row r="118" spans="1:12" x14ac:dyDescent="0.3">
      <c r="A118" s="33">
        <v>23</v>
      </c>
      <c r="B118" s="33" t="s">
        <v>2167</v>
      </c>
      <c r="C118" s="34" t="s">
        <v>662</v>
      </c>
      <c r="D118" s="51" t="s">
        <v>378</v>
      </c>
      <c r="E118" s="61" t="str">
        <f>IFERROR(VLOOKUP(D118,'Master List'!D:H,2,FALSE),"NA")</f>
        <v>430302</v>
      </c>
      <c r="F118" s="62" t="str">
        <f>IFERROR(VLOOKUP(D118,'Master List'!D:H,3,FALSE),"NA")</f>
        <v>430302</v>
      </c>
      <c r="G118" s="58" t="str">
        <f>IFERROR(VLOOKUP(D118,'Master List'!D:H,4,FALSE),"NA")</f>
        <v>430302</v>
      </c>
      <c r="H118" s="39" t="str">
        <f>IFERROR(VLOOKUP(D118,'Master List'!D:H,5,FALSE),"NA")</f>
        <v>Crisis/Emergency/Disaster Management.</v>
      </c>
      <c r="I118" s="19"/>
      <c r="J118" s="20"/>
      <c r="K118" s="20"/>
      <c r="L118" s="21"/>
    </row>
  </sheetData>
  <sheetProtection algorithmName="SHA-512" hashValue="erSPMO2eYFrc2N3cneWW2D0freGE3pVBztHLUb09XnwpGkCD4vR5xvJs9D/gIvq+HZCInI9NpMgxYPH+0giBhQ==" saltValue="WpQtZna2JjfbWCC3EovftA==" spinCount="100000" sheet="1" objects="1" scenarios="1" sort="0" autoFilter="0"/>
  <autoFilter ref="A2:L118"/>
  <mergeCells count="3">
    <mergeCell ref="A1:D1"/>
    <mergeCell ref="E1:H1"/>
    <mergeCell ref="I1:L1"/>
  </mergeCells>
  <dataValidations count="1">
    <dataValidation type="list" allowBlank="1" showInputMessage="1" showErrorMessage="1" sqref="I3:I118">
      <formula1>"Agree,Disagree"</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5.6640625" style="17" customWidth="1"/>
    <col min="5" max="5" width="14.88671875" style="54" customWidth="1"/>
    <col min="6" max="6" width="12.5546875" style="54" customWidth="1"/>
    <col min="7" max="7" width="13.5546875" style="54" customWidth="1"/>
    <col min="8" max="8" width="76.6640625" style="25" bestFit="1" customWidth="1"/>
    <col min="9" max="10" width="27" style="17" customWidth="1"/>
    <col min="11" max="11" width="34.88671875" style="17" customWidth="1"/>
    <col min="12" max="12" width="35.6640625" style="17" customWidth="1"/>
    <col min="13" max="16384" width="8.88671875" style="17"/>
  </cols>
  <sheetData>
    <row r="1" spans="1:12" s="27" customFormat="1" ht="65.400000000000006"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2169</v>
      </c>
      <c r="I2" s="15" t="s">
        <v>2151</v>
      </c>
      <c r="J2" s="15" t="s">
        <v>2152</v>
      </c>
      <c r="K2" s="15" t="s">
        <v>5</v>
      </c>
      <c r="L2" s="15" t="s">
        <v>2153</v>
      </c>
    </row>
    <row r="3" spans="1:12" x14ac:dyDescent="0.3">
      <c r="A3" s="33">
        <v>24</v>
      </c>
      <c r="B3" s="33" t="s">
        <v>2168</v>
      </c>
      <c r="C3" s="34" t="s">
        <v>647</v>
      </c>
      <c r="D3" s="51" t="s">
        <v>10</v>
      </c>
      <c r="E3" s="61" t="str">
        <f>IFERROR(VLOOKUP(D3,'Master List'!D:H,2,FALSE),"NA")</f>
        <v>510601</v>
      </c>
      <c r="F3" s="62" t="str">
        <f>IFERROR(VLOOKUP(D3,'Master List'!D:H,3,FALSE),"NA")</f>
        <v>510601</v>
      </c>
      <c r="G3" s="58" t="str">
        <f>IFERROR(VLOOKUP(D3,'Master List'!D:H,4,FALSE),"NA")</f>
        <v>510601</v>
      </c>
      <c r="H3" s="39" t="str">
        <f>IFERROR(VLOOKUP(D3,'Master List'!D:H,5,FALSE),"NA")</f>
        <v>Dental Assisting/Assistant.</v>
      </c>
      <c r="I3" s="19"/>
      <c r="J3" s="20"/>
      <c r="K3" s="20"/>
      <c r="L3" s="21"/>
    </row>
    <row r="4" spans="1:12" x14ac:dyDescent="0.3">
      <c r="A4" s="33">
        <v>24</v>
      </c>
      <c r="B4" s="33" t="s">
        <v>2168</v>
      </c>
      <c r="C4" s="34" t="s">
        <v>647</v>
      </c>
      <c r="D4" s="51" t="s">
        <v>195</v>
      </c>
      <c r="E4" s="61" t="str">
        <f>IFERROR(VLOOKUP(D4,'Master List'!D:H,2,FALSE),"NA")</f>
        <v>510707</v>
      </c>
      <c r="F4" s="62" t="str">
        <f>IFERROR(VLOOKUP(D4,'Master List'!D:H,3,FALSE),"NA")</f>
        <v>510707</v>
      </c>
      <c r="G4" s="58" t="str">
        <f>IFERROR(VLOOKUP(D4,'Master List'!D:H,4,FALSE),"NA")</f>
        <v>510707</v>
      </c>
      <c r="H4" s="39" t="str">
        <f>IFERROR(VLOOKUP(D4,'Master List'!D:H,5,FALSE),"NA")</f>
        <v>Health Information/Medical Records Technology/Technician.</v>
      </c>
      <c r="I4" s="19"/>
      <c r="J4" s="20"/>
      <c r="K4" s="20"/>
      <c r="L4" s="21"/>
    </row>
    <row r="5" spans="1:12" x14ac:dyDescent="0.3">
      <c r="A5" s="33">
        <v>24</v>
      </c>
      <c r="B5" s="33" t="s">
        <v>2168</v>
      </c>
      <c r="C5" s="34" t="s">
        <v>647</v>
      </c>
      <c r="D5" s="51" t="s">
        <v>198</v>
      </c>
      <c r="E5" s="61" t="str">
        <f>IFERROR(VLOOKUP(D5,'Master List'!D:H,2,FALSE),"NA")</f>
        <v>510707</v>
      </c>
      <c r="F5" s="62" t="str">
        <f>IFERROR(VLOOKUP(D5,'Master List'!D:H,3,FALSE),"NA")</f>
        <v>510707</v>
      </c>
      <c r="G5" s="58">
        <f>IFERROR(VLOOKUP(D5,'Master List'!D:H,4,FALSE),"NA")</f>
        <v>510714</v>
      </c>
      <c r="H5" s="39" t="str">
        <f>IFERROR(VLOOKUP(D5,'Master List'!D:H,5,FALSE),"NA")</f>
        <v>Medical Insurance Specialist/Medical Biller</v>
      </c>
      <c r="I5" s="19"/>
      <c r="J5" s="20"/>
      <c r="K5" s="20"/>
      <c r="L5" s="21"/>
    </row>
    <row r="6" spans="1:12" x14ac:dyDescent="0.3">
      <c r="A6" s="33">
        <v>24</v>
      </c>
      <c r="B6" s="33" t="s">
        <v>2168</v>
      </c>
      <c r="C6" s="34" t="s">
        <v>647</v>
      </c>
      <c r="D6" s="51" t="s">
        <v>14</v>
      </c>
      <c r="E6" s="61" t="str">
        <f>IFERROR(VLOOKUP(D6,'Master List'!D:H,2,FALSE),"NA")</f>
        <v>510904</v>
      </c>
      <c r="F6" s="62" t="str">
        <f>IFERROR(VLOOKUP(D6,'Master List'!D:H,3,FALSE),"NA")</f>
        <v>510904</v>
      </c>
      <c r="G6" s="58" t="str">
        <f>IFERROR(VLOOKUP(D6,'Master List'!D:H,4,FALSE),"NA")</f>
        <v>510904</v>
      </c>
      <c r="H6" s="39" t="str">
        <f>IFERROR(VLOOKUP(D6,'Master List'!D:H,5,FALSE),"NA")</f>
        <v>Emergency Medical Technology/Technician (EMT Paramedic).</v>
      </c>
      <c r="I6" s="19"/>
      <c r="J6" s="20"/>
      <c r="K6" s="20"/>
      <c r="L6" s="21"/>
    </row>
    <row r="7" spans="1:12" x14ac:dyDescent="0.3">
      <c r="A7" s="33">
        <v>24</v>
      </c>
      <c r="B7" s="33" t="s">
        <v>2168</v>
      </c>
      <c r="C7" s="34" t="s">
        <v>647</v>
      </c>
      <c r="D7" s="51" t="s">
        <v>204</v>
      </c>
      <c r="E7" s="61" t="str">
        <f>IFERROR(VLOOKUP(D7,'Master List'!D:H,2,FALSE),"NA")</f>
        <v>510904</v>
      </c>
      <c r="F7" s="62" t="str">
        <f>IFERROR(VLOOKUP(D7,'Master List'!D:H,3,FALSE),"NA")</f>
        <v>510904</v>
      </c>
      <c r="G7" s="58" t="str">
        <f>IFERROR(VLOOKUP(D7,'Master List'!D:H,4,FALSE),"NA")</f>
        <v>510904</v>
      </c>
      <c r="H7" s="39" t="str">
        <f>IFERROR(VLOOKUP(D7,'Master List'!D:H,5,FALSE),"NA")</f>
        <v>Emergency Medical Technology/Technician (EMT Paramedic).</v>
      </c>
      <c r="I7" s="19"/>
      <c r="J7" s="20"/>
      <c r="K7" s="20"/>
      <c r="L7" s="21"/>
    </row>
    <row r="8" spans="1:12" x14ac:dyDescent="0.3">
      <c r="A8" s="33">
        <v>24</v>
      </c>
      <c r="B8" s="33" t="s">
        <v>2168</v>
      </c>
      <c r="C8" s="34" t="s">
        <v>647</v>
      </c>
      <c r="D8" s="51" t="s">
        <v>649</v>
      </c>
      <c r="E8" s="61" t="str">
        <f>IFERROR(VLOOKUP(D8,'Master List'!D:H,2,FALSE),"NA")</f>
        <v>510909</v>
      </c>
      <c r="F8" s="62" t="str">
        <f>IFERROR(VLOOKUP(D8,'Master List'!D:H,3,FALSE),"NA")</f>
        <v>510909</v>
      </c>
      <c r="G8" s="58">
        <f>IFERROR(VLOOKUP(D8,'Master List'!D:H,4,FALSE),"NA")</f>
        <v>511012</v>
      </c>
      <c r="H8" s="39" t="str">
        <f>IFERROR(VLOOKUP(D8,'Master List'!D:H,5,FALSE),"NA")</f>
        <v>Sterile Processing Technology/Technician</v>
      </c>
      <c r="I8" s="19"/>
      <c r="J8" s="20"/>
      <c r="K8" s="20"/>
      <c r="L8" s="21"/>
    </row>
    <row r="9" spans="1:12" x14ac:dyDescent="0.3">
      <c r="A9" s="33">
        <v>24</v>
      </c>
      <c r="B9" s="33" t="s">
        <v>2168</v>
      </c>
      <c r="C9" s="34" t="s">
        <v>647</v>
      </c>
      <c r="D9" s="51" t="s">
        <v>207</v>
      </c>
      <c r="E9" s="61" t="str">
        <f>IFERROR(VLOOKUP(D9,'Master List'!D:H,2,FALSE),"NA")</f>
        <v>510909</v>
      </c>
      <c r="F9" s="62" t="str">
        <f>IFERROR(VLOOKUP(D9,'Master List'!D:H,3,FALSE),"NA")</f>
        <v>510909</v>
      </c>
      <c r="G9" s="58" t="str">
        <f>IFERROR(VLOOKUP(D9,'Master List'!D:H,4,FALSE),"NA")</f>
        <v>510909</v>
      </c>
      <c r="H9" s="39" t="str">
        <f>IFERROR(VLOOKUP(D9,'Master List'!D:H,5,FALSE),"NA")</f>
        <v>Surgical Technology/Technologist.</v>
      </c>
      <c r="I9" s="19"/>
      <c r="J9" s="20"/>
      <c r="K9" s="20"/>
      <c r="L9" s="21"/>
    </row>
    <row r="10" spans="1:12" x14ac:dyDescent="0.3">
      <c r="A10" s="33">
        <v>24</v>
      </c>
      <c r="B10" s="33" t="s">
        <v>2168</v>
      </c>
      <c r="C10" s="34" t="s">
        <v>647</v>
      </c>
      <c r="D10" s="51" t="s">
        <v>410</v>
      </c>
      <c r="E10" s="61" t="str">
        <f>IFERROR(VLOOKUP(D10,'Master List'!D:H,2,FALSE),"NA")</f>
        <v>511009</v>
      </c>
      <c r="F10" s="62" t="str">
        <f>IFERROR(VLOOKUP(D10,'Master List'!D:H,3,FALSE),"NA")</f>
        <v>511009</v>
      </c>
      <c r="G10" s="58" t="str">
        <f>IFERROR(VLOOKUP(D10,'Master List'!D:H,4,FALSE),"NA")</f>
        <v>511009</v>
      </c>
      <c r="H10" s="39" t="str">
        <f>IFERROR(VLOOKUP(D10,'Master List'!D:H,5,FALSE),"NA")</f>
        <v>Phlebotomy Technician/Phlebotomist.</v>
      </c>
      <c r="I10" s="19"/>
      <c r="J10" s="20"/>
      <c r="K10" s="20"/>
      <c r="L10" s="21"/>
    </row>
    <row r="11" spans="1:12" x14ac:dyDescent="0.3">
      <c r="A11" s="33">
        <v>24</v>
      </c>
      <c r="B11" s="33" t="s">
        <v>2168</v>
      </c>
      <c r="C11" s="34" t="s">
        <v>647</v>
      </c>
      <c r="D11" s="51" t="s">
        <v>413</v>
      </c>
      <c r="E11" s="61" t="str">
        <f>IFERROR(VLOOKUP(D11,'Master List'!D:H,2,FALSE),"NA")</f>
        <v>513901</v>
      </c>
      <c r="F11" s="62" t="str">
        <f>IFERROR(VLOOKUP(D11,'Master List'!D:H,3,FALSE),"NA")</f>
        <v>513901</v>
      </c>
      <c r="G11" s="58" t="str">
        <f>IFERROR(VLOOKUP(D11,'Master List'!D:H,4,FALSE),"NA")</f>
        <v>513901</v>
      </c>
      <c r="H11" s="39" t="str">
        <f>IFERROR(VLOOKUP(D11,'Master List'!D:H,5,FALSE),"NA")</f>
        <v>Licensed Practical/Vocational Nurse Training.</v>
      </c>
      <c r="I11" s="19"/>
      <c r="J11" s="20"/>
      <c r="K11" s="20"/>
      <c r="L11" s="21"/>
    </row>
    <row r="12" spans="1:12" x14ac:dyDescent="0.3">
      <c r="A12" s="33">
        <v>24</v>
      </c>
      <c r="B12" s="33" t="s">
        <v>2168</v>
      </c>
      <c r="C12" s="34" t="s">
        <v>647</v>
      </c>
      <c r="D12" s="51" t="s">
        <v>152</v>
      </c>
      <c r="E12" s="61" t="str">
        <f>IFERROR(VLOOKUP(D12,'Master List'!D:H,2,FALSE),"NA")</f>
        <v>513902</v>
      </c>
      <c r="F12" s="62" t="str">
        <f>IFERROR(VLOOKUP(D12,'Master List'!D:H,3,FALSE),"NA")</f>
        <v>513902</v>
      </c>
      <c r="G12" s="58" t="str">
        <f>IFERROR(VLOOKUP(D12,'Master List'!D:H,4,FALSE),"NA")</f>
        <v>513902</v>
      </c>
      <c r="H12" s="39" t="str">
        <f>IFERROR(VLOOKUP(D12,'Master List'!D:H,5,FALSE),"NA")</f>
        <v>Nursing Assistant/Aide and Patient Care Assistant/Aide.</v>
      </c>
      <c r="I12" s="19"/>
      <c r="J12" s="20"/>
      <c r="K12" s="20"/>
      <c r="L12" s="21"/>
    </row>
    <row r="13" spans="1:12" x14ac:dyDescent="0.3">
      <c r="A13" s="33">
        <v>24</v>
      </c>
      <c r="B13" s="33" t="s">
        <v>2168</v>
      </c>
      <c r="C13" s="34" t="s">
        <v>647</v>
      </c>
      <c r="D13" s="51" t="s">
        <v>28</v>
      </c>
      <c r="E13" s="61" t="str">
        <f>IFERROR(VLOOKUP(D13,'Master List'!D:H,2,FALSE),"NA")</f>
        <v>190709</v>
      </c>
      <c r="F13" s="62" t="str">
        <f>IFERROR(VLOOKUP(D13,'Master List'!D:H,3,FALSE),"NA")</f>
        <v>190709</v>
      </c>
      <c r="G13" s="58" t="str">
        <f>IFERROR(VLOOKUP(D13,'Master List'!D:H,4,FALSE),"NA")</f>
        <v>190709</v>
      </c>
      <c r="H13" s="39" t="str">
        <f>IFERROR(VLOOKUP(D13,'Master List'!D:H,5,FALSE),"NA")</f>
        <v>Child Care Provider/Assistant.</v>
      </c>
      <c r="I13" s="19"/>
      <c r="J13" s="20"/>
      <c r="K13" s="20"/>
      <c r="L13" s="21"/>
    </row>
    <row r="14" spans="1:12" x14ac:dyDescent="0.3">
      <c r="A14" s="33">
        <v>24</v>
      </c>
      <c r="B14" s="33" t="s">
        <v>2168</v>
      </c>
      <c r="C14" s="34" t="s">
        <v>647</v>
      </c>
      <c r="D14" s="51" t="s">
        <v>389</v>
      </c>
      <c r="E14" s="61" t="str">
        <f>IFERROR(VLOOKUP(D14,'Master List'!D:H,2,FALSE),"NA")</f>
        <v>110201</v>
      </c>
      <c r="F14" s="62" t="str">
        <f>IFERROR(VLOOKUP(D14,'Master List'!D:H,3,FALSE),"NA")</f>
        <v>110201</v>
      </c>
      <c r="G14" s="58" t="str">
        <f>IFERROR(VLOOKUP(D14,'Master List'!D:H,4,FALSE),"NA")</f>
        <v>110201</v>
      </c>
      <c r="H14" s="39" t="str">
        <f>IFERROR(VLOOKUP(D14,'Master List'!D:H,5,FALSE),"NA")</f>
        <v>Computer Programming/Programmer, General.</v>
      </c>
      <c r="I14" s="19"/>
      <c r="J14" s="20"/>
      <c r="K14" s="20"/>
      <c r="L14" s="21"/>
    </row>
    <row r="15" spans="1:12" x14ac:dyDescent="0.3">
      <c r="A15" s="33">
        <v>24</v>
      </c>
      <c r="B15" s="33" t="s">
        <v>2168</v>
      </c>
      <c r="C15" s="34" t="s">
        <v>647</v>
      </c>
      <c r="D15" s="51" t="s">
        <v>390</v>
      </c>
      <c r="E15" s="61" t="str">
        <f>IFERROR(VLOOKUP(D15,'Master List'!D:H,2,FALSE),"NA")</f>
        <v>110202</v>
      </c>
      <c r="F15" s="62" t="str">
        <f>IFERROR(VLOOKUP(D15,'Master List'!D:H,3,FALSE),"NA")</f>
        <v>110202</v>
      </c>
      <c r="G15" s="58" t="str">
        <f>IFERROR(VLOOKUP(D15,'Master List'!D:H,4,FALSE),"NA")</f>
        <v>110202</v>
      </c>
      <c r="H15" s="39" t="str">
        <f>IFERROR(VLOOKUP(D15,'Master List'!D:H,5,FALSE),"NA")</f>
        <v>Computer Programming, Specific Applications.</v>
      </c>
      <c r="I15" s="19"/>
      <c r="J15" s="20"/>
      <c r="K15" s="20"/>
      <c r="L15" s="21"/>
    </row>
    <row r="16" spans="1:12" x14ac:dyDescent="0.3">
      <c r="A16" s="33">
        <v>24</v>
      </c>
      <c r="B16" s="33" t="s">
        <v>2168</v>
      </c>
      <c r="C16" s="34" t="s">
        <v>647</v>
      </c>
      <c r="D16" s="51" t="s">
        <v>31</v>
      </c>
      <c r="E16" s="61" t="str">
        <f>IFERROR(VLOOKUP(D16,'Master List'!D:H,2,FALSE),"NA")</f>
        <v>111001</v>
      </c>
      <c r="F16" s="62" t="str">
        <f>IFERROR(VLOOKUP(D16,'Master List'!D:H,3,FALSE),"NA")</f>
        <v>111001</v>
      </c>
      <c r="G16" s="58" t="str">
        <f>IFERROR(VLOOKUP(D16,'Master List'!D:H,4,FALSE),"NA")</f>
        <v>111001</v>
      </c>
      <c r="H16" s="39" t="str">
        <f>IFERROR(VLOOKUP(D16,'Master List'!D:H,5,FALSE),"NA")</f>
        <v>Network and System Administration/Administrator.</v>
      </c>
      <c r="I16" s="19"/>
      <c r="J16" s="20"/>
      <c r="K16" s="20"/>
      <c r="L16" s="21"/>
    </row>
    <row r="17" spans="1:12" x14ac:dyDescent="0.3">
      <c r="A17" s="33">
        <v>24</v>
      </c>
      <c r="B17" s="33" t="s">
        <v>2168</v>
      </c>
      <c r="C17" s="34" t="s">
        <v>647</v>
      </c>
      <c r="D17" s="51" t="s">
        <v>34</v>
      </c>
      <c r="E17" s="61" t="str">
        <f>IFERROR(VLOOKUP(D17,'Master List'!D:H,2,FALSE),"NA")</f>
        <v>111001</v>
      </c>
      <c r="F17" s="62" t="str">
        <f>IFERROR(VLOOKUP(D17,'Master List'!D:H,3,FALSE),"NA")</f>
        <v>111001</v>
      </c>
      <c r="G17" s="58" t="str">
        <f>IFERROR(VLOOKUP(D17,'Master List'!D:H,4,FALSE),"NA")</f>
        <v>111001</v>
      </c>
      <c r="H17" s="39" t="str">
        <f>IFERROR(VLOOKUP(D17,'Master List'!D:H,5,FALSE),"NA")</f>
        <v>Network and System Administration/Administrator.</v>
      </c>
      <c r="I17" s="19"/>
      <c r="J17" s="20"/>
      <c r="K17" s="20"/>
      <c r="L17" s="21"/>
    </row>
    <row r="18" spans="1:12" x14ac:dyDescent="0.3">
      <c r="A18" s="33">
        <v>24</v>
      </c>
      <c r="B18" s="33" t="s">
        <v>2168</v>
      </c>
      <c r="C18" s="34" t="s">
        <v>647</v>
      </c>
      <c r="D18" s="51" t="s">
        <v>35</v>
      </c>
      <c r="E18" s="61" t="str">
        <f>IFERROR(VLOOKUP(D18,'Master List'!D:H,2,FALSE),"NA")</f>
        <v>111001</v>
      </c>
      <c r="F18" s="62" t="str">
        <f>IFERROR(VLOOKUP(D18,'Master List'!D:H,3,FALSE),"NA")</f>
        <v>111001</v>
      </c>
      <c r="G18" s="58" t="str">
        <f>IFERROR(VLOOKUP(D18,'Master List'!D:H,4,FALSE),"NA")</f>
        <v>111001</v>
      </c>
      <c r="H18" s="39" t="str">
        <f>IFERROR(VLOOKUP(D18,'Master List'!D:H,5,FALSE),"NA")</f>
        <v>Network and System Administration/Administrator.</v>
      </c>
      <c r="I18" s="19"/>
      <c r="J18" s="20"/>
      <c r="K18" s="20"/>
      <c r="L18" s="21"/>
    </row>
    <row r="19" spans="1:12" x14ac:dyDescent="0.3">
      <c r="A19" s="33">
        <v>24</v>
      </c>
      <c r="B19" s="33" t="s">
        <v>2168</v>
      </c>
      <c r="C19" s="34" t="s">
        <v>647</v>
      </c>
      <c r="D19" s="51" t="s">
        <v>229</v>
      </c>
      <c r="E19" s="61" t="str">
        <f>IFERROR(VLOOKUP(D19,'Master List'!D:H,2,FALSE),"NA")</f>
        <v>520407</v>
      </c>
      <c r="F19" s="62" t="str">
        <f>IFERROR(VLOOKUP(D19,'Master List'!D:H,3,FALSE),"NA")</f>
        <v>520407</v>
      </c>
      <c r="G19" s="58" t="str">
        <f>IFERROR(VLOOKUP(D19,'Master List'!D:H,4,FALSE),"NA")</f>
        <v>520407</v>
      </c>
      <c r="H19" s="39" t="str">
        <f>IFERROR(VLOOKUP(D19,'Master List'!D:H,5,FALSE),"NA")</f>
        <v>Business/Office Automation/Technology/Data Entry.</v>
      </c>
      <c r="I19" s="19"/>
      <c r="J19" s="20"/>
      <c r="K19" s="20"/>
      <c r="L19" s="21"/>
    </row>
    <row r="20" spans="1:12" x14ac:dyDescent="0.3">
      <c r="A20" s="33">
        <v>24</v>
      </c>
      <c r="B20" s="33" t="s">
        <v>2168</v>
      </c>
      <c r="C20" s="34" t="s">
        <v>647</v>
      </c>
      <c r="D20" s="51" t="s">
        <v>515</v>
      </c>
      <c r="E20" s="61" t="str">
        <f>IFERROR(VLOOKUP(D20,'Master List'!D:H,2,FALSE),"NA")</f>
        <v>110803</v>
      </c>
      <c r="F20" s="62" t="str">
        <f>IFERROR(VLOOKUP(D20,'Master List'!D:H,3,FALSE),"NA")</f>
        <v>110803</v>
      </c>
      <c r="G20" s="58" t="str">
        <f>IFERROR(VLOOKUP(D20,'Master List'!D:H,4,FALSE),"NA")</f>
        <v>110803</v>
      </c>
      <c r="H20" s="39" t="str">
        <f>IFERROR(VLOOKUP(D20,'Master List'!D:H,5,FALSE),"NA")</f>
        <v>Computer Graphics.</v>
      </c>
      <c r="I20" s="19"/>
      <c r="J20" s="20"/>
      <c r="K20" s="20"/>
      <c r="L20" s="21"/>
    </row>
    <row r="21" spans="1:12" x14ac:dyDescent="0.3">
      <c r="A21" s="33">
        <v>24</v>
      </c>
      <c r="B21" s="33" t="s">
        <v>2168</v>
      </c>
      <c r="C21" s="34" t="s">
        <v>647</v>
      </c>
      <c r="D21" s="51" t="s">
        <v>237</v>
      </c>
      <c r="E21" s="61" t="str">
        <f>IFERROR(VLOOKUP(D21,'Master List'!D:H,2,FALSE),"NA")</f>
        <v>110803</v>
      </c>
      <c r="F21" s="62" t="str">
        <f>IFERROR(VLOOKUP(D21,'Master List'!D:H,3,FALSE),"NA")</f>
        <v>110803</v>
      </c>
      <c r="G21" s="58" t="str">
        <f>IFERROR(VLOOKUP(D21,'Master List'!D:H,4,FALSE),"NA")</f>
        <v>110803</v>
      </c>
      <c r="H21" s="39" t="str">
        <f>IFERROR(VLOOKUP(D21,'Master List'!D:H,5,FALSE),"NA")</f>
        <v>Computer Graphics.</v>
      </c>
      <c r="I21" s="19"/>
      <c r="J21" s="20"/>
      <c r="K21" s="20"/>
      <c r="L21" s="21"/>
    </row>
    <row r="22" spans="1:12" x14ac:dyDescent="0.3">
      <c r="A22" s="33">
        <v>24</v>
      </c>
      <c r="B22" s="33" t="s">
        <v>2168</v>
      </c>
      <c r="C22" s="34" t="s">
        <v>647</v>
      </c>
      <c r="D22" s="51" t="s">
        <v>248</v>
      </c>
      <c r="E22" s="61" t="str">
        <f>IFERROR(VLOOKUP(D22,'Master List'!D:H,2,FALSE),"NA")</f>
        <v>150501</v>
      </c>
      <c r="F22" s="62" t="str">
        <f>IFERROR(VLOOKUP(D22,'Master List'!D:H,3,FALSE),"NA")</f>
        <v>150501</v>
      </c>
      <c r="G22" s="58" t="str">
        <f>IFERROR(VLOOKUP(D22,'Master List'!D:H,4,FALSE),"NA")</f>
        <v>150501</v>
      </c>
      <c r="H22" s="39" t="str">
        <f>IFERROR(VLOOKUP(D22,'Master List'!D:H,5,FALSE),"NA")</f>
        <v>Heating, Ventilation, Air Conditioning and Refrigeration Engineering Technology/Technician.</v>
      </c>
      <c r="I22" s="19"/>
      <c r="J22" s="20"/>
      <c r="K22" s="20"/>
      <c r="L22" s="21"/>
    </row>
    <row r="23" spans="1:12" x14ac:dyDescent="0.3">
      <c r="A23" s="33">
        <v>24</v>
      </c>
      <c r="B23" s="33" t="s">
        <v>2168</v>
      </c>
      <c r="C23" s="34" t="s">
        <v>647</v>
      </c>
      <c r="D23" s="51" t="s">
        <v>255</v>
      </c>
      <c r="E23" s="61" t="str">
        <f>IFERROR(VLOOKUP(D23,'Master List'!D:H,2,FALSE),"NA")</f>
        <v>150803</v>
      </c>
      <c r="F23" s="62" t="str">
        <f>IFERROR(VLOOKUP(D23,'Master List'!D:H,3,FALSE),"NA")</f>
        <v>150803</v>
      </c>
      <c r="G23" s="58" t="str">
        <f>IFERROR(VLOOKUP(D23,'Master List'!D:H,4,FALSE),"NA")</f>
        <v>150803</v>
      </c>
      <c r="H23" s="39" t="str">
        <f>IFERROR(VLOOKUP(D23,'Master List'!D:H,5,FALSE),"NA")</f>
        <v>Automotive Engineering Technology/Technician.</v>
      </c>
      <c r="I23" s="19"/>
      <c r="J23" s="20"/>
      <c r="K23" s="20"/>
      <c r="L23" s="21"/>
    </row>
    <row r="24" spans="1:12" x14ac:dyDescent="0.3">
      <c r="A24" s="33">
        <v>24</v>
      </c>
      <c r="B24" s="33" t="s">
        <v>2168</v>
      </c>
      <c r="C24" s="34" t="s">
        <v>647</v>
      </c>
      <c r="D24" s="51" t="s">
        <v>268</v>
      </c>
      <c r="E24" s="61" t="str">
        <f>IFERROR(VLOOKUP(D24,'Master List'!D:H,2,FALSE),"NA")</f>
        <v>410301</v>
      </c>
      <c r="F24" s="62" t="str">
        <f>IFERROR(VLOOKUP(D24,'Master List'!D:H,3,FALSE),"NA")</f>
        <v>410301</v>
      </c>
      <c r="G24" s="58" t="str">
        <f>IFERROR(VLOOKUP(D24,'Master List'!D:H,4,FALSE),"NA")</f>
        <v>410301</v>
      </c>
      <c r="H24" s="39" t="str">
        <f>IFERROR(VLOOKUP(D24,'Master List'!D:H,5,FALSE),"NA")</f>
        <v>Chemical Technology/Technician.</v>
      </c>
      <c r="I24" s="19"/>
      <c r="J24" s="20"/>
      <c r="K24" s="20"/>
      <c r="L24" s="21"/>
    </row>
    <row r="25" spans="1:12" x14ac:dyDescent="0.3">
      <c r="A25" s="33">
        <v>24</v>
      </c>
      <c r="B25" s="33" t="s">
        <v>2168</v>
      </c>
      <c r="C25" s="34" t="s">
        <v>647</v>
      </c>
      <c r="D25" s="51" t="s">
        <v>634</v>
      </c>
      <c r="E25" s="61" t="str">
        <f>IFERROR(VLOOKUP(D25,'Master List'!D:H,2,FALSE),"NA")</f>
        <v>460503</v>
      </c>
      <c r="F25" s="62" t="str">
        <f>IFERROR(VLOOKUP(D25,'Master List'!D:H,3,FALSE),"NA")</f>
        <v>460503</v>
      </c>
      <c r="G25" s="58" t="str">
        <f>IFERROR(VLOOKUP(D25,'Master List'!D:H,4,FALSE),"NA")</f>
        <v>460503</v>
      </c>
      <c r="H25" s="39" t="str">
        <f>IFERROR(VLOOKUP(D25,'Master List'!D:H,5,FALSE),"NA")</f>
        <v>Plumbing Technology/Plumber.</v>
      </c>
      <c r="I25" s="19"/>
      <c r="J25" s="20"/>
      <c r="K25" s="20"/>
      <c r="L25" s="21"/>
    </row>
    <row r="26" spans="1:12" x14ac:dyDescent="0.3">
      <c r="A26" s="33">
        <v>24</v>
      </c>
      <c r="B26" s="33" t="s">
        <v>2168</v>
      </c>
      <c r="C26" s="34" t="s">
        <v>647</v>
      </c>
      <c r="D26" s="51" t="s">
        <v>449</v>
      </c>
      <c r="E26" s="61" t="str">
        <f>IFERROR(VLOOKUP(D26,'Master List'!D:H,2,FALSE),"NA")</f>
        <v>470604</v>
      </c>
      <c r="F26" s="62" t="str">
        <f>IFERROR(VLOOKUP(D26,'Master List'!D:H,3,FALSE),"NA")</f>
        <v>470604</v>
      </c>
      <c r="G26" s="58" t="str">
        <f>IFERROR(VLOOKUP(D26,'Master List'!D:H,4,FALSE),"NA")</f>
        <v>470604</v>
      </c>
      <c r="H26" s="39" t="str">
        <f>IFERROR(VLOOKUP(D26,'Master List'!D:H,5,FALSE),"NA")</f>
        <v>Automobile/Automotive Mechanics Technology/Technician.</v>
      </c>
      <c r="I26" s="19"/>
      <c r="J26" s="20"/>
      <c r="K26" s="20"/>
      <c r="L26" s="21"/>
    </row>
    <row r="27" spans="1:12" x14ac:dyDescent="0.3">
      <c r="A27" s="33">
        <v>24</v>
      </c>
      <c r="B27" s="33" t="s">
        <v>2168</v>
      </c>
      <c r="C27" s="34" t="s">
        <v>647</v>
      </c>
      <c r="D27" s="51" t="s">
        <v>291</v>
      </c>
      <c r="E27" s="61" t="str">
        <f>IFERROR(VLOOKUP(D27,'Master List'!D:H,2,FALSE),"NA")</f>
        <v>480508</v>
      </c>
      <c r="F27" s="62" t="str">
        <f>IFERROR(VLOOKUP(D27,'Master List'!D:H,3,FALSE),"NA")</f>
        <v>480508</v>
      </c>
      <c r="G27" s="58" t="str">
        <f>IFERROR(VLOOKUP(D27,'Master List'!D:H,4,FALSE),"NA")</f>
        <v>480508</v>
      </c>
      <c r="H27" s="39" t="str">
        <f>IFERROR(VLOOKUP(D27,'Master List'!D:H,5,FALSE),"NA")</f>
        <v>Welding Technology/Welder.</v>
      </c>
      <c r="I27" s="19"/>
      <c r="J27" s="20"/>
      <c r="K27" s="20"/>
      <c r="L27" s="21"/>
    </row>
    <row r="28" spans="1:12" x14ac:dyDescent="0.3">
      <c r="A28" s="33">
        <v>24</v>
      </c>
      <c r="B28" s="33" t="s">
        <v>2168</v>
      </c>
      <c r="C28" s="34" t="s">
        <v>647</v>
      </c>
      <c r="D28" s="51" t="s">
        <v>456</v>
      </c>
      <c r="E28" s="61" t="str">
        <f>IFERROR(VLOOKUP(D28,'Master List'!D:H,2,FALSE),"NA")</f>
        <v>480508</v>
      </c>
      <c r="F28" s="62" t="str">
        <f>IFERROR(VLOOKUP(D28,'Master List'!D:H,3,FALSE),"NA")</f>
        <v>480508</v>
      </c>
      <c r="G28" s="58" t="str">
        <f>IFERROR(VLOOKUP(D28,'Master List'!D:H,4,FALSE),"NA")</f>
        <v>480508</v>
      </c>
      <c r="H28" s="39" t="str">
        <f>IFERROR(VLOOKUP(D28,'Master List'!D:H,5,FALSE),"NA")</f>
        <v>Welding Technology/Welder.</v>
      </c>
      <c r="I28" s="19"/>
      <c r="J28" s="20"/>
      <c r="K28" s="20"/>
      <c r="L28" s="21"/>
    </row>
    <row r="29" spans="1:12" x14ac:dyDescent="0.3">
      <c r="A29" s="33">
        <v>24</v>
      </c>
      <c r="B29" s="33" t="s">
        <v>2168</v>
      </c>
      <c r="C29" s="34" t="s">
        <v>647</v>
      </c>
      <c r="D29" s="51" t="s">
        <v>68</v>
      </c>
      <c r="E29" s="61" t="str">
        <f>IFERROR(VLOOKUP(D29,'Master List'!D:H,2,FALSE),"NA")</f>
        <v>430102</v>
      </c>
      <c r="F29" s="62" t="str">
        <f>IFERROR(VLOOKUP(D29,'Master List'!D:H,3,FALSE),"NA")</f>
        <v>430102</v>
      </c>
      <c r="G29" s="58" t="str">
        <f>IFERROR(VLOOKUP(D29,'Master List'!D:H,4,FALSE),"NA")</f>
        <v>430102</v>
      </c>
      <c r="H29" s="39" t="str">
        <f>IFERROR(VLOOKUP(D29,'Master List'!D:H,5,FALSE),"NA")</f>
        <v>Corrections.</v>
      </c>
      <c r="I29" s="19"/>
      <c r="J29" s="20"/>
      <c r="K29" s="20"/>
      <c r="L29" s="21"/>
    </row>
    <row r="30" spans="1:12" x14ac:dyDescent="0.3">
      <c r="A30" s="33">
        <v>24</v>
      </c>
      <c r="B30" s="33" t="s">
        <v>2168</v>
      </c>
      <c r="C30" s="34" t="s">
        <v>647</v>
      </c>
      <c r="D30" s="51" t="s">
        <v>484</v>
      </c>
      <c r="E30" s="61" t="str">
        <f>IFERROR(VLOOKUP(D30,'Master List'!D:H,2,FALSE),"NA")</f>
        <v>430102</v>
      </c>
      <c r="F30" s="62" t="str">
        <f>IFERROR(VLOOKUP(D30,'Master List'!D:H,3,FALSE),"NA")</f>
        <v>430102</v>
      </c>
      <c r="G30" s="58" t="str">
        <f>IFERROR(VLOOKUP(D30,'Master List'!D:H,4,FALSE),"NA")</f>
        <v>430102</v>
      </c>
      <c r="H30" s="39" t="str">
        <f>IFERROR(VLOOKUP(D30,'Master List'!D:H,5,FALSE),"NA")</f>
        <v>Corrections.</v>
      </c>
      <c r="I30" s="19"/>
      <c r="J30" s="20"/>
      <c r="K30" s="20"/>
      <c r="L30" s="21"/>
    </row>
    <row r="31" spans="1:12" x14ac:dyDescent="0.3">
      <c r="A31" s="33">
        <v>24</v>
      </c>
      <c r="B31" s="33" t="s">
        <v>2168</v>
      </c>
      <c r="C31" s="34" t="s">
        <v>647</v>
      </c>
      <c r="D31" s="51" t="s">
        <v>71</v>
      </c>
      <c r="E31" s="61" t="str">
        <f>IFERROR(VLOOKUP(D31,'Master List'!D:H,2,FALSE),"NA")</f>
        <v>430107</v>
      </c>
      <c r="F31" s="62" t="str">
        <f>IFERROR(VLOOKUP(D31,'Master List'!D:H,3,FALSE),"NA")</f>
        <v>430107</v>
      </c>
      <c r="G31" s="58" t="str">
        <f>IFERROR(VLOOKUP(D31,'Master List'!D:H,4,FALSE),"NA")</f>
        <v>430107</v>
      </c>
      <c r="H31" s="39" t="str">
        <f>IFERROR(VLOOKUP(D31,'Master List'!D:H,5,FALSE),"NA")</f>
        <v>Criminal Justice/Police Science.</v>
      </c>
      <c r="I31" s="19"/>
      <c r="J31" s="20"/>
      <c r="K31" s="20"/>
      <c r="L31" s="21"/>
    </row>
    <row r="32" spans="1:12" x14ac:dyDescent="0.3">
      <c r="A32" s="33">
        <v>24</v>
      </c>
      <c r="B32" s="33" t="s">
        <v>2168</v>
      </c>
      <c r="C32" s="34" t="s">
        <v>647</v>
      </c>
      <c r="D32" s="51" t="s">
        <v>74</v>
      </c>
      <c r="E32" s="61" t="str">
        <f>IFERROR(VLOOKUP(D32,'Master List'!D:H,2,FALSE),"NA")</f>
        <v>430107</v>
      </c>
      <c r="F32" s="62" t="str">
        <f>IFERROR(VLOOKUP(D32,'Master List'!D:H,3,FALSE),"NA")</f>
        <v>430107</v>
      </c>
      <c r="G32" s="58" t="str">
        <f>IFERROR(VLOOKUP(D32,'Master List'!D:H,4,FALSE),"NA")</f>
        <v>430107</v>
      </c>
      <c r="H32" s="39" t="str">
        <f>IFERROR(VLOOKUP(D32,'Master List'!D:H,5,FALSE),"NA")</f>
        <v>Criminal Justice/Police Science.</v>
      </c>
      <c r="I32" s="19"/>
      <c r="J32" s="20"/>
      <c r="K32" s="20"/>
      <c r="L32" s="21"/>
    </row>
    <row r="33" spans="1:12" x14ac:dyDescent="0.3">
      <c r="A33" s="33">
        <v>24</v>
      </c>
      <c r="B33" s="33" t="s">
        <v>2168</v>
      </c>
      <c r="C33" s="34" t="s">
        <v>647</v>
      </c>
      <c r="D33" s="51" t="s">
        <v>650</v>
      </c>
      <c r="E33" s="61" t="str">
        <f>IFERROR(VLOOKUP(D33,'Master List'!D:H,2,FALSE),"NA")</f>
        <v>010999</v>
      </c>
      <c r="F33" s="62" t="str">
        <f>IFERROR(VLOOKUP(D33,'Master List'!D:H,3,FALSE),"NA")</f>
        <v>010999</v>
      </c>
      <c r="G33" s="58" t="str">
        <f>IFERROR(VLOOKUP(D33,'Master List'!D:H,4,FALSE),"NA")</f>
        <v>010999</v>
      </c>
      <c r="H33" s="39" t="str">
        <f>IFERROR(VLOOKUP(D33,'Master List'!D:H,5,FALSE),"NA")</f>
        <v>Animal Sciences, Other.</v>
      </c>
      <c r="I33" s="19"/>
      <c r="J33" s="20"/>
      <c r="K33" s="20"/>
      <c r="L33" s="21"/>
    </row>
    <row r="34" spans="1:12" x14ac:dyDescent="0.3">
      <c r="A34" s="33">
        <v>24</v>
      </c>
      <c r="B34" s="33" t="s">
        <v>2168</v>
      </c>
      <c r="C34" s="34" t="s">
        <v>647</v>
      </c>
      <c r="D34" s="51" t="s">
        <v>324</v>
      </c>
      <c r="E34" s="61" t="str">
        <f>IFERROR(VLOOKUP(D34,'Master List'!D:H,2,FALSE),"NA")</f>
        <v>410101</v>
      </c>
      <c r="F34" s="62" t="str">
        <f>IFERROR(VLOOKUP(D34,'Master List'!D:H,3,FALSE),"NA")</f>
        <v>410101</v>
      </c>
      <c r="G34" s="58" t="str">
        <f>IFERROR(VLOOKUP(D34,'Master List'!D:H,4,FALSE),"NA")</f>
        <v>410101</v>
      </c>
      <c r="H34" s="39" t="str">
        <f>IFERROR(VLOOKUP(D34,'Master List'!D:H,5,FALSE),"NA")</f>
        <v>Biology/Biotechnology Technology/Technician.</v>
      </c>
      <c r="I34" s="19"/>
      <c r="J34" s="20"/>
      <c r="K34" s="20"/>
      <c r="L34" s="21"/>
    </row>
    <row r="35" spans="1:12" x14ac:dyDescent="0.3">
      <c r="A35" s="33">
        <v>24</v>
      </c>
      <c r="B35" s="33" t="s">
        <v>2168</v>
      </c>
      <c r="C35" s="34" t="s">
        <v>647</v>
      </c>
      <c r="D35" s="51" t="s">
        <v>84</v>
      </c>
      <c r="E35" s="61" t="str">
        <f>IFERROR(VLOOKUP(D35,'Master List'!D:H,2,FALSE),"NA")</f>
        <v>510602</v>
      </c>
      <c r="F35" s="62" t="str">
        <f>IFERROR(VLOOKUP(D35,'Master List'!D:H,3,FALSE),"NA")</f>
        <v>510602</v>
      </c>
      <c r="G35" s="58" t="str">
        <f>IFERROR(VLOOKUP(D35,'Master List'!D:H,4,FALSE),"NA")</f>
        <v>510602</v>
      </c>
      <c r="H35" s="39" t="str">
        <f>IFERROR(VLOOKUP(D35,'Master List'!D:H,5,FALSE),"NA")</f>
        <v>Dental Hygiene/Hygienist.</v>
      </c>
      <c r="I35" s="19"/>
      <c r="J35" s="20"/>
      <c r="K35" s="20"/>
      <c r="L35" s="21"/>
    </row>
    <row r="36" spans="1:12" x14ac:dyDescent="0.3">
      <c r="A36" s="33">
        <v>24</v>
      </c>
      <c r="B36" s="33" t="s">
        <v>2168</v>
      </c>
      <c r="C36" s="34" t="s">
        <v>647</v>
      </c>
      <c r="D36" s="51" t="s">
        <v>612</v>
      </c>
      <c r="E36" s="61" t="str">
        <f>IFERROR(VLOOKUP(D36,'Master List'!D:H,2,FALSE),"NA")</f>
        <v>510701</v>
      </c>
      <c r="F36" s="62" t="str">
        <f>IFERROR(VLOOKUP(D36,'Master List'!D:H,3,FALSE),"NA")</f>
        <v>510701</v>
      </c>
      <c r="G36" s="58" t="str">
        <f>IFERROR(VLOOKUP(D36,'Master List'!D:H,4,FALSE),"NA")</f>
        <v>510701</v>
      </c>
      <c r="H36" s="39" t="str">
        <f>IFERROR(VLOOKUP(D36,'Master List'!D:H,5,FALSE),"NA")</f>
        <v>Health/Health Care Administration/Management.</v>
      </c>
      <c r="I36" s="19"/>
      <c r="J36" s="20"/>
      <c r="K36" s="20"/>
      <c r="L36" s="21"/>
    </row>
    <row r="37" spans="1:12" x14ac:dyDescent="0.3">
      <c r="A37" s="33">
        <v>24</v>
      </c>
      <c r="B37" s="33" t="s">
        <v>2168</v>
      </c>
      <c r="C37" s="34" t="s">
        <v>647</v>
      </c>
      <c r="D37" s="51" t="s">
        <v>325</v>
      </c>
      <c r="E37" s="61" t="str">
        <f>IFERROR(VLOOKUP(D37,'Master List'!D:H,2,FALSE),"NA")</f>
        <v>510707</v>
      </c>
      <c r="F37" s="62" t="str">
        <f>IFERROR(VLOOKUP(D37,'Master List'!D:H,3,FALSE),"NA")</f>
        <v>510707</v>
      </c>
      <c r="G37" s="58" t="str">
        <f>IFERROR(VLOOKUP(D37,'Master List'!D:H,4,FALSE),"NA")</f>
        <v>510707</v>
      </c>
      <c r="H37" s="39" t="str">
        <f>IFERROR(VLOOKUP(D37,'Master List'!D:H,5,FALSE),"NA")</f>
        <v>Health Information/Medical Records Technology/Technician.</v>
      </c>
      <c r="I37" s="19"/>
      <c r="J37" s="20"/>
      <c r="K37" s="20"/>
      <c r="L37" s="21"/>
    </row>
    <row r="38" spans="1:12" x14ac:dyDescent="0.3">
      <c r="A38" s="33">
        <v>24</v>
      </c>
      <c r="B38" s="33" t="s">
        <v>2168</v>
      </c>
      <c r="C38" s="34" t="s">
        <v>647</v>
      </c>
      <c r="D38" s="51" t="s">
        <v>87</v>
      </c>
      <c r="E38" s="61" t="str">
        <f>IFERROR(VLOOKUP(D38,'Master List'!D:H,2,FALSE),"NA")</f>
        <v>510806</v>
      </c>
      <c r="F38" s="62" t="str">
        <f>IFERROR(VLOOKUP(D38,'Master List'!D:H,3,FALSE),"NA")</f>
        <v>510806</v>
      </c>
      <c r="G38" s="58" t="str">
        <f>IFERROR(VLOOKUP(D38,'Master List'!D:H,4,FALSE),"NA")</f>
        <v>510806</v>
      </c>
      <c r="H38" s="39" t="str">
        <f>IFERROR(VLOOKUP(D38,'Master List'!D:H,5,FALSE),"NA")</f>
        <v>Physical Therapy Assistant.</v>
      </c>
      <c r="I38" s="19"/>
      <c r="J38" s="20"/>
      <c r="K38" s="20"/>
      <c r="L38" s="21"/>
    </row>
    <row r="39" spans="1:12" x14ac:dyDescent="0.3">
      <c r="A39" s="33">
        <v>24</v>
      </c>
      <c r="B39" s="33" t="s">
        <v>2168</v>
      </c>
      <c r="C39" s="34" t="s">
        <v>647</v>
      </c>
      <c r="D39" s="51" t="s">
        <v>328</v>
      </c>
      <c r="E39" s="61" t="str">
        <f>IFERROR(VLOOKUP(D39,'Master List'!D:H,2,FALSE),"NA")</f>
        <v>510901</v>
      </c>
      <c r="F39" s="62" t="str">
        <f>IFERROR(VLOOKUP(D39,'Master List'!D:H,3,FALSE),"NA")</f>
        <v>510901</v>
      </c>
      <c r="G39" s="58" t="str">
        <f>IFERROR(VLOOKUP(D39,'Master List'!D:H,4,FALSE),"NA")</f>
        <v>510901</v>
      </c>
      <c r="H39" s="39" t="str">
        <f>IFERROR(VLOOKUP(D39,'Master List'!D:H,5,FALSE),"NA")</f>
        <v>Cardiovascular Technology/Technologist.</v>
      </c>
      <c r="I39" s="19"/>
      <c r="J39" s="20"/>
      <c r="K39" s="20"/>
      <c r="L39" s="21"/>
    </row>
    <row r="40" spans="1:12" x14ac:dyDescent="0.3">
      <c r="A40" s="33">
        <v>24</v>
      </c>
      <c r="B40" s="33" t="s">
        <v>2168</v>
      </c>
      <c r="C40" s="34" t="s">
        <v>647</v>
      </c>
      <c r="D40" s="51" t="s">
        <v>90</v>
      </c>
      <c r="E40" s="61" t="str">
        <f>IFERROR(VLOOKUP(D40,'Master List'!D:H,2,FALSE),"NA")</f>
        <v>510904</v>
      </c>
      <c r="F40" s="62" t="str">
        <f>IFERROR(VLOOKUP(D40,'Master List'!D:H,3,FALSE),"NA")</f>
        <v>510904</v>
      </c>
      <c r="G40" s="58" t="str">
        <f>IFERROR(VLOOKUP(D40,'Master List'!D:H,4,FALSE),"NA")</f>
        <v>510904</v>
      </c>
      <c r="H40" s="39" t="str">
        <f>IFERROR(VLOOKUP(D40,'Master List'!D:H,5,FALSE),"NA")</f>
        <v>Emergency Medical Technology/Technician (EMT Paramedic).</v>
      </c>
      <c r="I40" s="19"/>
      <c r="J40" s="20"/>
      <c r="K40" s="20"/>
      <c r="L40" s="21"/>
    </row>
    <row r="41" spans="1:12" x14ac:dyDescent="0.3">
      <c r="A41" s="33">
        <v>24</v>
      </c>
      <c r="B41" s="33" t="s">
        <v>2168</v>
      </c>
      <c r="C41" s="34" t="s">
        <v>647</v>
      </c>
      <c r="D41" s="51" t="s">
        <v>653</v>
      </c>
      <c r="E41" s="61" t="str">
        <f>IFERROR(VLOOKUP(D41,'Master List'!D:H,2,FALSE),"NA")</f>
        <v>510905</v>
      </c>
      <c r="F41" s="62" t="str">
        <f>IFERROR(VLOOKUP(D41,'Master List'!D:H,3,FALSE),"NA")</f>
        <v>510905</v>
      </c>
      <c r="G41" s="58" t="str">
        <f>IFERROR(VLOOKUP(D41,'Master List'!D:H,4,FALSE),"NA")</f>
        <v>510905</v>
      </c>
      <c r="H41" s="39" t="str">
        <f>IFERROR(VLOOKUP(D41,'Master List'!D:H,5,FALSE),"NA")</f>
        <v>Nuclear Medical Technology/Technologist.</v>
      </c>
      <c r="I41" s="19"/>
      <c r="J41" s="20"/>
      <c r="K41" s="20"/>
      <c r="L41" s="21"/>
    </row>
    <row r="42" spans="1:12" x14ac:dyDescent="0.3">
      <c r="A42" s="33">
        <v>24</v>
      </c>
      <c r="B42" s="33" t="s">
        <v>2168</v>
      </c>
      <c r="C42" s="34" t="s">
        <v>647</v>
      </c>
      <c r="D42" s="51" t="s">
        <v>91</v>
      </c>
      <c r="E42" s="61" t="str">
        <f>IFERROR(VLOOKUP(D42,'Master List'!D:H,2,FALSE),"NA")</f>
        <v>510907</v>
      </c>
      <c r="F42" s="62" t="str">
        <f>IFERROR(VLOOKUP(D42,'Master List'!D:H,3,FALSE),"NA")</f>
        <v>510907</v>
      </c>
      <c r="G42" s="58">
        <f>IFERROR(VLOOKUP(D42,'Master List'!D:H,4,FALSE),"NA")</f>
        <v>510911</v>
      </c>
      <c r="H42" s="39" t="str">
        <f>IFERROR(VLOOKUP(D42,'Master List'!D:H,5,FALSE),"NA")</f>
        <v>Radiologic Technology/Science - Radiographer</v>
      </c>
      <c r="I42" s="19"/>
      <c r="J42" s="20"/>
      <c r="K42" s="20"/>
      <c r="L42" s="21"/>
    </row>
    <row r="43" spans="1:12" x14ac:dyDescent="0.3">
      <c r="A43" s="33">
        <v>24</v>
      </c>
      <c r="B43" s="33" t="s">
        <v>2168</v>
      </c>
      <c r="C43" s="34" t="s">
        <v>647</v>
      </c>
      <c r="D43" s="51" t="s">
        <v>94</v>
      </c>
      <c r="E43" s="61" t="str">
        <f>IFERROR(VLOOKUP(D43,'Master List'!D:H,2,FALSE),"NA")</f>
        <v>510908</v>
      </c>
      <c r="F43" s="62" t="str">
        <f>IFERROR(VLOOKUP(D43,'Master List'!D:H,3,FALSE),"NA")</f>
        <v>510908</v>
      </c>
      <c r="G43" s="58" t="str">
        <f>IFERROR(VLOOKUP(D43,'Master List'!D:H,4,FALSE),"NA")</f>
        <v>510908</v>
      </c>
      <c r="H43" s="39" t="str">
        <f>IFERROR(VLOOKUP(D43,'Master List'!D:H,5,FALSE),"NA")</f>
        <v>Respiratory Care Therapy/Therapist.</v>
      </c>
      <c r="I43" s="19"/>
      <c r="J43" s="20"/>
      <c r="K43" s="20"/>
      <c r="L43" s="21"/>
    </row>
    <row r="44" spans="1:12" x14ac:dyDescent="0.3">
      <c r="A44" s="33">
        <v>24</v>
      </c>
      <c r="B44" s="33" t="s">
        <v>2168</v>
      </c>
      <c r="C44" s="34" t="s">
        <v>647</v>
      </c>
      <c r="D44" s="51" t="s">
        <v>98</v>
      </c>
      <c r="E44" s="61" t="str">
        <f>IFERROR(VLOOKUP(D44,'Master List'!D:H,2,FALSE),"NA")</f>
        <v>510910</v>
      </c>
      <c r="F44" s="62" t="str">
        <f>IFERROR(VLOOKUP(D44,'Master List'!D:H,3,FALSE),"NA")</f>
        <v>510910</v>
      </c>
      <c r="G44" s="58" t="str">
        <f>IFERROR(VLOOKUP(D44,'Master List'!D:H,4,FALSE),"NA")</f>
        <v>510910</v>
      </c>
      <c r="H44" s="39" t="str">
        <f>IFERROR(VLOOKUP(D44,'Master List'!D:H,5,FALSE),"NA")</f>
        <v>Diagnostic Medical Sonography/Sonographer and Ultrasound Technician.</v>
      </c>
      <c r="I44" s="19"/>
      <c r="J44" s="20"/>
      <c r="K44" s="20"/>
      <c r="L44" s="21"/>
    </row>
    <row r="45" spans="1:12" x14ac:dyDescent="0.3">
      <c r="A45" s="33">
        <v>24</v>
      </c>
      <c r="B45" s="33" t="s">
        <v>2168</v>
      </c>
      <c r="C45" s="34" t="s">
        <v>647</v>
      </c>
      <c r="D45" s="51" t="s">
        <v>101</v>
      </c>
      <c r="E45" s="61" t="str">
        <f>IFERROR(VLOOKUP(D45,'Master List'!D:H,2,FALSE),"NA")</f>
        <v>513801</v>
      </c>
      <c r="F45" s="62" t="str">
        <f>IFERROR(VLOOKUP(D45,'Master List'!D:H,3,FALSE),"NA")</f>
        <v>513801</v>
      </c>
      <c r="G45" s="58" t="str">
        <f>IFERROR(VLOOKUP(D45,'Master List'!D:H,4,FALSE),"NA")</f>
        <v>513801</v>
      </c>
      <c r="H45" s="39" t="str">
        <f>IFERROR(VLOOKUP(D45,'Master List'!D:H,5,FALSE),"NA")</f>
        <v>Registered Nursing/Registered Nurse.</v>
      </c>
      <c r="I45" s="19"/>
      <c r="J45" s="20"/>
      <c r="K45" s="20"/>
      <c r="L45" s="21"/>
    </row>
    <row r="46" spans="1:12" x14ac:dyDescent="0.3">
      <c r="A46" s="33">
        <v>24</v>
      </c>
      <c r="B46" s="33" t="s">
        <v>2168</v>
      </c>
      <c r="C46" s="34" t="s">
        <v>647</v>
      </c>
      <c r="D46" s="51" t="s">
        <v>400</v>
      </c>
      <c r="E46" s="61" t="str">
        <f>IFERROR(VLOOKUP(D46,'Master List'!D:H,2,FALSE),"NA")</f>
        <v>131210</v>
      </c>
      <c r="F46" s="62" t="str">
        <f>IFERROR(VLOOKUP(D46,'Master List'!D:H,3,FALSE),"NA")</f>
        <v>131210</v>
      </c>
      <c r="G46" s="58" t="str">
        <f>IFERROR(VLOOKUP(D46,'Master List'!D:H,4,FALSE),"NA")</f>
        <v>131210</v>
      </c>
      <c r="H46" s="39" t="str">
        <f>IFERROR(VLOOKUP(D46,'Master List'!D:H,5,FALSE),"NA")</f>
        <v>Early Childhood Education and Teaching.</v>
      </c>
      <c r="I46" s="19"/>
      <c r="J46" s="20"/>
      <c r="K46" s="20"/>
      <c r="L46" s="21"/>
    </row>
    <row r="47" spans="1:12" x14ac:dyDescent="0.3">
      <c r="A47" s="33">
        <v>24</v>
      </c>
      <c r="B47" s="33" t="s">
        <v>2168</v>
      </c>
      <c r="C47" s="34" t="s">
        <v>647</v>
      </c>
      <c r="D47" s="51" t="s">
        <v>167</v>
      </c>
      <c r="E47" s="61" t="str">
        <f>IFERROR(VLOOKUP(D47,'Master List'!D:H,2,FALSE),"NA")</f>
        <v>110103</v>
      </c>
      <c r="F47" s="62" t="str">
        <f>IFERROR(VLOOKUP(D47,'Master List'!D:H,3,FALSE),"NA")</f>
        <v>110103</v>
      </c>
      <c r="G47" s="58" t="str">
        <f>IFERROR(VLOOKUP(D47,'Master List'!D:H,4,FALSE),"NA")</f>
        <v>110103</v>
      </c>
      <c r="H47" s="39" t="str">
        <f>IFERROR(VLOOKUP(D47,'Master List'!D:H,5,FALSE),"NA")</f>
        <v>Information Technology.</v>
      </c>
      <c r="I47" s="19"/>
      <c r="J47" s="20"/>
      <c r="K47" s="20"/>
      <c r="L47" s="21"/>
    </row>
    <row r="48" spans="1:12" x14ac:dyDescent="0.3">
      <c r="A48" s="33">
        <v>24</v>
      </c>
      <c r="B48" s="33" t="s">
        <v>2168</v>
      </c>
      <c r="C48" s="34" t="s">
        <v>647</v>
      </c>
      <c r="D48" s="51" t="s">
        <v>170</v>
      </c>
      <c r="E48" s="61" t="str">
        <f>IFERROR(VLOOKUP(D48,'Master List'!D:H,2,FALSE),"NA")</f>
        <v>110201</v>
      </c>
      <c r="F48" s="62" t="str">
        <f>IFERROR(VLOOKUP(D48,'Master List'!D:H,3,FALSE),"NA")</f>
        <v>110201</v>
      </c>
      <c r="G48" s="58" t="str">
        <f>IFERROR(VLOOKUP(D48,'Master List'!D:H,4,FALSE),"NA")</f>
        <v>110201</v>
      </c>
      <c r="H48" s="39" t="str">
        <f>IFERROR(VLOOKUP(D48,'Master List'!D:H,5,FALSE),"NA")</f>
        <v>Computer Programming/Programmer, General.</v>
      </c>
      <c r="I48" s="19"/>
      <c r="J48" s="20"/>
      <c r="K48" s="20"/>
      <c r="L48" s="21"/>
    </row>
    <row r="49" spans="1:12" x14ac:dyDescent="0.3">
      <c r="A49" s="33">
        <v>24</v>
      </c>
      <c r="B49" s="33" t="s">
        <v>2168</v>
      </c>
      <c r="C49" s="34" t="s">
        <v>647</v>
      </c>
      <c r="D49" s="51" t="s">
        <v>106</v>
      </c>
      <c r="E49" s="61" t="str">
        <f>IFERROR(VLOOKUP(D49,'Master List'!D:H,2,FALSE),"NA")</f>
        <v>111001</v>
      </c>
      <c r="F49" s="62" t="str">
        <f>IFERROR(VLOOKUP(D49,'Master List'!D:H,3,FALSE),"NA")</f>
        <v>111001</v>
      </c>
      <c r="G49" s="58" t="str">
        <f>IFERROR(VLOOKUP(D49,'Master List'!D:H,4,FALSE),"NA")</f>
        <v>111001</v>
      </c>
      <c r="H49" s="39" t="str">
        <f>IFERROR(VLOOKUP(D49,'Master List'!D:H,5,FALSE),"NA")</f>
        <v>Network and System Administration/Administrator.</v>
      </c>
      <c r="I49" s="19"/>
      <c r="J49" s="20"/>
      <c r="K49" s="20"/>
      <c r="L49" s="21"/>
    </row>
    <row r="50" spans="1:12" x14ac:dyDescent="0.3">
      <c r="A50" s="33">
        <v>24</v>
      </c>
      <c r="B50" s="33" t="s">
        <v>2168</v>
      </c>
      <c r="C50" s="34" t="s">
        <v>647</v>
      </c>
      <c r="D50" s="51" t="s">
        <v>656</v>
      </c>
      <c r="E50" s="61" t="str">
        <f>IFERROR(VLOOKUP(D50,'Master List'!D:H,2,FALSE),"NA")</f>
        <v>111003</v>
      </c>
      <c r="F50" s="62" t="str">
        <f>IFERROR(VLOOKUP(D50,'Master List'!D:H,3,FALSE),"NA")</f>
        <v>111003</v>
      </c>
      <c r="G50" s="58" t="str">
        <f>IFERROR(VLOOKUP(D50,'Master List'!D:H,4,FALSE),"NA")</f>
        <v>111003</v>
      </c>
      <c r="H50" s="39" t="str">
        <f>IFERROR(VLOOKUP(D50,'Master List'!D:H,5,FALSE),"NA")</f>
        <v>Computer and Information Systems Security/Auditing/Information Assurance.</v>
      </c>
      <c r="I50" s="19"/>
      <c r="J50" s="20"/>
      <c r="K50" s="20"/>
      <c r="L50" s="21"/>
    </row>
    <row r="51" spans="1:12" x14ac:dyDescent="0.3">
      <c r="A51" s="33">
        <v>24</v>
      </c>
      <c r="B51" s="33" t="s">
        <v>2168</v>
      </c>
      <c r="C51" s="34" t="s">
        <v>647</v>
      </c>
      <c r="D51" s="51" t="s">
        <v>107</v>
      </c>
      <c r="E51" s="61" t="str">
        <f>IFERROR(VLOOKUP(D51,'Master List'!D:H,2,FALSE),"NA")</f>
        <v>520201</v>
      </c>
      <c r="F51" s="62" t="str">
        <f>IFERROR(VLOOKUP(D51,'Master List'!D:H,3,FALSE),"NA")</f>
        <v>520201</v>
      </c>
      <c r="G51" s="58" t="str">
        <f>IFERROR(VLOOKUP(D51,'Master List'!D:H,4,FALSE),"NA")</f>
        <v>520201</v>
      </c>
      <c r="H51" s="39" t="str">
        <f>IFERROR(VLOOKUP(D51,'Master List'!D:H,5,FALSE),"NA")</f>
        <v>Business Administration and Management, General.</v>
      </c>
      <c r="I51" s="19"/>
      <c r="J51" s="20"/>
      <c r="K51" s="20"/>
      <c r="L51" s="21"/>
    </row>
    <row r="52" spans="1:12" x14ac:dyDescent="0.3">
      <c r="A52" s="33">
        <v>24</v>
      </c>
      <c r="B52" s="33" t="s">
        <v>2168</v>
      </c>
      <c r="C52" s="34" t="s">
        <v>647</v>
      </c>
      <c r="D52" s="51" t="s">
        <v>351</v>
      </c>
      <c r="E52" s="61" t="str">
        <f>IFERROR(VLOOKUP(D52,'Master List'!D:H,2,FALSE),"NA")</f>
        <v>520204</v>
      </c>
      <c r="F52" s="62" t="str">
        <f>IFERROR(VLOOKUP(D52,'Master List'!D:H,3,FALSE),"NA")</f>
        <v>520204</v>
      </c>
      <c r="G52" s="58" t="str">
        <f>IFERROR(VLOOKUP(D52,'Master List'!D:H,4,FALSE),"NA")</f>
        <v>520204</v>
      </c>
      <c r="H52" s="39" t="str">
        <f>IFERROR(VLOOKUP(D52,'Master List'!D:H,5,FALSE),"NA")</f>
        <v>Office Management and Supervision.</v>
      </c>
      <c r="I52" s="19"/>
      <c r="J52" s="20"/>
      <c r="K52" s="20"/>
      <c r="L52" s="21"/>
    </row>
    <row r="53" spans="1:12" x14ac:dyDescent="0.3">
      <c r="A53" s="33">
        <v>24</v>
      </c>
      <c r="B53" s="33" t="s">
        <v>2168</v>
      </c>
      <c r="C53" s="34" t="s">
        <v>647</v>
      </c>
      <c r="D53" s="51" t="s">
        <v>110</v>
      </c>
      <c r="E53" s="61" t="str">
        <f>IFERROR(VLOOKUP(D53,'Master List'!D:H,2,FALSE),"NA")</f>
        <v>520302</v>
      </c>
      <c r="F53" s="62" t="str">
        <f>IFERROR(VLOOKUP(D53,'Master List'!D:H,3,FALSE),"NA")</f>
        <v>520302</v>
      </c>
      <c r="G53" s="58" t="str">
        <f>IFERROR(VLOOKUP(D53,'Master List'!D:H,4,FALSE),"NA")</f>
        <v>520302</v>
      </c>
      <c r="H53" s="39" t="str">
        <f>IFERROR(VLOOKUP(D53,'Master List'!D:H,5,FALSE),"NA")</f>
        <v>Accounting Technology/Technician and Bookkeeping.</v>
      </c>
      <c r="I53" s="19"/>
      <c r="J53" s="20"/>
      <c r="K53" s="20"/>
      <c r="L53" s="21"/>
    </row>
    <row r="54" spans="1:12" x14ac:dyDescent="0.3">
      <c r="A54" s="33">
        <v>24</v>
      </c>
      <c r="B54" s="33" t="s">
        <v>2168</v>
      </c>
      <c r="C54" s="34" t="s">
        <v>647</v>
      </c>
      <c r="D54" s="51" t="s">
        <v>114</v>
      </c>
      <c r="E54" s="61" t="str">
        <f>IFERROR(VLOOKUP(D54,'Master List'!D:H,2,FALSE),"NA")</f>
        <v>110801</v>
      </c>
      <c r="F54" s="62" t="str">
        <f>IFERROR(VLOOKUP(D54,'Master List'!D:H,3,FALSE),"NA")</f>
        <v>110801</v>
      </c>
      <c r="G54" s="58" t="str">
        <f>IFERROR(VLOOKUP(D54,'Master List'!D:H,4,FALSE),"NA")</f>
        <v>110801</v>
      </c>
      <c r="H54" s="39" t="str">
        <f>IFERROR(VLOOKUP(D54,'Master List'!D:H,5,FALSE),"NA")</f>
        <v>Web Page, Digital/Multimedia and Information Resources Design.</v>
      </c>
      <c r="I54" s="19"/>
      <c r="J54" s="20"/>
      <c r="K54" s="20"/>
      <c r="L54" s="21"/>
    </row>
    <row r="55" spans="1:12" x14ac:dyDescent="0.3">
      <c r="A55" s="33">
        <v>24</v>
      </c>
      <c r="B55" s="33" t="s">
        <v>2168</v>
      </c>
      <c r="C55" s="34" t="s">
        <v>647</v>
      </c>
      <c r="D55" s="51" t="s">
        <v>583</v>
      </c>
      <c r="E55" s="61" t="str">
        <f>IFERROR(VLOOKUP(D55,'Master List'!D:H,2,FALSE),"NA")</f>
        <v>110803</v>
      </c>
      <c r="F55" s="62" t="str">
        <f>IFERROR(VLOOKUP(D55,'Master List'!D:H,3,FALSE),"NA")</f>
        <v>110803</v>
      </c>
      <c r="G55" s="58" t="str">
        <f>IFERROR(VLOOKUP(D55,'Master List'!D:H,4,FALSE),"NA")</f>
        <v>110803</v>
      </c>
      <c r="H55" s="39" t="str">
        <f>IFERROR(VLOOKUP(D55,'Master List'!D:H,5,FALSE),"NA")</f>
        <v>Computer Graphics.</v>
      </c>
      <c r="I55" s="19"/>
      <c r="J55" s="20"/>
      <c r="K55" s="20"/>
      <c r="L55" s="21"/>
    </row>
    <row r="56" spans="1:12" x14ac:dyDescent="0.3">
      <c r="A56" s="33">
        <v>24</v>
      </c>
      <c r="B56" s="33" t="s">
        <v>2168</v>
      </c>
      <c r="C56" s="34" t="s">
        <v>647</v>
      </c>
      <c r="D56" s="51" t="s">
        <v>615</v>
      </c>
      <c r="E56" s="61" t="str">
        <f>IFERROR(VLOOKUP(D56,'Master List'!D:H,2,FALSE),"NA")</f>
        <v>150401</v>
      </c>
      <c r="F56" s="62" t="str">
        <f>IFERROR(VLOOKUP(D56,'Master List'!D:H,3,FALSE),"NA")</f>
        <v>150401</v>
      </c>
      <c r="G56" s="58" t="str">
        <f>IFERROR(VLOOKUP(D56,'Master List'!D:H,4,FALSE),"NA")</f>
        <v>150401</v>
      </c>
      <c r="H56" s="39" t="str">
        <f>IFERROR(VLOOKUP(D56,'Master List'!D:H,5,FALSE),"NA")</f>
        <v>Biomedical Technology/Technician.</v>
      </c>
      <c r="I56" s="19"/>
      <c r="J56" s="20"/>
      <c r="K56" s="20"/>
      <c r="L56" s="21"/>
    </row>
    <row r="57" spans="1:12" x14ac:dyDescent="0.3">
      <c r="A57" s="33">
        <v>24</v>
      </c>
      <c r="B57" s="33" t="s">
        <v>2168</v>
      </c>
      <c r="C57" s="34" t="s">
        <v>647</v>
      </c>
      <c r="D57" s="51" t="s">
        <v>406</v>
      </c>
      <c r="E57" s="61" t="str">
        <f>IFERROR(VLOOKUP(D57,'Master List'!D:H,2,FALSE),"NA")</f>
        <v>410301</v>
      </c>
      <c r="F57" s="62" t="str">
        <f>IFERROR(VLOOKUP(D57,'Master List'!D:H,3,FALSE),"NA")</f>
        <v>410301</v>
      </c>
      <c r="G57" s="58" t="str">
        <f>IFERROR(VLOOKUP(D57,'Master List'!D:H,4,FALSE),"NA")</f>
        <v>410301</v>
      </c>
      <c r="H57" s="39" t="str">
        <f>IFERROR(VLOOKUP(D57,'Master List'!D:H,5,FALSE),"NA")</f>
        <v>Chemical Technology/Technician.</v>
      </c>
      <c r="I57" s="19"/>
      <c r="J57" s="20"/>
      <c r="K57" s="20"/>
      <c r="L57" s="21"/>
    </row>
    <row r="58" spans="1:12" x14ac:dyDescent="0.3">
      <c r="A58" s="33">
        <v>24</v>
      </c>
      <c r="B58" s="33" t="s">
        <v>2168</v>
      </c>
      <c r="C58" s="34" t="s">
        <v>647</v>
      </c>
      <c r="D58" s="51" t="s">
        <v>644</v>
      </c>
      <c r="E58" s="61" t="str">
        <f>IFERROR(VLOOKUP(D58,'Master List'!D:H,2,FALSE),"NA")</f>
        <v>460412</v>
      </c>
      <c r="F58" s="62" t="str">
        <f>IFERROR(VLOOKUP(D58,'Master List'!D:H,3,FALSE),"NA")</f>
        <v>460412</v>
      </c>
      <c r="G58" s="58" t="str">
        <f>IFERROR(VLOOKUP(D58,'Master List'!D:H,4,FALSE),"NA")</f>
        <v>460412</v>
      </c>
      <c r="H58" s="39" t="str">
        <f>IFERROR(VLOOKUP(D58,'Master List'!D:H,5,FALSE),"NA")</f>
        <v>Building/Construction Site Management/Manager.</v>
      </c>
      <c r="I58" s="19"/>
      <c r="J58" s="20"/>
      <c r="K58" s="20"/>
      <c r="L58" s="21"/>
    </row>
    <row r="59" spans="1:12" x14ac:dyDescent="0.3">
      <c r="A59" s="33">
        <v>24</v>
      </c>
      <c r="B59" s="33" t="s">
        <v>2168</v>
      </c>
      <c r="C59" s="34" t="s">
        <v>647</v>
      </c>
      <c r="D59" s="51" t="s">
        <v>121</v>
      </c>
      <c r="E59" s="61" t="str">
        <f>IFERROR(VLOOKUP(D59,'Master List'!D:H,2,FALSE),"NA")</f>
        <v>500502</v>
      </c>
      <c r="F59" s="62" t="str">
        <f>IFERROR(VLOOKUP(D59,'Master List'!D:H,3,FALSE),"NA")</f>
        <v>500502</v>
      </c>
      <c r="G59" s="58" t="str">
        <f>IFERROR(VLOOKUP(D59,'Master List'!D:H,4,FALSE),"NA")</f>
        <v>500502</v>
      </c>
      <c r="H59" s="39" t="str">
        <f>IFERROR(VLOOKUP(D59,'Master List'!D:H,5,FALSE),"NA")</f>
        <v>Technical Theatre/Theatre Design and Technology.</v>
      </c>
      <c r="I59" s="19"/>
      <c r="J59" s="20"/>
      <c r="K59" s="20"/>
      <c r="L59" s="21"/>
    </row>
    <row r="60" spans="1:12" x14ac:dyDescent="0.3">
      <c r="A60" s="33">
        <v>24</v>
      </c>
      <c r="B60" s="33" t="s">
        <v>2168</v>
      </c>
      <c r="C60" s="34" t="s">
        <v>647</v>
      </c>
      <c r="D60" s="51" t="s">
        <v>125</v>
      </c>
      <c r="E60" s="61" t="str">
        <f>IFERROR(VLOOKUP(D60,'Master List'!D:H,2,FALSE),"NA")</f>
        <v>220302</v>
      </c>
      <c r="F60" s="62" t="str">
        <f>IFERROR(VLOOKUP(D60,'Master List'!D:H,3,FALSE),"NA")</f>
        <v>220302</v>
      </c>
      <c r="G60" s="58" t="str">
        <f>IFERROR(VLOOKUP(D60,'Master List'!D:H,4,FALSE),"NA")</f>
        <v>220302</v>
      </c>
      <c r="H60" s="39" t="str">
        <f>IFERROR(VLOOKUP(D60,'Master List'!D:H,5,FALSE),"NA")</f>
        <v>Legal Assistant/Paralegal.</v>
      </c>
      <c r="I60" s="19"/>
      <c r="J60" s="20"/>
      <c r="K60" s="20"/>
      <c r="L60" s="21"/>
    </row>
    <row r="61" spans="1:12" x14ac:dyDescent="0.3">
      <c r="A61" s="33">
        <v>24</v>
      </c>
      <c r="B61" s="33" t="s">
        <v>2168</v>
      </c>
      <c r="C61" s="34" t="s">
        <v>647</v>
      </c>
      <c r="D61" s="51" t="s">
        <v>128</v>
      </c>
      <c r="E61" s="61" t="str">
        <f>IFERROR(VLOOKUP(D61,'Master List'!D:H,2,FALSE),"NA")</f>
        <v>430103</v>
      </c>
      <c r="F61" s="62" t="str">
        <f>IFERROR(VLOOKUP(D61,'Master List'!D:H,3,FALSE),"NA")</f>
        <v>430103</v>
      </c>
      <c r="G61" s="58" t="str">
        <f>IFERROR(VLOOKUP(D61,'Master List'!D:H,4,FALSE),"NA")</f>
        <v>430103</v>
      </c>
      <c r="H61" s="39" t="str">
        <f>IFERROR(VLOOKUP(D61,'Master List'!D:H,5,FALSE),"NA")</f>
        <v>Criminal Justice/Law Enforcement Administration.</v>
      </c>
      <c r="I61" s="19"/>
      <c r="J61" s="20"/>
      <c r="K61" s="20"/>
      <c r="L61" s="21"/>
    </row>
  </sheetData>
  <sheetProtection algorithmName="SHA-512" hashValue="QsapqlfoJl33i177qlwUzudWY3AATIgj8rQLXU4M8MDlL0rebMyDQfdvaPOiTLUBtr0EPXDLoLJ7aWxURYPVRg==" saltValue="mhtulDAdhQgnWedTrwEDEA==" spinCount="100000" sheet="1" objects="1" scenarios="1" sort="0" autoFilter="0"/>
  <autoFilter ref="A2:L61"/>
  <mergeCells count="3">
    <mergeCell ref="A1:D1"/>
    <mergeCell ref="E1:H1"/>
    <mergeCell ref="I1:L1"/>
  </mergeCells>
  <dataValidations count="1">
    <dataValidation type="list" allowBlank="1" showInputMessage="1" showErrorMessage="1" sqref="I3:I61">
      <formula1>"Agree,Disagree"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1"/>
  <sheetViews>
    <sheetView tabSelected="1" workbookViewId="0">
      <selection activeCell="A4" sqref="A4"/>
    </sheetView>
  </sheetViews>
  <sheetFormatPr defaultRowHeight="14.4" x14ac:dyDescent="0.3"/>
  <cols>
    <col min="1" max="1" width="151.6640625" style="78" customWidth="1"/>
    <col min="2" max="16384" width="8.88671875" style="27"/>
  </cols>
  <sheetData>
    <row r="1" spans="1:1" x14ac:dyDescent="0.3">
      <c r="A1" s="66" t="s">
        <v>6149</v>
      </c>
    </row>
    <row r="3" spans="1:1" x14ac:dyDescent="0.3">
      <c r="A3" s="92" t="s">
        <v>6150</v>
      </c>
    </row>
    <row r="4" spans="1:1" x14ac:dyDescent="0.3">
      <c r="A4" s="93"/>
    </row>
    <row r="5" spans="1:1" ht="28.8" x14ac:dyDescent="0.3">
      <c r="A5" s="92" t="s">
        <v>6151</v>
      </c>
    </row>
    <row r="6" spans="1:1" x14ac:dyDescent="0.3">
      <c r="A6" s="94" t="s">
        <v>6181</v>
      </c>
    </row>
    <row r="7" spans="1:1" ht="31.8" customHeight="1" x14ac:dyDescent="0.3">
      <c r="A7" s="68" t="s">
        <v>6182</v>
      </c>
    </row>
    <row r="9" spans="1:1" x14ac:dyDescent="0.3">
      <c r="A9" s="67" t="s">
        <v>6152</v>
      </c>
    </row>
    <row r="10" spans="1:1" x14ac:dyDescent="0.3">
      <c r="A10" s="67" t="s">
        <v>6153</v>
      </c>
    </row>
    <row r="11" spans="1:1" ht="28.8" x14ac:dyDescent="0.3">
      <c r="A11" s="68" t="s">
        <v>6154</v>
      </c>
    </row>
    <row r="12" spans="1:1" ht="172.8" x14ac:dyDescent="0.3">
      <c r="A12" s="69" t="s">
        <v>6174</v>
      </c>
    </row>
    <row r="13" spans="1:1" ht="72" x14ac:dyDescent="0.3">
      <c r="A13" s="70" t="s">
        <v>6183</v>
      </c>
    </row>
    <row r="15" spans="1:1" x14ac:dyDescent="0.3">
      <c r="A15" s="67" t="s">
        <v>6155</v>
      </c>
    </row>
    <row r="17" spans="1:1" x14ac:dyDescent="0.3">
      <c r="A17" s="67" t="s">
        <v>6156</v>
      </c>
    </row>
    <row r="22" spans="1:1" x14ac:dyDescent="0.3">
      <c r="A22" s="71" t="s">
        <v>6157</v>
      </c>
    </row>
    <row r="24" spans="1:1" x14ac:dyDescent="0.3">
      <c r="A24" s="71" t="s">
        <v>6158</v>
      </c>
    </row>
    <row r="25" spans="1:1" ht="28.8" x14ac:dyDescent="0.3">
      <c r="A25" s="73" t="s">
        <v>6159</v>
      </c>
    </row>
    <row r="26" spans="1:1" x14ac:dyDescent="0.3">
      <c r="A26" s="83" t="s">
        <v>6160</v>
      </c>
    </row>
    <row r="27" spans="1:1" x14ac:dyDescent="0.3">
      <c r="A27" s="83" t="s">
        <v>6161</v>
      </c>
    </row>
    <row r="33" spans="1:1" x14ac:dyDescent="0.3">
      <c r="A33" s="72" t="s">
        <v>6162</v>
      </c>
    </row>
    <row r="34" spans="1:1" x14ac:dyDescent="0.3">
      <c r="A34" s="73" t="s">
        <v>6163</v>
      </c>
    </row>
    <row r="35" spans="1:1" x14ac:dyDescent="0.3">
      <c r="A35" s="74" t="s">
        <v>6164</v>
      </c>
    </row>
    <row r="36" spans="1:1" x14ac:dyDescent="0.3">
      <c r="A36" s="73" t="s">
        <v>6165</v>
      </c>
    </row>
    <row r="37" spans="1:1" ht="43.2" x14ac:dyDescent="0.3">
      <c r="A37" s="73" t="s">
        <v>6166</v>
      </c>
    </row>
    <row r="38" spans="1:1" x14ac:dyDescent="0.3">
      <c r="A38" s="73" t="s">
        <v>6167</v>
      </c>
    </row>
    <row r="39" spans="1:1" ht="28.8" x14ac:dyDescent="0.3">
      <c r="A39" s="73" t="s">
        <v>6177</v>
      </c>
    </row>
    <row r="40" spans="1:1" x14ac:dyDescent="0.3">
      <c r="A40" s="64" t="s">
        <v>6168</v>
      </c>
    </row>
    <row r="52" spans="1:1" x14ac:dyDescent="0.3">
      <c r="A52" s="75" t="s">
        <v>6176</v>
      </c>
    </row>
    <row r="53" spans="1:1" x14ac:dyDescent="0.3">
      <c r="A53" s="76" t="s">
        <v>6180</v>
      </c>
    </row>
    <row r="63" spans="1:1" ht="28.8" x14ac:dyDescent="0.3">
      <c r="A63" s="73" t="s">
        <v>6169</v>
      </c>
    </row>
    <row r="64" spans="1:1" ht="28.8" x14ac:dyDescent="0.3">
      <c r="A64" s="73" t="s">
        <v>6170</v>
      </c>
    </row>
    <row r="65" spans="1:1" x14ac:dyDescent="0.3">
      <c r="A65" s="73" t="s">
        <v>6171</v>
      </c>
    </row>
    <row r="66" spans="1:1" x14ac:dyDescent="0.3">
      <c r="A66" s="73" t="s">
        <v>6178</v>
      </c>
    </row>
    <row r="67" spans="1:1" x14ac:dyDescent="0.3">
      <c r="A67" s="73" t="s">
        <v>6179</v>
      </c>
    </row>
    <row r="68" spans="1:1" ht="28.8" x14ac:dyDescent="0.3">
      <c r="A68" s="74" t="s">
        <v>6172</v>
      </c>
    </row>
    <row r="69" spans="1:1" x14ac:dyDescent="0.3">
      <c r="A69" s="74" t="s">
        <v>6173</v>
      </c>
    </row>
    <row r="70" spans="1:1" x14ac:dyDescent="0.3">
      <c r="A70" s="77"/>
    </row>
    <row r="71" spans="1:1" x14ac:dyDescent="0.3">
      <c r="A71" s="27" t="s">
        <v>6175</v>
      </c>
    </row>
  </sheetData>
  <sheetProtection algorithmName="SHA-512" hashValue="lkBa9iywL33AlaPmppJz01A+WFXT1WxHC0T9rw0o/g/sbdk6V0jXhGXDsN+zPjWtzxonHqvhj70rGkIRGMDhJw==" saltValue="vN+2HeJDZfDavNDT7PWuTA==" spinCount="100000" sheet="1" objects="1" scenarios="1"/>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5.6640625" style="17" customWidth="1"/>
    <col min="5" max="5" width="14.88671875" style="54" customWidth="1"/>
    <col min="6" max="6" width="12.5546875" style="54" customWidth="1"/>
    <col min="7" max="7" width="13.5546875" style="54" customWidth="1"/>
    <col min="8" max="8" width="76.6640625" style="25" bestFit="1" customWidth="1"/>
    <col min="9" max="10" width="27" style="17" customWidth="1"/>
    <col min="11" max="11" width="34.88671875" style="17" customWidth="1"/>
    <col min="12" max="12" width="35.6640625" style="17" customWidth="1"/>
    <col min="13" max="16384" width="8.88671875" style="17"/>
  </cols>
  <sheetData>
    <row r="1" spans="1:12" s="27" customFormat="1" ht="84"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2169</v>
      </c>
      <c r="I2" s="15" t="s">
        <v>2151</v>
      </c>
      <c r="J2" s="15" t="s">
        <v>2152</v>
      </c>
      <c r="K2" s="15" t="s">
        <v>5</v>
      </c>
      <c r="L2" s="15" t="s">
        <v>2153</v>
      </c>
    </row>
    <row r="3" spans="1:12" x14ac:dyDescent="0.3">
      <c r="A3" s="33">
        <v>25</v>
      </c>
      <c r="B3" s="33" t="s">
        <v>2170</v>
      </c>
      <c r="C3" s="34" t="s">
        <v>618</v>
      </c>
      <c r="D3" s="51" t="s">
        <v>619</v>
      </c>
      <c r="E3" s="61" t="str">
        <f>IFERROR(VLOOKUP(D3,'Master List'!D:H,2,FALSE),"NA")</f>
        <v>510702</v>
      </c>
      <c r="F3" s="62" t="str">
        <f>IFERROR(VLOOKUP(D3,'Master List'!D:H,3,FALSE),"NA")</f>
        <v>510702</v>
      </c>
      <c r="G3" s="58" t="str">
        <f>IFERROR(VLOOKUP(D3,'Master List'!D:H,4,FALSE),"NA")</f>
        <v>510702</v>
      </c>
      <c r="H3" s="39" t="str">
        <f>IFERROR(VLOOKUP(D3,'Master List'!D:H,5,FALSE),"NA")</f>
        <v>Hospital and Health Care Facilities Administration/Management.</v>
      </c>
      <c r="I3" s="19"/>
      <c r="J3" s="20"/>
      <c r="K3" s="18"/>
      <c r="L3" s="22"/>
    </row>
    <row r="4" spans="1:12" x14ac:dyDescent="0.3">
      <c r="A4" s="33">
        <v>25</v>
      </c>
      <c r="B4" s="33" t="s">
        <v>2170</v>
      </c>
      <c r="C4" s="34" t="s">
        <v>618</v>
      </c>
      <c r="D4" s="51" t="s">
        <v>198</v>
      </c>
      <c r="E4" s="61" t="str">
        <f>IFERROR(VLOOKUP(D4,'Master List'!D:H,2,FALSE),"NA")</f>
        <v>510707</v>
      </c>
      <c r="F4" s="62" t="str">
        <f>IFERROR(VLOOKUP(D4,'Master List'!D:H,3,FALSE),"NA")</f>
        <v>510707</v>
      </c>
      <c r="G4" s="58">
        <f>IFERROR(VLOOKUP(D4,'Master List'!D:H,4,FALSE),"NA")</f>
        <v>510714</v>
      </c>
      <c r="H4" s="39" t="str">
        <f>IFERROR(VLOOKUP(D4,'Master List'!D:H,5,FALSE),"NA")</f>
        <v>Medical Insurance Specialist/Medical Biller</v>
      </c>
      <c r="I4" s="19"/>
      <c r="J4" s="20"/>
      <c r="K4" s="18"/>
      <c r="L4" s="22"/>
    </row>
    <row r="5" spans="1:12" x14ac:dyDescent="0.3">
      <c r="A5" s="33">
        <v>25</v>
      </c>
      <c r="B5" s="33" t="s">
        <v>2170</v>
      </c>
      <c r="C5" s="34" t="s">
        <v>618</v>
      </c>
      <c r="D5" s="51" t="s">
        <v>11</v>
      </c>
      <c r="E5" s="61" t="str">
        <f>IFERROR(VLOOKUP(D5,'Master List'!D:H,2,FALSE),"NA")</f>
        <v>510805</v>
      </c>
      <c r="F5" s="62" t="str">
        <f>IFERROR(VLOOKUP(D5,'Master List'!D:H,3,FALSE),"NA")</f>
        <v>510805</v>
      </c>
      <c r="G5" s="58" t="str">
        <f>IFERROR(VLOOKUP(D5,'Master List'!D:H,4,FALSE),"NA")</f>
        <v>510805</v>
      </c>
      <c r="H5" s="39" t="str">
        <f>IFERROR(VLOOKUP(D5,'Master List'!D:H,5,FALSE),"NA")</f>
        <v>Pharmacy Technician/Assistant.</v>
      </c>
      <c r="I5" s="19"/>
      <c r="J5" s="20"/>
      <c r="K5" s="18"/>
      <c r="L5" s="22"/>
    </row>
    <row r="6" spans="1:12" x14ac:dyDescent="0.3">
      <c r="A6" s="33">
        <v>25</v>
      </c>
      <c r="B6" s="33" t="s">
        <v>2170</v>
      </c>
      <c r="C6" s="34" t="s">
        <v>618</v>
      </c>
      <c r="D6" s="51" t="s">
        <v>14</v>
      </c>
      <c r="E6" s="61" t="str">
        <f>IFERROR(VLOOKUP(D6,'Master List'!D:H,2,FALSE),"NA")</f>
        <v>510904</v>
      </c>
      <c r="F6" s="62" t="str">
        <f>IFERROR(VLOOKUP(D6,'Master List'!D:H,3,FALSE),"NA")</f>
        <v>510904</v>
      </c>
      <c r="G6" s="58" t="str">
        <f>IFERROR(VLOOKUP(D6,'Master List'!D:H,4,FALSE),"NA")</f>
        <v>510904</v>
      </c>
      <c r="H6" s="39" t="str">
        <f>IFERROR(VLOOKUP(D6,'Master List'!D:H,5,FALSE),"NA")</f>
        <v>Emergency Medical Technology/Technician (EMT Paramedic).</v>
      </c>
      <c r="I6" s="19"/>
      <c r="J6" s="20"/>
      <c r="K6" s="18"/>
      <c r="L6" s="22"/>
    </row>
    <row r="7" spans="1:12" x14ac:dyDescent="0.3">
      <c r="A7" s="33">
        <v>25</v>
      </c>
      <c r="B7" s="33" t="s">
        <v>2170</v>
      </c>
      <c r="C7" s="34" t="s">
        <v>618</v>
      </c>
      <c r="D7" s="51" t="s">
        <v>204</v>
      </c>
      <c r="E7" s="61" t="str">
        <f>IFERROR(VLOOKUP(D7,'Master List'!D:H,2,FALSE),"NA")</f>
        <v>510904</v>
      </c>
      <c r="F7" s="62" t="str">
        <f>IFERROR(VLOOKUP(D7,'Master List'!D:H,3,FALSE),"NA")</f>
        <v>510904</v>
      </c>
      <c r="G7" s="58" t="str">
        <f>IFERROR(VLOOKUP(D7,'Master List'!D:H,4,FALSE),"NA")</f>
        <v>510904</v>
      </c>
      <c r="H7" s="39" t="str">
        <f>IFERROR(VLOOKUP(D7,'Master List'!D:H,5,FALSE),"NA")</f>
        <v>Emergency Medical Technology/Technician (EMT Paramedic).</v>
      </c>
      <c r="I7" s="19"/>
      <c r="J7" s="20"/>
      <c r="K7" s="18"/>
      <c r="L7" s="22"/>
    </row>
    <row r="8" spans="1:12" x14ac:dyDescent="0.3">
      <c r="A8" s="33">
        <v>25</v>
      </c>
      <c r="B8" s="33" t="s">
        <v>2170</v>
      </c>
      <c r="C8" s="34" t="s">
        <v>618</v>
      </c>
      <c r="D8" s="51" t="s">
        <v>622</v>
      </c>
      <c r="E8" s="61" t="str">
        <f>IFERROR(VLOOKUP(D8,'Master List'!D:H,2,FALSE),"NA")</f>
        <v>131210</v>
      </c>
      <c r="F8" s="62" t="str">
        <f>IFERROR(VLOOKUP(D8,'Master List'!D:H,3,FALSE),"NA")</f>
        <v>131210</v>
      </c>
      <c r="G8" s="58" t="str">
        <f>IFERROR(VLOOKUP(D8,'Master List'!D:H,4,FALSE),"NA")</f>
        <v>131210</v>
      </c>
      <c r="H8" s="39" t="str">
        <f>IFERROR(VLOOKUP(D8,'Master List'!D:H,5,FALSE),"NA")</f>
        <v>Early Childhood Education and Teaching.</v>
      </c>
      <c r="I8" s="19"/>
      <c r="J8" s="20"/>
      <c r="K8" s="18"/>
      <c r="L8" s="22"/>
    </row>
    <row r="9" spans="1:12" x14ac:dyDescent="0.3">
      <c r="A9" s="33">
        <v>25</v>
      </c>
      <c r="B9" s="33" t="s">
        <v>2170</v>
      </c>
      <c r="C9" s="34" t="s">
        <v>618</v>
      </c>
      <c r="D9" s="51" t="s">
        <v>28</v>
      </c>
      <c r="E9" s="61" t="str">
        <f>IFERROR(VLOOKUP(D9,'Master List'!D:H,2,FALSE),"NA")</f>
        <v>190709</v>
      </c>
      <c r="F9" s="62" t="str">
        <f>IFERROR(VLOOKUP(D9,'Master List'!D:H,3,FALSE),"NA")</f>
        <v>190709</v>
      </c>
      <c r="G9" s="58" t="str">
        <f>IFERROR(VLOOKUP(D9,'Master List'!D:H,4,FALSE),"NA")</f>
        <v>190709</v>
      </c>
      <c r="H9" s="39" t="str">
        <f>IFERROR(VLOOKUP(D9,'Master List'!D:H,5,FALSE),"NA")</f>
        <v>Child Care Provider/Assistant.</v>
      </c>
      <c r="I9" s="19"/>
      <c r="J9" s="20"/>
      <c r="K9" s="18"/>
      <c r="L9" s="22"/>
    </row>
    <row r="10" spans="1:12" x14ac:dyDescent="0.3">
      <c r="A10" s="33">
        <v>25</v>
      </c>
      <c r="B10" s="33" t="s">
        <v>2170</v>
      </c>
      <c r="C10" s="34" t="s">
        <v>618</v>
      </c>
      <c r="D10" s="51" t="s">
        <v>483</v>
      </c>
      <c r="E10" s="61" t="str">
        <f>IFERROR(VLOOKUP(D10,'Master List'!D:H,2,FALSE),"NA")</f>
        <v>190709</v>
      </c>
      <c r="F10" s="62" t="str">
        <f>IFERROR(VLOOKUP(D10,'Master List'!D:H,3,FALSE),"NA")</f>
        <v>190709</v>
      </c>
      <c r="G10" s="58" t="str">
        <f>IFERROR(VLOOKUP(D10,'Master List'!D:H,4,FALSE),"NA")</f>
        <v>190709</v>
      </c>
      <c r="H10" s="39" t="str">
        <f>IFERROR(VLOOKUP(D10,'Master List'!D:H,5,FALSE),"NA")</f>
        <v>Child Care Provider/Assistant.</v>
      </c>
      <c r="I10" s="19"/>
      <c r="J10" s="20"/>
      <c r="K10" s="18"/>
      <c r="L10" s="22"/>
    </row>
    <row r="11" spans="1:12" x14ac:dyDescent="0.3">
      <c r="A11" s="33">
        <v>25</v>
      </c>
      <c r="B11" s="33" t="s">
        <v>2170</v>
      </c>
      <c r="C11" s="34" t="s">
        <v>618</v>
      </c>
      <c r="D11" s="51" t="s">
        <v>588</v>
      </c>
      <c r="E11" s="61" t="str">
        <f>IFERROR(VLOOKUP(D11,'Master List'!D:H,2,FALSE),"NA")</f>
        <v>190709</v>
      </c>
      <c r="F11" s="62" t="str">
        <f>IFERROR(VLOOKUP(D11,'Master List'!D:H,3,FALSE),"NA")</f>
        <v>190709</v>
      </c>
      <c r="G11" s="58" t="str">
        <f>IFERROR(VLOOKUP(D11,'Master List'!D:H,4,FALSE),"NA")</f>
        <v>190709</v>
      </c>
      <c r="H11" s="39" t="str">
        <f>IFERROR(VLOOKUP(D11,'Master List'!D:H,5,FALSE),"NA")</f>
        <v>Child Care Provider/Assistant.</v>
      </c>
      <c r="I11" s="19"/>
      <c r="J11" s="20"/>
      <c r="K11" s="18"/>
      <c r="L11" s="22"/>
    </row>
    <row r="12" spans="1:12" x14ac:dyDescent="0.3">
      <c r="A12" s="33">
        <v>25</v>
      </c>
      <c r="B12" s="33" t="s">
        <v>2170</v>
      </c>
      <c r="C12" s="34" t="s">
        <v>618</v>
      </c>
      <c r="D12" s="51" t="s">
        <v>589</v>
      </c>
      <c r="E12" s="61" t="str">
        <f>IFERROR(VLOOKUP(D12,'Master List'!D:H,2,FALSE),"NA")</f>
        <v>190709</v>
      </c>
      <c r="F12" s="62" t="str">
        <f>IFERROR(VLOOKUP(D12,'Master List'!D:H,3,FALSE),"NA")</f>
        <v>190709</v>
      </c>
      <c r="G12" s="58" t="str">
        <f>IFERROR(VLOOKUP(D12,'Master List'!D:H,4,FALSE),"NA")</f>
        <v>190709</v>
      </c>
      <c r="H12" s="39" t="str">
        <f>IFERROR(VLOOKUP(D12,'Master List'!D:H,5,FALSE),"NA")</f>
        <v>Child Care Provider/Assistant.</v>
      </c>
      <c r="I12" s="19"/>
      <c r="J12" s="20"/>
      <c r="K12" s="18"/>
      <c r="L12" s="22"/>
    </row>
    <row r="13" spans="1:12" x14ac:dyDescent="0.3">
      <c r="A13" s="33">
        <v>25</v>
      </c>
      <c r="B13" s="33" t="s">
        <v>2170</v>
      </c>
      <c r="C13" s="34" t="s">
        <v>618</v>
      </c>
      <c r="D13" s="51" t="s">
        <v>623</v>
      </c>
      <c r="E13" s="61" t="str">
        <f>IFERROR(VLOOKUP(D13,'Master List'!D:H,2,FALSE),"NA")</f>
        <v>190709</v>
      </c>
      <c r="F13" s="62" t="str">
        <f>IFERROR(VLOOKUP(D13,'Master List'!D:H,3,FALSE),"NA")</f>
        <v>190709</v>
      </c>
      <c r="G13" s="58" t="str">
        <f>IFERROR(VLOOKUP(D13,'Master List'!D:H,4,FALSE),"NA")</f>
        <v>190709</v>
      </c>
      <c r="H13" s="39" t="str">
        <f>IFERROR(VLOOKUP(D13,'Master List'!D:H,5,FALSE),"NA")</f>
        <v>Child Care Provider/Assistant.</v>
      </c>
      <c r="I13" s="19"/>
      <c r="J13" s="20"/>
      <c r="K13" s="18"/>
      <c r="L13" s="22"/>
    </row>
    <row r="14" spans="1:12" x14ac:dyDescent="0.3">
      <c r="A14" s="33">
        <v>25</v>
      </c>
      <c r="B14" s="33" t="s">
        <v>2170</v>
      </c>
      <c r="C14" s="34" t="s">
        <v>618</v>
      </c>
      <c r="D14" s="51" t="s">
        <v>417</v>
      </c>
      <c r="E14" s="61" t="str">
        <f>IFERROR(VLOOKUP(D14,'Master List'!D:H,2,FALSE),"NA")</f>
        <v>500408</v>
      </c>
      <c r="F14" s="62" t="str">
        <f>IFERROR(VLOOKUP(D14,'Master List'!D:H,3,FALSE),"NA")</f>
        <v>500408</v>
      </c>
      <c r="G14" s="58" t="str">
        <f>IFERROR(VLOOKUP(D14,'Master List'!D:H,4,FALSE),"NA")</f>
        <v>500408</v>
      </c>
      <c r="H14" s="39" t="str">
        <f>IFERROR(VLOOKUP(D14,'Master List'!D:H,5,FALSE),"NA")</f>
        <v>Interior Design.</v>
      </c>
      <c r="I14" s="19"/>
      <c r="J14" s="20"/>
      <c r="K14" s="18"/>
      <c r="L14" s="22"/>
    </row>
    <row r="15" spans="1:12" x14ac:dyDescent="0.3">
      <c r="A15" s="33">
        <v>25</v>
      </c>
      <c r="B15" s="33" t="s">
        <v>2170</v>
      </c>
      <c r="C15" s="34" t="s">
        <v>618</v>
      </c>
      <c r="D15" s="51" t="s">
        <v>214</v>
      </c>
      <c r="E15" s="61" t="str">
        <f>IFERROR(VLOOKUP(D15,'Master List'!D:H,2,FALSE),"NA")</f>
        <v>500408</v>
      </c>
      <c r="F15" s="62" t="str">
        <f>IFERROR(VLOOKUP(D15,'Master List'!D:H,3,FALSE),"NA")</f>
        <v>500408</v>
      </c>
      <c r="G15" s="58" t="str">
        <f>IFERROR(VLOOKUP(D15,'Master List'!D:H,4,FALSE),"NA")</f>
        <v>500408</v>
      </c>
      <c r="H15" s="39" t="str">
        <f>IFERROR(VLOOKUP(D15,'Master List'!D:H,5,FALSE),"NA")</f>
        <v>Interior Design.</v>
      </c>
      <c r="I15" s="19"/>
      <c r="J15" s="20"/>
      <c r="K15" s="18"/>
      <c r="L15" s="22"/>
    </row>
    <row r="16" spans="1:12" x14ac:dyDescent="0.3">
      <c r="A16" s="33">
        <v>25</v>
      </c>
      <c r="B16" s="33" t="s">
        <v>2170</v>
      </c>
      <c r="C16" s="34" t="s">
        <v>618</v>
      </c>
      <c r="D16" s="51" t="s">
        <v>217</v>
      </c>
      <c r="E16" s="61" t="str">
        <f>IFERROR(VLOOKUP(D16,'Master List'!D:H,2,FALSE),"NA")</f>
        <v>110103</v>
      </c>
      <c r="F16" s="62" t="str">
        <f>IFERROR(VLOOKUP(D16,'Master List'!D:H,3,FALSE),"NA")</f>
        <v>110103</v>
      </c>
      <c r="G16" s="58" t="str">
        <f>IFERROR(VLOOKUP(D16,'Master List'!D:H,4,FALSE),"NA")</f>
        <v>110103</v>
      </c>
      <c r="H16" s="39" t="str">
        <f>IFERROR(VLOOKUP(D16,'Master List'!D:H,5,FALSE),"NA")</f>
        <v>Information Technology.</v>
      </c>
      <c r="I16" s="19"/>
      <c r="J16" s="20"/>
      <c r="K16" s="18"/>
      <c r="L16" s="22"/>
    </row>
    <row r="17" spans="1:12" x14ac:dyDescent="0.3">
      <c r="A17" s="33">
        <v>25</v>
      </c>
      <c r="B17" s="33" t="s">
        <v>2170</v>
      </c>
      <c r="C17" s="34" t="s">
        <v>618</v>
      </c>
      <c r="D17" s="51" t="s">
        <v>218</v>
      </c>
      <c r="E17" s="61" t="str">
        <f>IFERROR(VLOOKUP(D17,'Master List'!D:H,2,FALSE),"NA")</f>
        <v>110103</v>
      </c>
      <c r="F17" s="62" t="str">
        <f>IFERROR(VLOOKUP(D17,'Master List'!D:H,3,FALSE),"NA")</f>
        <v>110103</v>
      </c>
      <c r="G17" s="58" t="str">
        <f>IFERROR(VLOOKUP(D17,'Master List'!D:H,4,FALSE),"NA")</f>
        <v>110103</v>
      </c>
      <c r="H17" s="39" t="str">
        <f>IFERROR(VLOOKUP(D17,'Master List'!D:H,5,FALSE),"NA")</f>
        <v>Information Technology.</v>
      </c>
      <c r="I17" s="19"/>
      <c r="J17" s="20"/>
      <c r="K17" s="18"/>
      <c r="L17" s="22"/>
    </row>
    <row r="18" spans="1:12" x14ac:dyDescent="0.3">
      <c r="A18" s="33">
        <v>25</v>
      </c>
      <c r="B18" s="33" t="s">
        <v>2170</v>
      </c>
      <c r="C18" s="34" t="s">
        <v>618</v>
      </c>
      <c r="D18" s="51" t="s">
        <v>389</v>
      </c>
      <c r="E18" s="61" t="str">
        <f>IFERROR(VLOOKUP(D18,'Master List'!D:H,2,FALSE),"NA")</f>
        <v>110201</v>
      </c>
      <c r="F18" s="62" t="str">
        <f>IFERROR(VLOOKUP(D18,'Master List'!D:H,3,FALSE),"NA")</f>
        <v>110201</v>
      </c>
      <c r="G18" s="58" t="str">
        <f>IFERROR(VLOOKUP(D18,'Master List'!D:H,4,FALSE),"NA")</f>
        <v>110201</v>
      </c>
      <c r="H18" s="39" t="str">
        <f>IFERROR(VLOOKUP(D18,'Master List'!D:H,5,FALSE),"NA")</f>
        <v>Computer Programming/Programmer, General.</v>
      </c>
      <c r="I18" s="19"/>
      <c r="J18" s="20"/>
      <c r="K18" s="18"/>
      <c r="L18" s="22"/>
    </row>
    <row r="19" spans="1:12" x14ac:dyDescent="0.3">
      <c r="A19" s="33">
        <v>25</v>
      </c>
      <c r="B19" s="33" t="s">
        <v>2170</v>
      </c>
      <c r="C19" s="34" t="s">
        <v>618</v>
      </c>
      <c r="D19" s="51" t="s">
        <v>390</v>
      </c>
      <c r="E19" s="61" t="str">
        <f>IFERROR(VLOOKUP(D19,'Master List'!D:H,2,FALSE),"NA")</f>
        <v>110202</v>
      </c>
      <c r="F19" s="62" t="str">
        <f>IFERROR(VLOOKUP(D19,'Master List'!D:H,3,FALSE),"NA")</f>
        <v>110202</v>
      </c>
      <c r="G19" s="58" t="str">
        <f>IFERROR(VLOOKUP(D19,'Master List'!D:H,4,FALSE),"NA")</f>
        <v>110202</v>
      </c>
      <c r="H19" s="39" t="str">
        <f>IFERROR(VLOOKUP(D19,'Master List'!D:H,5,FALSE),"NA")</f>
        <v>Computer Programming, Specific Applications.</v>
      </c>
      <c r="I19" s="19"/>
      <c r="J19" s="20"/>
      <c r="K19" s="18"/>
      <c r="L19" s="22"/>
    </row>
    <row r="20" spans="1:12" x14ac:dyDescent="0.3">
      <c r="A20" s="33">
        <v>25</v>
      </c>
      <c r="B20" s="33" t="s">
        <v>2170</v>
      </c>
      <c r="C20" s="34" t="s">
        <v>618</v>
      </c>
      <c r="D20" s="51" t="s">
        <v>31</v>
      </c>
      <c r="E20" s="61" t="str">
        <f>IFERROR(VLOOKUP(D20,'Master List'!D:H,2,FALSE),"NA")</f>
        <v>111001</v>
      </c>
      <c r="F20" s="62" t="str">
        <f>IFERROR(VLOOKUP(D20,'Master List'!D:H,3,FALSE),"NA")</f>
        <v>111001</v>
      </c>
      <c r="G20" s="58" t="str">
        <f>IFERROR(VLOOKUP(D20,'Master List'!D:H,4,FALSE),"NA")</f>
        <v>111001</v>
      </c>
      <c r="H20" s="39" t="str">
        <f>IFERROR(VLOOKUP(D20,'Master List'!D:H,5,FALSE),"NA")</f>
        <v>Network and System Administration/Administrator.</v>
      </c>
      <c r="I20" s="19"/>
      <c r="J20" s="20"/>
      <c r="K20" s="18"/>
      <c r="L20" s="22"/>
    </row>
    <row r="21" spans="1:12" x14ac:dyDescent="0.3">
      <c r="A21" s="33">
        <v>25</v>
      </c>
      <c r="B21" s="33" t="s">
        <v>2170</v>
      </c>
      <c r="C21" s="34" t="s">
        <v>618</v>
      </c>
      <c r="D21" s="51" t="s">
        <v>219</v>
      </c>
      <c r="E21" s="61" t="str">
        <f>IFERROR(VLOOKUP(D21,'Master List'!D:H,2,FALSE),"NA")</f>
        <v>111001</v>
      </c>
      <c r="F21" s="62" t="str">
        <f>IFERROR(VLOOKUP(D21,'Master List'!D:H,3,FALSE),"NA")</f>
        <v>111001</v>
      </c>
      <c r="G21" s="58" t="str">
        <f>IFERROR(VLOOKUP(D21,'Master List'!D:H,4,FALSE),"NA")</f>
        <v>111001</v>
      </c>
      <c r="H21" s="39" t="str">
        <f>IFERROR(VLOOKUP(D21,'Master List'!D:H,5,FALSE),"NA")</f>
        <v>Network and System Administration/Administrator.</v>
      </c>
      <c r="I21" s="19"/>
      <c r="J21" s="20"/>
      <c r="K21" s="18"/>
      <c r="L21" s="22"/>
    </row>
    <row r="22" spans="1:12" x14ac:dyDescent="0.3">
      <c r="A22" s="33">
        <v>25</v>
      </c>
      <c r="B22" s="33" t="s">
        <v>2170</v>
      </c>
      <c r="C22" s="34" t="s">
        <v>618</v>
      </c>
      <c r="D22" s="51" t="s">
        <v>34</v>
      </c>
      <c r="E22" s="61" t="str">
        <f>IFERROR(VLOOKUP(D22,'Master List'!D:H,2,FALSE),"NA")</f>
        <v>111001</v>
      </c>
      <c r="F22" s="62" t="str">
        <f>IFERROR(VLOOKUP(D22,'Master List'!D:H,3,FALSE),"NA")</f>
        <v>111001</v>
      </c>
      <c r="G22" s="58" t="str">
        <f>IFERROR(VLOOKUP(D22,'Master List'!D:H,4,FALSE),"NA")</f>
        <v>111001</v>
      </c>
      <c r="H22" s="39" t="str">
        <f>IFERROR(VLOOKUP(D22,'Master List'!D:H,5,FALSE),"NA")</f>
        <v>Network and System Administration/Administrator.</v>
      </c>
      <c r="I22" s="19"/>
      <c r="J22" s="20"/>
      <c r="K22" s="18"/>
      <c r="L22" s="22"/>
    </row>
    <row r="23" spans="1:12" x14ac:dyDescent="0.3">
      <c r="A23" s="33">
        <v>25</v>
      </c>
      <c r="B23" s="33" t="s">
        <v>2170</v>
      </c>
      <c r="C23" s="34" t="s">
        <v>618</v>
      </c>
      <c r="D23" s="51" t="s">
        <v>542</v>
      </c>
      <c r="E23" s="61" t="str">
        <f>IFERROR(VLOOKUP(D23,'Master List'!D:H,2,FALSE),"NA")</f>
        <v>111001</v>
      </c>
      <c r="F23" s="62" t="str">
        <f>IFERROR(VLOOKUP(D23,'Master List'!D:H,3,FALSE),"NA")</f>
        <v>111001</v>
      </c>
      <c r="G23" s="58" t="str">
        <f>IFERROR(VLOOKUP(D23,'Master List'!D:H,4,FALSE),"NA")</f>
        <v>111001</v>
      </c>
      <c r="H23" s="39" t="str">
        <f>IFERROR(VLOOKUP(D23,'Master List'!D:H,5,FALSE),"NA")</f>
        <v>Network and System Administration/Administrator.</v>
      </c>
      <c r="I23" s="19"/>
      <c r="J23" s="20"/>
      <c r="K23" s="18"/>
      <c r="L23" s="22"/>
    </row>
    <row r="24" spans="1:12" x14ac:dyDescent="0.3">
      <c r="A24" s="33">
        <v>25</v>
      </c>
      <c r="B24" s="33" t="s">
        <v>2170</v>
      </c>
      <c r="C24" s="34" t="s">
        <v>618</v>
      </c>
      <c r="D24" s="51" t="s">
        <v>222</v>
      </c>
      <c r="E24" s="61" t="str">
        <f>IFERROR(VLOOKUP(D24,'Master List'!D:H,2,FALSE),"NA")</f>
        <v>111001</v>
      </c>
      <c r="F24" s="62" t="str">
        <f>IFERROR(VLOOKUP(D24,'Master List'!D:H,3,FALSE),"NA")</f>
        <v>111001</v>
      </c>
      <c r="G24" s="58" t="str">
        <f>IFERROR(VLOOKUP(D24,'Master List'!D:H,4,FALSE),"NA")</f>
        <v>111001</v>
      </c>
      <c r="H24" s="39" t="str">
        <f>IFERROR(VLOOKUP(D24,'Master List'!D:H,5,FALSE),"NA")</f>
        <v>Network and System Administration/Administrator.</v>
      </c>
      <c r="I24" s="19"/>
      <c r="J24" s="20"/>
      <c r="K24" s="18"/>
      <c r="L24" s="22"/>
    </row>
    <row r="25" spans="1:12" x14ac:dyDescent="0.3">
      <c r="A25" s="33">
        <v>25</v>
      </c>
      <c r="B25" s="33" t="s">
        <v>2170</v>
      </c>
      <c r="C25" s="34" t="s">
        <v>618</v>
      </c>
      <c r="D25" s="51" t="s">
        <v>36</v>
      </c>
      <c r="E25" s="61" t="str">
        <f>IFERROR(VLOOKUP(D25,'Master List'!D:H,2,FALSE),"NA")</f>
        <v>111001</v>
      </c>
      <c r="F25" s="62" t="str">
        <f>IFERROR(VLOOKUP(D25,'Master List'!D:H,3,FALSE),"NA")</f>
        <v>111001</v>
      </c>
      <c r="G25" s="58" t="str">
        <f>IFERROR(VLOOKUP(D25,'Master List'!D:H,4,FALSE),"NA")</f>
        <v>111001</v>
      </c>
      <c r="H25" s="39" t="str">
        <f>IFERROR(VLOOKUP(D25,'Master List'!D:H,5,FALSE),"NA")</f>
        <v>Network and System Administration/Administrator.</v>
      </c>
      <c r="I25" s="19"/>
      <c r="J25" s="20"/>
      <c r="K25" s="18"/>
      <c r="L25" s="22"/>
    </row>
    <row r="26" spans="1:12" x14ac:dyDescent="0.3">
      <c r="A26" s="33">
        <v>25</v>
      </c>
      <c r="B26" s="33" t="s">
        <v>2170</v>
      </c>
      <c r="C26" s="34" t="s">
        <v>618</v>
      </c>
      <c r="D26" s="51" t="s">
        <v>153</v>
      </c>
      <c r="E26" s="61" t="str">
        <f>IFERROR(VLOOKUP(D26,'Master List'!D:H,2,FALSE),"NA")</f>
        <v>520201</v>
      </c>
      <c r="F26" s="62" t="str">
        <f>IFERROR(VLOOKUP(D26,'Master List'!D:H,3,FALSE),"NA")</f>
        <v>520201</v>
      </c>
      <c r="G26" s="58" t="str">
        <f>IFERROR(VLOOKUP(D26,'Master List'!D:H,4,FALSE),"NA")</f>
        <v>520201</v>
      </c>
      <c r="H26" s="39" t="str">
        <f>IFERROR(VLOOKUP(D26,'Master List'!D:H,5,FALSE),"NA")</f>
        <v>Business Administration and Management, General.</v>
      </c>
      <c r="I26" s="19"/>
      <c r="J26" s="20"/>
      <c r="K26" s="18"/>
      <c r="L26" s="22"/>
    </row>
    <row r="27" spans="1:12" x14ac:dyDescent="0.3">
      <c r="A27" s="33">
        <v>25</v>
      </c>
      <c r="B27" s="33" t="s">
        <v>2170</v>
      </c>
      <c r="C27" s="34" t="s">
        <v>618</v>
      </c>
      <c r="D27" s="51" t="s">
        <v>154</v>
      </c>
      <c r="E27" s="61" t="str">
        <f>IFERROR(VLOOKUP(D27,'Master List'!D:H,2,FALSE),"NA")</f>
        <v>520201</v>
      </c>
      <c r="F27" s="62" t="str">
        <f>IFERROR(VLOOKUP(D27,'Master List'!D:H,3,FALSE),"NA")</f>
        <v>520201</v>
      </c>
      <c r="G27" s="58" t="str">
        <f>IFERROR(VLOOKUP(D27,'Master List'!D:H,4,FALSE),"NA")</f>
        <v>520201</v>
      </c>
      <c r="H27" s="39" t="str">
        <f>IFERROR(VLOOKUP(D27,'Master List'!D:H,5,FALSE),"NA")</f>
        <v>Business Administration and Management, General.</v>
      </c>
      <c r="I27" s="19"/>
      <c r="J27" s="20"/>
      <c r="K27" s="18"/>
      <c r="L27" s="22"/>
    </row>
    <row r="28" spans="1:12" x14ac:dyDescent="0.3">
      <c r="A28" s="33">
        <v>25</v>
      </c>
      <c r="B28" s="33" t="s">
        <v>2170</v>
      </c>
      <c r="C28" s="34" t="s">
        <v>618</v>
      </c>
      <c r="D28" s="51" t="s">
        <v>507</v>
      </c>
      <c r="E28" s="61" t="str">
        <f>IFERROR(VLOOKUP(D28,'Master List'!D:H,2,FALSE),"NA")</f>
        <v>520201</v>
      </c>
      <c r="F28" s="62" t="str">
        <f>IFERROR(VLOOKUP(D28,'Master List'!D:H,3,FALSE),"NA")</f>
        <v>520201</v>
      </c>
      <c r="G28" s="58" t="str">
        <f>IFERROR(VLOOKUP(D28,'Master List'!D:H,4,FALSE),"NA")</f>
        <v>520201</v>
      </c>
      <c r="H28" s="39" t="str">
        <f>IFERROR(VLOOKUP(D28,'Master List'!D:H,5,FALSE),"NA")</f>
        <v>Business Administration and Management, General.</v>
      </c>
      <c r="I28" s="19"/>
      <c r="J28" s="20"/>
      <c r="K28" s="18"/>
      <c r="L28" s="22"/>
    </row>
    <row r="29" spans="1:12" x14ac:dyDescent="0.3">
      <c r="A29" s="33">
        <v>25</v>
      </c>
      <c r="B29" s="33" t="s">
        <v>2170</v>
      </c>
      <c r="C29" s="34" t="s">
        <v>618</v>
      </c>
      <c r="D29" s="51" t="s">
        <v>37</v>
      </c>
      <c r="E29" s="61" t="str">
        <f>IFERROR(VLOOKUP(D29,'Master List'!D:H,2,FALSE),"NA")</f>
        <v>520204</v>
      </c>
      <c r="F29" s="62" t="str">
        <f>IFERROR(VLOOKUP(D29,'Master List'!D:H,3,FALSE),"NA")</f>
        <v>520204</v>
      </c>
      <c r="G29" s="58" t="str">
        <f>IFERROR(VLOOKUP(D29,'Master List'!D:H,4,FALSE),"NA")</f>
        <v>520204</v>
      </c>
      <c r="H29" s="39" t="str">
        <f>IFERROR(VLOOKUP(D29,'Master List'!D:H,5,FALSE),"NA")</f>
        <v>Office Management and Supervision.</v>
      </c>
      <c r="I29" s="19"/>
      <c r="J29" s="20"/>
      <c r="K29" s="18"/>
      <c r="L29" s="22"/>
    </row>
    <row r="30" spans="1:12" x14ac:dyDescent="0.3">
      <c r="A30" s="33">
        <v>25</v>
      </c>
      <c r="B30" s="33" t="s">
        <v>2170</v>
      </c>
      <c r="C30" s="34" t="s">
        <v>618</v>
      </c>
      <c r="D30" s="51" t="s">
        <v>226</v>
      </c>
      <c r="E30" s="61" t="str">
        <f>IFERROR(VLOOKUP(D30,'Master List'!D:H,2,FALSE),"NA")</f>
        <v>520204</v>
      </c>
      <c r="F30" s="62" t="str">
        <f>IFERROR(VLOOKUP(D30,'Master List'!D:H,3,FALSE),"NA")</f>
        <v>520204</v>
      </c>
      <c r="G30" s="58" t="str">
        <f>IFERROR(VLOOKUP(D30,'Master List'!D:H,4,FALSE),"NA")</f>
        <v>520204</v>
      </c>
      <c r="H30" s="39" t="str">
        <f>IFERROR(VLOOKUP(D30,'Master List'!D:H,5,FALSE),"NA")</f>
        <v>Office Management and Supervision.</v>
      </c>
      <c r="I30" s="19"/>
      <c r="J30" s="20"/>
      <c r="K30" s="18"/>
      <c r="L30" s="22"/>
    </row>
    <row r="31" spans="1:12" x14ac:dyDescent="0.3">
      <c r="A31" s="33">
        <v>25</v>
      </c>
      <c r="B31" s="33" t="s">
        <v>2170</v>
      </c>
      <c r="C31" s="34" t="s">
        <v>618</v>
      </c>
      <c r="D31" s="51" t="s">
        <v>227</v>
      </c>
      <c r="E31" s="61" t="str">
        <f>IFERROR(VLOOKUP(D31,'Master List'!D:H,2,FALSE),"NA")</f>
        <v>520302</v>
      </c>
      <c r="F31" s="62" t="str">
        <f>IFERROR(VLOOKUP(D31,'Master List'!D:H,3,FALSE),"NA")</f>
        <v>520302</v>
      </c>
      <c r="G31" s="58" t="str">
        <f>IFERROR(VLOOKUP(D31,'Master List'!D:H,4,FALSE),"NA")</f>
        <v>520302</v>
      </c>
      <c r="H31" s="39" t="str">
        <f>IFERROR(VLOOKUP(D31,'Master List'!D:H,5,FALSE),"NA")</f>
        <v>Accounting Technology/Technician and Bookkeeping.</v>
      </c>
      <c r="I31" s="19"/>
      <c r="J31" s="20"/>
      <c r="K31" s="18"/>
      <c r="L31" s="22"/>
    </row>
    <row r="32" spans="1:12" x14ac:dyDescent="0.3">
      <c r="A32" s="33">
        <v>25</v>
      </c>
      <c r="B32" s="33" t="s">
        <v>2170</v>
      </c>
      <c r="C32" s="34" t="s">
        <v>618</v>
      </c>
      <c r="D32" s="51" t="s">
        <v>228</v>
      </c>
      <c r="E32" s="61" t="str">
        <f>IFERROR(VLOOKUP(D32,'Master List'!D:H,2,FALSE),"NA")</f>
        <v>520302</v>
      </c>
      <c r="F32" s="62" t="str">
        <f>IFERROR(VLOOKUP(D32,'Master List'!D:H,3,FALSE),"NA")</f>
        <v>520302</v>
      </c>
      <c r="G32" s="58" t="str">
        <f>IFERROR(VLOOKUP(D32,'Master List'!D:H,4,FALSE),"NA")</f>
        <v>520302</v>
      </c>
      <c r="H32" s="39" t="str">
        <f>IFERROR(VLOOKUP(D32,'Master List'!D:H,5,FALSE),"NA")</f>
        <v>Accounting Technology/Technician and Bookkeeping.</v>
      </c>
      <c r="I32" s="19"/>
      <c r="J32" s="20"/>
      <c r="K32" s="18"/>
      <c r="L32" s="22"/>
    </row>
    <row r="33" spans="1:12" x14ac:dyDescent="0.3">
      <c r="A33" s="33">
        <v>25</v>
      </c>
      <c r="B33" s="33" t="s">
        <v>2170</v>
      </c>
      <c r="C33" s="34" t="s">
        <v>618</v>
      </c>
      <c r="D33" s="51" t="s">
        <v>40</v>
      </c>
      <c r="E33" s="61" t="str">
        <f>IFERROR(VLOOKUP(D33,'Master List'!D:H,2,FALSE),"NA")</f>
        <v>520302</v>
      </c>
      <c r="F33" s="62" t="str">
        <f>IFERROR(VLOOKUP(D33,'Master List'!D:H,3,FALSE),"NA")</f>
        <v>520302</v>
      </c>
      <c r="G33" s="58" t="str">
        <f>IFERROR(VLOOKUP(D33,'Master List'!D:H,4,FALSE),"NA")</f>
        <v>520302</v>
      </c>
      <c r="H33" s="39" t="str">
        <f>IFERROR(VLOOKUP(D33,'Master List'!D:H,5,FALSE),"NA")</f>
        <v>Accounting Technology/Technician and Bookkeeping.</v>
      </c>
      <c r="I33" s="19"/>
      <c r="J33" s="20"/>
      <c r="K33" s="18"/>
      <c r="L33" s="22"/>
    </row>
    <row r="34" spans="1:12" x14ac:dyDescent="0.3">
      <c r="A34" s="33">
        <v>25</v>
      </c>
      <c r="B34" s="33" t="s">
        <v>2170</v>
      </c>
      <c r="C34" s="34" t="s">
        <v>618</v>
      </c>
      <c r="D34" s="51" t="s">
        <v>229</v>
      </c>
      <c r="E34" s="61" t="str">
        <f>IFERROR(VLOOKUP(D34,'Master List'!D:H,2,FALSE),"NA")</f>
        <v>520407</v>
      </c>
      <c r="F34" s="62" t="str">
        <f>IFERROR(VLOOKUP(D34,'Master List'!D:H,3,FALSE),"NA")</f>
        <v>520407</v>
      </c>
      <c r="G34" s="58" t="str">
        <f>IFERROR(VLOOKUP(D34,'Master List'!D:H,4,FALSE),"NA")</f>
        <v>520407</v>
      </c>
      <c r="H34" s="39" t="str">
        <f>IFERROR(VLOOKUP(D34,'Master List'!D:H,5,FALSE),"NA")</f>
        <v>Business/Office Automation/Technology/Data Entry.</v>
      </c>
      <c r="I34" s="19"/>
      <c r="J34" s="20"/>
      <c r="K34" s="18"/>
      <c r="L34" s="22"/>
    </row>
    <row r="35" spans="1:12" x14ac:dyDescent="0.3">
      <c r="A35" s="33">
        <v>25</v>
      </c>
      <c r="B35" s="33" t="s">
        <v>2170</v>
      </c>
      <c r="C35" s="34" t="s">
        <v>618</v>
      </c>
      <c r="D35" s="51" t="s">
        <v>232</v>
      </c>
      <c r="E35" s="61" t="str">
        <f>IFERROR(VLOOKUP(D35,'Master List'!D:H,2,FALSE),"NA")</f>
        <v>520701</v>
      </c>
      <c r="F35" s="62" t="str">
        <f>IFERROR(VLOOKUP(D35,'Master List'!D:H,3,FALSE),"NA")</f>
        <v>520701</v>
      </c>
      <c r="G35" s="58" t="str">
        <f>IFERROR(VLOOKUP(D35,'Master List'!D:H,4,FALSE),"NA")</f>
        <v>520701</v>
      </c>
      <c r="H35" s="39" t="str">
        <f>IFERROR(VLOOKUP(D35,'Master List'!D:H,5,FALSE),"NA")</f>
        <v>Entrepreneurship/Entrepreneurial Studies.</v>
      </c>
      <c r="I35" s="19"/>
      <c r="J35" s="20"/>
      <c r="K35" s="18"/>
      <c r="L35" s="22"/>
    </row>
    <row r="36" spans="1:12" x14ac:dyDescent="0.3">
      <c r="A36" s="33">
        <v>25</v>
      </c>
      <c r="B36" s="33" t="s">
        <v>2170</v>
      </c>
      <c r="C36" s="34" t="s">
        <v>618</v>
      </c>
      <c r="D36" s="51" t="s">
        <v>233</v>
      </c>
      <c r="E36" s="61" t="str">
        <f>IFERROR(VLOOKUP(D36,'Master List'!D:H,2,FALSE),"NA")</f>
        <v>520703</v>
      </c>
      <c r="F36" s="62" t="str">
        <f>IFERROR(VLOOKUP(D36,'Master List'!D:H,3,FALSE),"NA")</f>
        <v>520703</v>
      </c>
      <c r="G36" s="58" t="str">
        <f>IFERROR(VLOOKUP(D36,'Master List'!D:H,4,FALSE),"NA")</f>
        <v>520703</v>
      </c>
      <c r="H36" s="39" t="str">
        <f>IFERROR(VLOOKUP(D36,'Master List'!D:H,5,FALSE),"NA")</f>
        <v>Small Business Administration/Management.</v>
      </c>
      <c r="I36" s="19"/>
      <c r="J36" s="20"/>
      <c r="K36" s="18"/>
      <c r="L36" s="22"/>
    </row>
    <row r="37" spans="1:12" x14ac:dyDescent="0.3">
      <c r="A37" s="33">
        <v>25</v>
      </c>
      <c r="B37" s="33" t="s">
        <v>2170</v>
      </c>
      <c r="C37" s="34" t="s">
        <v>618</v>
      </c>
      <c r="D37" s="51" t="s">
        <v>624</v>
      </c>
      <c r="E37" s="61" t="str">
        <f>IFERROR(VLOOKUP(D37,'Master List'!D:H,2,FALSE),"NA")</f>
        <v>520703</v>
      </c>
      <c r="F37" s="62" t="str">
        <f>IFERROR(VLOOKUP(D37,'Master List'!D:H,3,FALSE),"NA")</f>
        <v>520703</v>
      </c>
      <c r="G37" s="58" t="str">
        <f>IFERROR(VLOOKUP(D37,'Master List'!D:H,4,FALSE),"NA")</f>
        <v>520703</v>
      </c>
      <c r="H37" s="39" t="str">
        <f>IFERROR(VLOOKUP(D37,'Master List'!D:H,5,FALSE),"NA")</f>
        <v>Small Business Administration/Management.</v>
      </c>
      <c r="I37" s="19"/>
      <c r="J37" s="20"/>
      <c r="K37" s="18"/>
      <c r="L37" s="22"/>
    </row>
    <row r="38" spans="1:12" x14ac:dyDescent="0.3">
      <c r="A38" s="33">
        <v>25</v>
      </c>
      <c r="B38" s="33" t="s">
        <v>2170</v>
      </c>
      <c r="C38" s="34" t="s">
        <v>618</v>
      </c>
      <c r="D38" s="51" t="s">
        <v>544</v>
      </c>
      <c r="E38" s="61" t="str">
        <f>IFERROR(VLOOKUP(D38,'Master List'!D:H,2,FALSE),"NA")</f>
        <v>090402</v>
      </c>
      <c r="F38" s="62" t="str">
        <f>IFERROR(VLOOKUP(D38,'Master List'!D:H,3,FALSE),"NA")</f>
        <v>090402</v>
      </c>
      <c r="G38" s="58" t="str">
        <f>IFERROR(VLOOKUP(D38,'Master List'!D:H,4,FALSE),"NA")</f>
        <v>090402</v>
      </c>
      <c r="H38" s="39" t="str">
        <f>IFERROR(VLOOKUP(D38,'Master List'!D:H,5,FALSE),"NA")</f>
        <v>Broadcast Journalism.</v>
      </c>
      <c r="I38" s="19"/>
      <c r="J38" s="20"/>
      <c r="K38" s="18"/>
      <c r="L38" s="22"/>
    </row>
    <row r="39" spans="1:12" x14ac:dyDescent="0.3">
      <c r="A39" s="33">
        <v>25</v>
      </c>
      <c r="B39" s="33" t="s">
        <v>2170</v>
      </c>
      <c r="C39" s="34" t="s">
        <v>618</v>
      </c>
      <c r="D39" s="51" t="s">
        <v>511</v>
      </c>
      <c r="E39" s="61" t="str">
        <f>IFERROR(VLOOKUP(D39,'Master List'!D:H,2,FALSE),"NA")</f>
        <v>090702</v>
      </c>
      <c r="F39" s="62" t="str">
        <f>IFERROR(VLOOKUP(D39,'Master List'!D:H,3,FALSE),"NA")</f>
        <v>090702</v>
      </c>
      <c r="G39" s="58" t="str">
        <f>IFERROR(VLOOKUP(D39,'Master List'!D:H,4,FALSE),"NA")</f>
        <v>090702</v>
      </c>
      <c r="H39" s="39" t="str">
        <f>IFERROR(VLOOKUP(D39,'Master List'!D:H,5,FALSE),"NA")</f>
        <v>Digital Communication and Media/Multimedia.</v>
      </c>
      <c r="I39" s="19"/>
      <c r="J39" s="20"/>
      <c r="K39" s="18"/>
      <c r="L39" s="22"/>
    </row>
    <row r="40" spans="1:12" x14ac:dyDescent="0.3">
      <c r="A40" s="33">
        <v>25</v>
      </c>
      <c r="B40" s="33" t="s">
        <v>2170</v>
      </c>
      <c r="C40" s="34" t="s">
        <v>618</v>
      </c>
      <c r="D40" s="51" t="s">
        <v>625</v>
      </c>
      <c r="E40" s="61" t="str">
        <f>IFERROR(VLOOKUP(D40,'Master List'!D:H,2,FALSE),"NA")</f>
        <v>090702</v>
      </c>
      <c r="F40" s="62" t="str">
        <f>IFERROR(VLOOKUP(D40,'Master List'!D:H,3,FALSE),"NA")</f>
        <v>090702</v>
      </c>
      <c r="G40" s="58" t="str">
        <f>IFERROR(VLOOKUP(D40,'Master List'!D:H,4,FALSE),"NA")</f>
        <v>090702</v>
      </c>
      <c r="H40" s="39" t="str">
        <f>IFERROR(VLOOKUP(D40,'Master List'!D:H,5,FALSE),"NA")</f>
        <v>Digital Communication and Media/Multimedia.</v>
      </c>
      <c r="I40" s="19"/>
      <c r="J40" s="20"/>
      <c r="K40" s="18"/>
      <c r="L40" s="22"/>
    </row>
    <row r="41" spans="1:12" x14ac:dyDescent="0.3">
      <c r="A41" s="33">
        <v>25</v>
      </c>
      <c r="B41" s="33" t="s">
        <v>2170</v>
      </c>
      <c r="C41" s="34" t="s">
        <v>618</v>
      </c>
      <c r="D41" s="51" t="s">
        <v>43</v>
      </c>
      <c r="E41" s="61" t="str">
        <f>IFERROR(VLOOKUP(D41,'Master List'!D:H,2,FALSE),"NA")</f>
        <v>100105</v>
      </c>
      <c r="F41" s="62" t="str">
        <f>IFERROR(VLOOKUP(D41,'Master List'!D:H,3,FALSE),"NA")</f>
        <v>100105</v>
      </c>
      <c r="G41" s="58" t="str">
        <f>IFERROR(VLOOKUP(D41,'Master List'!D:H,4,FALSE),"NA")</f>
        <v>100105</v>
      </c>
      <c r="H41" s="39" t="str">
        <f>IFERROR(VLOOKUP(D41,'Master List'!D:H,5,FALSE),"NA")</f>
        <v>Communications Technology/Technician.</v>
      </c>
      <c r="I41" s="19"/>
      <c r="J41" s="20"/>
      <c r="K41" s="18"/>
      <c r="L41" s="22"/>
    </row>
    <row r="42" spans="1:12" x14ac:dyDescent="0.3">
      <c r="A42" s="33">
        <v>25</v>
      </c>
      <c r="B42" s="33" t="s">
        <v>2170</v>
      </c>
      <c r="C42" s="34" t="s">
        <v>618</v>
      </c>
      <c r="D42" s="51" t="s">
        <v>550</v>
      </c>
      <c r="E42" s="61" t="str">
        <f>IFERROR(VLOOKUP(D42,'Master List'!D:H,2,FALSE),"NA")</f>
        <v>100304</v>
      </c>
      <c r="F42" s="62" t="str">
        <f>IFERROR(VLOOKUP(D42,'Master List'!D:H,3,FALSE),"NA")</f>
        <v>100304</v>
      </c>
      <c r="G42" s="58">
        <f>IFERROR(VLOOKUP(D42,'Master List'!D:H,4,FALSE),"NA")</f>
        <v>100202</v>
      </c>
      <c r="H42" s="39" t="str">
        <f>IFERROR(VLOOKUP(D42,'Master List'!D:H,5,FALSE),"NA")</f>
        <v>Animation, Interactive Technology, Video Graphics, and Special Effects.</v>
      </c>
      <c r="I42" s="19"/>
      <c r="J42" s="20"/>
      <c r="K42" s="18"/>
      <c r="L42" s="22"/>
    </row>
    <row r="43" spans="1:12" x14ac:dyDescent="0.3">
      <c r="A43" s="33">
        <v>25</v>
      </c>
      <c r="B43" s="33" t="s">
        <v>2170</v>
      </c>
      <c r="C43" s="34" t="s">
        <v>618</v>
      </c>
      <c r="D43" s="51" t="s">
        <v>515</v>
      </c>
      <c r="E43" s="61" t="str">
        <f>IFERROR(VLOOKUP(D43,'Master List'!D:H,2,FALSE),"NA")</f>
        <v>110803</v>
      </c>
      <c r="F43" s="62" t="str">
        <f>IFERROR(VLOOKUP(D43,'Master List'!D:H,3,FALSE),"NA")</f>
        <v>110803</v>
      </c>
      <c r="G43" s="58" t="str">
        <f>IFERROR(VLOOKUP(D43,'Master List'!D:H,4,FALSE),"NA")</f>
        <v>110803</v>
      </c>
      <c r="H43" s="39" t="str">
        <f>IFERROR(VLOOKUP(D43,'Master List'!D:H,5,FALSE),"NA")</f>
        <v>Computer Graphics.</v>
      </c>
      <c r="I43" s="19"/>
      <c r="J43" s="20"/>
      <c r="K43" s="18"/>
      <c r="L43" s="22"/>
    </row>
    <row r="44" spans="1:12" x14ac:dyDescent="0.3">
      <c r="A44" s="33">
        <v>25</v>
      </c>
      <c r="B44" s="33" t="s">
        <v>2170</v>
      </c>
      <c r="C44" s="34" t="s">
        <v>618</v>
      </c>
      <c r="D44" s="51" t="s">
        <v>237</v>
      </c>
      <c r="E44" s="61" t="str">
        <f>IFERROR(VLOOKUP(D44,'Master List'!D:H,2,FALSE),"NA")</f>
        <v>110803</v>
      </c>
      <c r="F44" s="62" t="str">
        <f>IFERROR(VLOOKUP(D44,'Master List'!D:H,3,FALSE),"NA")</f>
        <v>110803</v>
      </c>
      <c r="G44" s="58" t="str">
        <f>IFERROR(VLOOKUP(D44,'Master List'!D:H,4,FALSE),"NA")</f>
        <v>110803</v>
      </c>
      <c r="H44" s="39" t="str">
        <f>IFERROR(VLOOKUP(D44,'Master List'!D:H,5,FALSE),"NA")</f>
        <v>Computer Graphics.</v>
      </c>
      <c r="I44" s="19"/>
      <c r="J44" s="20"/>
      <c r="K44" s="18"/>
      <c r="L44" s="22"/>
    </row>
    <row r="45" spans="1:12" x14ac:dyDescent="0.3">
      <c r="A45" s="33">
        <v>25</v>
      </c>
      <c r="B45" s="33" t="s">
        <v>2170</v>
      </c>
      <c r="C45" s="34" t="s">
        <v>618</v>
      </c>
      <c r="D45" s="51" t="s">
        <v>50</v>
      </c>
      <c r="E45" s="61" t="str">
        <f>IFERROR(VLOOKUP(D45,'Master List'!D:H,2,FALSE),"NA")</f>
        <v>150000</v>
      </c>
      <c r="F45" s="62" t="str">
        <f>IFERROR(VLOOKUP(D45,'Master List'!D:H,3,FALSE),"NA")</f>
        <v>150000</v>
      </c>
      <c r="G45" s="58" t="str">
        <f>IFERROR(VLOOKUP(D45,'Master List'!D:H,4,FALSE),"NA")</f>
        <v>150000</v>
      </c>
      <c r="H45" s="39" t="str">
        <f>IFERROR(VLOOKUP(D45,'Master List'!D:H,5,FALSE),"NA")</f>
        <v>Engineering Technologies/Technicians, General.</v>
      </c>
      <c r="I45" s="19"/>
      <c r="J45" s="20"/>
      <c r="K45" s="18"/>
      <c r="L45" s="22"/>
    </row>
    <row r="46" spans="1:12" x14ac:dyDescent="0.3">
      <c r="A46" s="33">
        <v>25</v>
      </c>
      <c r="B46" s="33" t="s">
        <v>2170</v>
      </c>
      <c r="C46" s="34" t="s">
        <v>618</v>
      </c>
      <c r="D46" s="51" t="s">
        <v>247</v>
      </c>
      <c r="E46" s="61" t="str">
        <f>IFERROR(VLOOKUP(D46,'Master List'!D:H,2,FALSE),"NA")</f>
        <v>150000</v>
      </c>
      <c r="F46" s="62" t="str">
        <f>IFERROR(VLOOKUP(D46,'Master List'!D:H,3,FALSE),"NA")</f>
        <v>150000</v>
      </c>
      <c r="G46" s="58" t="str">
        <f>IFERROR(VLOOKUP(D46,'Master List'!D:H,4,FALSE),"NA")</f>
        <v>150000</v>
      </c>
      <c r="H46" s="39" t="str">
        <f>IFERROR(VLOOKUP(D46,'Master List'!D:H,5,FALSE),"NA")</f>
        <v>Engineering Technologies/Technicians, General.</v>
      </c>
      <c r="I46" s="19"/>
      <c r="J46" s="20"/>
      <c r="K46" s="18"/>
      <c r="L46" s="22"/>
    </row>
    <row r="47" spans="1:12" x14ac:dyDescent="0.3">
      <c r="A47" s="33">
        <v>25</v>
      </c>
      <c r="B47" s="33" t="s">
        <v>2170</v>
      </c>
      <c r="C47" s="34" t="s">
        <v>618</v>
      </c>
      <c r="D47" s="51" t="s">
        <v>626</v>
      </c>
      <c r="E47" s="61" t="str">
        <f>IFERROR(VLOOKUP(D47,'Master List'!D:H,2,FALSE),"NA")</f>
        <v>150305</v>
      </c>
      <c r="F47" s="62" t="str">
        <f>IFERROR(VLOOKUP(D47,'Master List'!D:H,3,FALSE),"NA")</f>
        <v>150305</v>
      </c>
      <c r="G47" s="58" t="str">
        <f>IFERROR(VLOOKUP(D47,'Master List'!D:H,4,FALSE),"NA")</f>
        <v>150305</v>
      </c>
      <c r="H47" s="39" t="str">
        <f>IFERROR(VLOOKUP(D47,'Master List'!D:H,5,FALSE),"NA")</f>
        <v>Telecommunications Technology/Technician.</v>
      </c>
      <c r="I47" s="19"/>
      <c r="J47" s="20"/>
      <c r="K47" s="18"/>
      <c r="L47" s="22"/>
    </row>
    <row r="48" spans="1:12" x14ac:dyDescent="0.3">
      <c r="A48" s="33">
        <v>25</v>
      </c>
      <c r="B48" s="33" t="s">
        <v>2170</v>
      </c>
      <c r="C48" s="34" t="s">
        <v>618</v>
      </c>
      <c r="D48" s="51" t="s">
        <v>248</v>
      </c>
      <c r="E48" s="61" t="str">
        <f>IFERROR(VLOOKUP(D48,'Master List'!D:H,2,FALSE),"NA")</f>
        <v>150501</v>
      </c>
      <c r="F48" s="62" t="str">
        <f>IFERROR(VLOOKUP(D48,'Master List'!D:H,3,FALSE),"NA")</f>
        <v>150501</v>
      </c>
      <c r="G48" s="58" t="str">
        <f>IFERROR(VLOOKUP(D48,'Master List'!D:H,4,FALSE),"NA")</f>
        <v>150501</v>
      </c>
      <c r="H48" s="39" t="str">
        <f>IFERROR(VLOOKUP(D48,'Master List'!D:H,5,FALSE),"NA")</f>
        <v>Heating, Ventilation, Air Conditioning and Refrigeration Engineering Technology/Technician.</v>
      </c>
      <c r="I48" s="19"/>
      <c r="J48" s="20"/>
      <c r="K48" s="18"/>
      <c r="L48" s="22"/>
    </row>
    <row r="49" spans="1:12" x14ac:dyDescent="0.3">
      <c r="A49" s="33">
        <v>25</v>
      </c>
      <c r="B49" s="33" t="s">
        <v>2170</v>
      </c>
      <c r="C49" s="34" t="s">
        <v>618</v>
      </c>
      <c r="D49" s="51" t="s">
        <v>629</v>
      </c>
      <c r="E49" s="61" t="str">
        <f>IFERROR(VLOOKUP(D49,'Master List'!D:H,2,FALSE),"NA")</f>
        <v>150503</v>
      </c>
      <c r="F49" s="62" t="str">
        <f>IFERROR(VLOOKUP(D49,'Master List'!D:H,3,FALSE),"NA")</f>
        <v>151701</v>
      </c>
      <c r="G49" s="58" t="str">
        <f>IFERROR(VLOOKUP(D49,'Master List'!D:H,4,FALSE),"NA")</f>
        <v>151701</v>
      </c>
      <c r="H49" s="39" t="str">
        <f>IFERROR(VLOOKUP(D49,'Master List'!D:H,5,FALSE),"NA")</f>
        <v>Energy Systems Technology/Technician.</v>
      </c>
      <c r="I49" s="19"/>
      <c r="J49" s="20"/>
      <c r="K49" s="18"/>
      <c r="L49" s="22"/>
    </row>
    <row r="50" spans="1:12" x14ac:dyDescent="0.3">
      <c r="A50" s="33">
        <v>25</v>
      </c>
      <c r="B50" s="33" t="s">
        <v>2170</v>
      </c>
      <c r="C50" s="34" t="s">
        <v>618</v>
      </c>
      <c r="D50" s="51" t="s">
        <v>255</v>
      </c>
      <c r="E50" s="61" t="str">
        <f>IFERROR(VLOOKUP(D50,'Master List'!D:H,2,FALSE),"NA")</f>
        <v>150803</v>
      </c>
      <c r="F50" s="62" t="str">
        <f>IFERROR(VLOOKUP(D50,'Master List'!D:H,3,FALSE),"NA")</f>
        <v>150803</v>
      </c>
      <c r="G50" s="58" t="str">
        <f>IFERROR(VLOOKUP(D50,'Master List'!D:H,4,FALSE),"NA")</f>
        <v>150803</v>
      </c>
      <c r="H50" s="39" t="str">
        <f>IFERROR(VLOOKUP(D50,'Master List'!D:H,5,FALSE),"NA")</f>
        <v>Automotive Engineering Technology/Technician.</v>
      </c>
      <c r="I50" s="19"/>
      <c r="J50" s="20"/>
      <c r="K50" s="18"/>
      <c r="L50" s="22"/>
    </row>
    <row r="51" spans="1:12" x14ac:dyDescent="0.3">
      <c r="A51" s="33">
        <v>25</v>
      </c>
      <c r="B51" s="33" t="s">
        <v>2170</v>
      </c>
      <c r="C51" s="34" t="s">
        <v>618</v>
      </c>
      <c r="D51" s="51" t="s">
        <v>258</v>
      </c>
      <c r="E51" s="61" t="str">
        <f>IFERROR(VLOOKUP(D51,'Master List'!D:H,2,FALSE),"NA")</f>
        <v>150803</v>
      </c>
      <c r="F51" s="62" t="str">
        <f>IFERROR(VLOOKUP(D51,'Master List'!D:H,3,FALSE),"NA")</f>
        <v>150803</v>
      </c>
      <c r="G51" s="58" t="str">
        <f>IFERROR(VLOOKUP(D51,'Master List'!D:H,4,FALSE),"NA")</f>
        <v>150803</v>
      </c>
      <c r="H51" s="39" t="str">
        <f>IFERROR(VLOOKUP(D51,'Master List'!D:H,5,FALSE),"NA")</f>
        <v>Automotive Engineering Technology/Technician.</v>
      </c>
      <c r="I51" s="19"/>
      <c r="J51" s="20"/>
      <c r="K51" s="18"/>
      <c r="L51" s="22"/>
    </row>
    <row r="52" spans="1:12" x14ac:dyDescent="0.3">
      <c r="A52" s="33">
        <v>25</v>
      </c>
      <c r="B52" s="33" t="s">
        <v>2170</v>
      </c>
      <c r="C52" s="34" t="s">
        <v>618</v>
      </c>
      <c r="D52" s="51" t="s">
        <v>633</v>
      </c>
      <c r="E52" s="61" t="str">
        <f>IFERROR(VLOOKUP(D52,'Master List'!D:H,2,FALSE),"NA")</f>
        <v>150803</v>
      </c>
      <c r="F52" s="62" t="str">
        <f>IFERROR(VLOOKUP(D52,'Master List'!D:H,3,FALSE),"NA")</f>
        <v>150803</v>
      </c>
      <c r="G52" s="58" t="str">
        <f>IFERROR(VLOOKUP(D52,'Master List'!D:H,4,FALSE),"NA")</f>
        <v>150803</v>
      </c>
      <c r="H52" s="39" t="str">
        <f>IFERROR(VLOOKUP(D52,'Master List'!D:H,5,FALSE),"NA")</f>
        <v>Automotive Engineering Technology/Technician.</v>
      </c>
      <c r="I52" s="19"/>
      <c r="J52" s="20"/>
      <c r="K52" s="18"/>
      <c r="L52" s="22"/>
    </row>
    <row r="53" spans="1:12" x14ac:dyDescent="0.3">
      <c r="A53" s="33">
        <v>25</v>
      </c>
      <c r="B53" s="33" t="s">
        <v>2170</v>
      </c>
      <c r="C53" s="34" t="s">
        <v>618</v>
      </c>
      <c r="D53" s="51" t="s">
        <v>564</v>
      </c>
      <c r="E53" s="61" t="str">
        <f>IFERROR(VLOOKUP(D53,'Master List'!D:H,2,FALSE),"NA")</f>
        <v>151001</v>
      </c>
      <c r="F53" s="62" t="str">
        <f>IFERROR(VLOOKUP(D53,'Master List'!D:H,3,FALSE),"NA")</f>
        <v>151001</v>
      </c>
      <c r="G53" s="58" t="str">
        <f>IFERROR(VLOOKUP(D53,'Master List'!D:H,4,FALSE),"NA")</f>
        <v>151001</v>
      </c>
      <c r="H53" s="39" t="str">
        <f>IFERROR(VLOOKUP(D53,'Master List'!D:H,5,FALSE),"NA")</f>
        <v>Construction Engineering Technology/Technician.</v>
      </c>
      <c r="I53" s="19"/>
      <c r="J53" s="20"/>
      <c r="K53" s="18"/>
      <c r="L53" s="22"/>
    </row>
    <row r="54" spans="1:12" x14ac:dyDescent="0.3">
      <c r="A54" s="33">
        <v>25</v>
      </c>
      <c r="B54" s="33" t="s">
        <v>2170</v>
      </c>
      <c r="C54" s="34" t="s">
        <v>618</v>
      </c>
      <c r="D54" s="51" t="s">
        <v>259</v>
      </c>
      <c r="E54" s="61" t="str">
        <f>IFERROR(VLOOKUP(D54,'Master List'!D:H,2,FALSE),"NA")</f>
        <v>151301</v>
      </c>
      <c r="F54" s="62" t="str">
        <f>IFERROR(VLOOKUP(D54,'Master List'!D:H,3,FALSE),"NA")</f>
        <v>151301</v>
      </c>
      <c r="G54" s="58">
        <f>IFERROR(VLOOKUP(D54,'Master List'!D:H,4,FALSE),"NA")</f>
        <v>151302</v>
      </c>
      <c r="H54" s="39" t="str">
        <f>IFERROR(VLOOKUP(D54,'Master List'!D:H,5,FALSE),"NA")</f>
        <v>CAD/CADD Drafting and/or Design Technology/Technician</v>
      </c>
      <c r="I54" s="19"/>
      <c r="J54" s="20"/>
      <c r="K54" s="18"/>
      <c r="L54" s="22"/>
    </row>
    <row r="55" spans="1:12" x14ac:dyDescent="0.3">
      <c r="A55" s="33">
        <v>25</v>
      </c>
      <c r="B55" s="33" t="s">
        <v>2170</v>
      </c>
      <c r="C55" s="34" t="s">
        <v>618</v>
      </c>
      <c r="D55" s="51" t="s">
        <v>262</v>
      </c>
      <c r="E55" s="61" t="str">
        <f>IFERROR(VLOOKUP(D55,'Master List'!D:H,2,FALSE),"NA")</f>
        <v>151302</v>
      </c>
      <c r="F55" s="62" t="str">
        <f>IFERROR(VLOOKUP(D55,'Master List'!D:H,3,FALSE),"NA")</f>
        <v>151302</v>
      </c>
      <c r="G55" s="58" t="str">
        <f>IFERROR(VLOOKUP(D55,'Master List'!D:H,4,FALSE),"NA")</f>
        <v>151302</v>
      </c>
      <c r="H55" s="39" t="str">
        <f>IFERROR(VLOOKUP(D55,'Master List'!D:H,5,FALSE),"NA")</f>
        <v>CAD/CADD Drafting and/or Design Technology/Technician.</v>
      </c>
      <c r="I55" s="19"/>
      <c r="J55" s="20"/>
      <c r="K55" s="18"/>
      <c r="L55" s="22"/>
    </row>
    <row r="56" spans="1:12" x14ac:dyDescent="0.3">
      <c r="A56" s="33">
        <v>25</v>
      </c>
      <c r="B56" s="33" t="s">
        <v>2170</v>
      </c>
      <c r="C56" s="34" t="s">
        <v>618</v>
      </c>
      <c r="D56" s="51" t="s">
        <v>265</v>
      </c>
      <c r="E56" s="61" t="str">
        <f>IFERROR(VLOOKUP(D56,'Master List'!D:H,2,FALSE),"NA")</f>
        <v>261201</v>
      </c>
      <c r="F56" s="62" t="str">
        <f>IFERROR(VLOOKUP(D56,'Master List'!D:H,3,FALSE),"NA")</f>
        <v>261201</v>
      </c>
      <c r="G56" s="58" t="str">
        <f>IFERROR(VLOOKUP(D56,'Master List'!D:H,4,FALSE),"NA")</f>
        <v>261201</v>
      </c>
      <c r="H56" s="39" t="str">
        <f>IFERROR(VLOOKUP(D56,'Master List'!D:H,5,FALSE),"NA")</f>
        <v>Biotechnology.</v>
      </c>
      <c r="I56" s="19"/>
      <c r="J56" s="20"/>
      <c r="K56" s="18"/>
      <c r="L56" s="22"/>
    </row>
    <row r="57" spans="1:12" x14ac:dyDescent="0.3">
      <c r="A57" s="33">
        <v>25</v>
      </c>
      <c r="B57" s="33" t="s">
        <v>2170</v>
      </c>
      <c r="C57" s="34" t="s">
        <v>618</v>
      </c>
      <c r="D57" s="51" t="s">
        <v>272</v>
      </c>
      <c r="E57" s="61" t="str">
        <f>IFERROR(VLOOKUP(D57,'Master List'!D:H,2,FALSE),"NA")</f>
        <v>460302</v>
      </c>
      <c r="F57" s="62" t="str">
        <f>IFERROR(VLOOKUP(D57,'Master List'!D:H,3,FALSE),"NA")</f>
        <v>460302</v>
      </c>
      <c r="G57" s="58" t="str">
        <f>IFERROR(VLOOKUP(D57,'Master List'!D:H,4,FALSE),"NA")</f>
        <v>460302</v>
      </c>
      <c r="H57" s="39" t="str">
        <f>IFERROR(VLOOKUP(D57,'Master List'!D:H,5,FALSE),"NA")</f>
        <v>Electrician.</v>
      </c>
      <c r="I57" s="19"/>
      <c r="J57" s="20"/>
      <c r="K57" s="18"/>
      <c r="L57" s="22"/>
    </row>
    <row r="58" spans="1:12" x14ac:dyDescent="0.3">
      <c r="A58" s="33">
        <v>25</v>
      </c>
      <c r="B58" s="33" t="s">
        <v>2170</v>
      </c>
      <c r="C58" s="34" t="s">
        <v>618</v>
      </c>
      <c r="D58" s="51" t="s">
        <v>440</v>
      </c>
      <c r="E58" s="61" t="str">
        <f>IFERROR(VLOOKUP(D58,'Master List'!D:H,2,FALSE),"NA")</f>
        <v>460415</v>
      </c>
      <c r="F58" s="62" t="str">
        <f>IFERROR(VLOOKUP(D58,'Master List'!D:H,3,FALSE),"NA")</f>
        <v>460415</v>
      </c>
      <c r="G58" s="58" t="str">
        <f>IFERROR(VLOOKUP(D58,'Master List'!D:H,4,FALSE),"NA")</f>
        <v>460415</v>
      </c>
      <c r="H58" s="39" t="str">
        <f>IFERROR(VLOOKUP(D58,'Master List'!D:H,5,FALSE),"NA")</f>
        <v>Building Construction Technology/Technician.</v>
      </c>
      <c r="I58" s="19"/>
      <c r="J58" s="20"/>
      <c r="K58" s="18"/>
      <c r="L58" s="22"/>
    </row>
    <row r="59" spans="1:12" x14ac:dyDescent="0.3">
      <c r="A59" s="33">
        <v>25</v>
      </c>
      <c r="B59" s="33" t="s">
        <v>2170</v>
      </c>
      <c r="C59" s="34" t="s">
        <v>618</v>
      </c>
      <c r="D59" s="51" t="s">
        <v>634</v>
      </c>
      <c r="E59" s="61" t="str">
        <f>IFERROR(VLOOKUP(D59,'Master List'!D:H,2,FALSE),"NA")</f>
        <v>460503</v>
      </c>
      <c r="F59" s="62" t="str">
        <f>IFERROR(VLOOKUP(D59,'Master List'!D:H,3,FALSE),"NA")</f>
        <v>460503</v>
      </c>
      <c r="G59" s="58" t="str">
        <f>IFERROR(VLOOKUP(D59,'Master List'!D:H,4,FALSE),"NA")</f>
        <v>460503</v>
      </c>
      <c r="H59" s="39" t="str">
        <f>IFERROR(VLOOKUP(D59,'Master List'!D:H,5,FALSE),"NA")</f>
        <v>Plumbing Technology/Plumber.</v>
      </c>
      <c r="I59" s="19"/>
      <c r="J59" s="20"/>
      <c r="K59" s="18"/>
      <c r="L59" s="22"/>
    </row>
    <row r="60" spans="1:12" x14ac:dyDescent="0.3">
      <c r="A60" s="33">
        <v>25</v>
      </c>
      <c r="B60" s="33" t="s">
        <v>2170</v>
      </c>
      <c r="C60" s="34" t="s">
        <v>618</v>
      </c>
      <c r="D60" s="51" t="s">
        <v>443</v>
      </c>
      <c r="E60" s="61" t="str">
        <f>IFERROR(VLOOKUP(D60,'Master List'!D:H,2,FALSE),"NA")</f>
        <v>470104</v>
      </c>
      <c r="F60" s="62" t="str">
        <f>IFERROR(VLOOKUP(D60,'Master List'!D:H,3,FALSE),"NA")</f>
        <v>470104</v>
      </c>
      <c r="G60" s="58" t="str">
        <f>IFERROR(VLOOKUP(D60,'Master List'!D:H,4,FALSE),"NA")</f>
        <v>470104</v>
      </c>
      <c r="H60" s="39" t="str">
        <f>IFERROR(VLOOKUP(D60,'Master List'!D:H,5,FALSE),"NA")</f>
        <v>Computer Installation and Repair Technology/Technician.</v>
      </c>
      <c r="I60" s="19"/>
      <c r="J60" s="20"/>
      <c r="K60" s="18"/>
      <c r="L60" s="22"/>
    </row>
    <row r="61" spans="1:12" x14ac:dyDescent="0.3">
      <c r="A61" s="33">
        <v>25</v>
      </c>
      <c r="B61" s="33" t="s">
        <v>2170</v>
      </c>
      <c r="C61" s="34" t="s">
        <v>618</v>
      </c>
      <c r="D61" s="51" t="s">
        <v>278</v>
      </c>
      <c r="E61" s="61" t="str">
        <f>IFERROR(VLOOKUP(D61,'Master List'!D:H,2,FALSE),"NA")</f>
        <v>470201</v>
      </c>
      <c r="F61" s="62" t="str">
        <f>IFERROR(VLOOKUP(D61,'Master List'!D:H,3,FALSE),"NA")</f>
        <v>470201</v>
      </c>
      <c r="G61" s="58" t="str">
        <f>IFERROR(VLOOKUP(D61,'Master List'!D:H,4,FALSE),"NA")</f>
        <v>470201</v>
      </c>
      <c r="H61" s="39" t="str">
        <f>IFERROR(VLOOKUP(D61,'Master List'!D:H,5,FALSE),"NA")</f>
        <v>Heating, Air Conditioning, Ventilation and Refrigeration Maintenance Technology/Technician.</v>
      </c>
      <c r="I61" s="19"/>
      <c r="J61" s="20"/>
      <c r="K61" s="18"/>
      <c r="L61" s="22"/>
    </row>
    <row r="62" spans="1:12" x14ac:dyDescent="0.3">
      <c r="A62" s="33">
        <v>25</v>
      </c>
      <c r="B62" s="33" t="s">
        <v>2170</v>
      </c>
      <c r="C62" s="34" t="s">
        <v>618</v>
      </c>
      <c r="D62" s="51" t="s">
        <v>637</v>
      </c>
      <c r="E62" s="61" t="str">
        <f>IFERROR(VLOOKUP(D62,'Master List'!D:H,2,FALSE),"NA")</f>
        <v>470201</v>
      </c>
      <c r="F62" s="62" t="str">
        <f>IFERROR(VLOOKUP(D62,'Master List'!D:H,3,FALSE),"NA")</f>
        <v>470201</v>
      </c>
      <c r="G62" s="58" t="str">
        <f>IFERROR(VLOOKUP(D62,'Master List'!D:H,4,FALSE),"NA")</f>
        <v>470201</v>
      </c>
      <c r="H62" s="39" t="str">
        <f>IFERROR(VLOOKUP(D62,'Master List'!D:H,5,FALSE),"NA")</f>
        <v>Heating, Air Conditioning, Ventilation and Refrigeration Maintenance Technology/Technician.</v>
      </c>
      <c r="I62" s="19"/>
      <c r="J62" s="20"/>
      <c r="K62" s="18"/>
      <c r="L62" s="22"/>
    </row>
    <row r="63" spans="1:12" x14ac:dyDescent="0.3">
      <c r="A63" s="33">
        <v>25</v>
      </c>
      <c r="B63" s="33" t="s">
        <v>2170</v>
      </c>
      <c r="C63" s="34" t="s">
        <v>618</v>
      </c>
      <c r="D63" s="51" t="s">
        <v>565</v>
      </c>
      <c r="E63" s="61" t="str">
        <f>IFERROR(VLOOKUP(D63,'Master List'!D:H,2,FALSE),"NA")</f>
        <v>500102</v>
      </c>
      <c r="F63" s="62" t="str">
        <f>IFERROR(VLOOKUP(D63,'Master List'!D:H,3,FALSE),"NA")</f>
        <v>500102</v>
      </c>
      <c r="G63" s="58">
        <f>IFERROR(VLOOKUP(D63,'Master List'!D:H,4,FALSE),"NA")</f>
        <v>110803</v>
      </c>
      <c r="H63" s="39" t="str">
        <f>IFERROR(VLOOKUP(D63,'Master List'!D:H,5,FALSE),"NA")</f>
        <v>Computer Graphics</v>
      </c>
      <c r="I63" s="19"/>
      <c r="J63" s="20"/>
      <c r="K63" s="18"/>
      <c r="L63" s="22"/>
    </row>
    <row r="64" spans="1:12" x14ac:dyDescent="0.3">
      <c r="A64" s="33">
        <v>25</v>
      </c>
      <c r="B64" s="33" t="s">
        <v>2170</v>
      </c>
      <c r="C64" s="34" t="s">
        <v>618</v>
      </c>
      <c r="D64" s="51" t="s">
        <v>59</v>
      </c>
      <c r="E64" s="61" t="str">
        <f>IFERROR(VLOOKUP(D64,'Master List'!D:H,2,FALSE),"NA")</f>
        <v>500102</v>
      </c>
      <c r="F64" s="62" t="str">
        <f>IFERROR(VLOOKUP(D64,'Master List'!D:H,3,FALSE),"NA")</f>
        <v>500102</v>
      </c>
      <c r="G64" s="58" t="str">
        <f>IFERROR(VLOOKUP(D64,'Master List'!D:H,4,FALSE),"NA")</f>
        <v>500102</v>
      </c>
      <c r="H64" s="39" t="str">
        <f>IFERROR(VLOOKUP(D64,'Master List'!D:H,5,FALSE),"NA")</f>
        <v>Digital Arts.</v>
      </c>
      <c r="I64" s="19"/>
      <c r="J64" s="20"/>
      <c r="K64" s="18"/>
      <c r="L64" s="22"/>
    </row>
    <row r="65" spans="1:12" x14ac:dyDescent="0.3">
      <c r="A65" s="33">
        <v>25</v>
      </c>
      <c r="B65" s="33" t="s">
        <v>2170</v>
      </c>
      <c r="C65" s="34" t="s">
        <v>618</v>
      </c>
      <c r="D65" s="51" t="s">
        <v>307</v>
      </c>
      <c r="E65" s="61" t="str">
        <f>IFERROR(VLOOKUP(D65,'Master List'!D:H,2,FALSE),"NA")</f>
        <v>500502</v>
      </c>
      <c r="F65" s="62" t="str">
        <f>IFERROR(VLOOKUP(D65,'Master List'!D:H,3,FALSE),"NA")</f>
        <v>500502</v>
      </c>
      <c r="G65" s="58" t="str">
        <f>IFERROR(VLOOKUP(D65,'Master List'!D:H,4,FALSE),"NA")</f>
        <v>500502</v>
      </c>
      <c r="H65" s="39" t="str">
        <f>IFERROR(VLOOKUP(D65,'Master List'!D:H,5,FALSE),"NA")</f>
        <v>Technical Theatre/Theatre Design and Technology.</v>
      </c>
      <c r="I65" s="19"/>
      <c r="J65" s="20"/>
      <c r="K65" s="18"/>
      <c r="L65" s="22"/>
    </row>
    <row r="66" spans="1:12" x14ac:dyDescent="0.3">
      <c r="A66" s="33">
        <v>25</v>
      </c>
      <c r="B66" s="33" t="s">
        <v>2170</v>
      </c>
      <c r="C66" s="34" t="s">
        <v>618</v>
      </c>
      <c r="D66" s="51" t="s">
        <v>570</v>
      </c>
      <c r="E66" s="61" t="str">
        <f>IFERROR(VLOOKUP(D66,'Master List'!D:H,2,FALSE),"NA")</f>
        <v>520205</v>
      </c>
      <c r="F66" s="62" t="str">
        <f>IFERROR(VLOOKUP(D66,'Master List'!D:H,3,FALSE),"NA")</f>
        <v>520205</v>
      </c>
      <c r="G66" s="58" t="str">
        <f>IFERROR(VLOOKUP(D66,'Master List'!D:H,4,FALSE),"NA")</f>
        <v>520205</v>
      </c>
      <c r="H66" s="39" t="str">
        <f>IFERROR(VLOOKUP(D66,'Master List'!D:H,5,FALSE),"NA")</f>
        <v>Operations Management and Supervision.</v>
      </c>
      <c r="I66" s="19"/>
      <c r="J66" s="20"/>
      <c r="K66" s="18"/>
      <c r="L66" s="22"/>
    </row>
    <row r="67" spans="1:12" x14ac:dyDescent="0.3">
      <c r="A67" s="33">
        <v>25</v>
      </c>
      <c r="B67" s="33" t="s">
        <v>2170</v>
      </c>
      <c r="C67" s="34" t="s">
        <v>618</v>
      </c>
      <c r="D67" s="51" t="s">
        <v>65</v>
      </c>
      <c r="E67" s="61" t="str">
        <f>IFERROR(VLOOKUP(D67,'Master List'!D:H,2,FALSE),"NA")</f>
        <v>520209</v>
      </c>
      <c r="F67" s="62" t="str">
        <f>IFERROR(VLOOKUP(D67,'Master List'!D:H,3,FALSE),"NA")</f>
        <v>520209</v>
      </c>
      <c r="G67" s="58" t="str">
        <f>IFERROR(VLOOKUP(D67,'Master List'!D:H,4,FALSE),"NA")</f>
        <v>520209</v>
      </c>
      <c r="H67" s="39" t="str">
        <f>IFERROR(VLOOKUP(D67,'Master List'!D:H,5,FALSE),"NA")</f>
        <v>Transportation/Mobility Management.</v>
      </c>
      <c r="I67" s="19"/>
      <c r="J67" s="20"/>
      <c r="K67" s="18"/>
      <c r="L67" s="22"/>
    </row>
    <row r="68" spans="1:12" x14ac:dyDescent="0.3">
      <c r="A68" s="33">
        <v>25</v>
      </c>
      <c r="B68" s="33" t="s">
        <v>2170</v>
      </c>
      <c r="C68" s="34" t="s">
        <v>618</v>
      </c>
      <c r="D68" s="51" t="s">
        <v>638</v>
      </c>
      <c r="E68" s="61" t="str">
        <f>IFERROR(VLOOKUP(D68,'Master List'!D:H,2,FALSE),"NA")</f>
        <v>131501</v>
      </c>
      <c r="F68" s="62" t="str">
        <f>IFERROR(VLOOKUP(D68,'Master List'!D:H,3,FALSE),"NA")</f>
        <v>131501</v>
      </c>
      <c r="G68" s="58" t="str">
        <f>IFERROR(VLOOKUP(D68,'Master List'!D:H,4,FALSE),"NA")</f>
        <v>131501</v>
      </c>
      <c r="H68" s="39" t="str">
        <f>IFERROR(VLOOKUP(D68,'Master List'!D:H,5,FALSE),"NA")</f>
        <v>Teacher Assistant/Aide.</v>
      </c>
      <c r="I68" s="19"/>
      <c r="J68" s="20"/>
      <c r="K68" s="18"/>
      <c r="L68" s="22"/>
    </row>
    <row r="69" spans="1:12" x14ac:dyDescent="0.3">
      <c r="A69" s="33">
        <v>25</v>
      </c>
      <c r="B69" s="33" t="s">
        <v>2170</v>
      </c>
      <c r="C69" s="34" t="s">
        <v>618</v>
      </c>
      <c r="D69" s="51" t="s">
        <v>641</v>
      </c>
      <c r="E69" s="61" t="str">
        <f>IFERROR(VLOOKUP(D69,'Master List'!D:H,2,FALSE),"NA")</f>
        <v>220302</v>
      </c>
      <c r="F69" s="62" t="str">
        <f>IFERROR(VLOOKUP(D69,'Master List'!D:H,3,FALSE),"NA")</f>
        <v>220302</v>
      </c>
      <c r="G69" s="58" t="str">
        <f>IFERROR(VLOOKUP(D69,'Master List'!D:H,4,FALSE),"NA")</f>
        <v>220302</v>
      </c>
      <c r="H69" s="39" t="str">
        <f>IFERROR(VLOOKUP(D69,'Master List'!D:H,5,FALSE),"NA")</f>
        <v>Legal Assistant/Paralegal.</v>
      </c>
      <c r="I69" s="19"/>
      <c r="J69" s="20"/>
      <c r="K69" s="18"/>
      <c r="L69" s="22"/>
    </row>
    <row r="70" spans="1:12" x14ac:dyDescent="0.3">
      <c r="A70" s="33">
        <v>25</v>
      </c>
      <c r="B70" s="33" t="s">
        <v>2170</v>
      </c>
      <c r="C70" s="34" t="s">
        <v>618</v>
      </c>
      <c r="D70" s="51" t="s">
        <v>68</v>
      </c>
      <c r="E70" s="61" t="str">
        <f>IFERROR(VLOOKUP(D70,'Master List'!D:H,2,FALSE),"NA")</f>
        <v>430102</v>
      </c>
      <c r="F70" s="62" t="str">
        <f>IFERROR(VLOOKUP(D70,'Master List'!D:H,3,FALSE),"NA")</f>
        <v>430102</v>
      </c>
      <c r="G70" s="58" t="str">
        <f>IFERROR(VLOOKUP(D70,'Master List'!D:H,4,FALSE),"NA")</f>
        <v>430102</v>
      </c>
      <c r="H70" s="39" t="str">
        <f>IFERROR(VLOOKUP(D70,'Master List'!D:H,5,FALSE),"NA")</f>
        <v>Corrections.</v>
      </c>
      <c r="I70" s="19"/>
      <c r="J70" s="20"/>
      <c r="K70" s="18"/>
      <c r="L70" s="22"/>
    </row>
    <row r="71" spans="1:12" x14ac:dyDescent="0.3">
      <c r="A71" s="33">
        <v>25</v>
      </c>
      <c r="B71" s="33" t="s">
        <v>2170</v>
      </c>
      <c r="C71" s="34" t="s">
        <v>618</v>
      </c>
      <c r="D71" s="51" t="s">
        <v>484</v>
      </c>
      <c r="E71" s="61" t="str">
        <f>IFERROR(VLOOKUP(D71,'Master List'!D:H,2,FALSE),"NA")</f>
        <v>430102</v>
      </c>
      <c r="F71" s="62" t="str">
        <f>IFERROR(VLOOKUP(D71,'Master List'!D:H,3,FALSE),"NA")</f>
        <v>430102</v>
      </c>
      <c r="G71" s="58" t="str">
        <f>IFERROR(VLOOKUP(D71,'Master List'!D:H,4,FALSE),"NA")</f>
        <v>430102</v>
      </c>
      <c r="H71" s="39" t="str">
        <f>IFERROR(VLOOKUP(D71,'Master List'!D:H,5,FALSE),"NA")</f>
        <v>Corrections.</v>
      </c>
      <c r="I71" s="19"/>
      <c r="J71" s="20"/>
      <c r="K71" s="18"/>
      <c r="L71" s="22"/>
    </row>
    <row r="72" spans="1:12" x14ac:dyDescent="0.3">
      <c r="A72" s="33">
        <v>25</v>
      </c>
      <c r="B72" s="33" t="s">
        <v>2170</v>
      </c>
      <c r="C72" s="34" t="s">
        <v>618</v>
      </c>
      <c r="D72" s="51" t="s">
        <v>316</v>
      </c>
      <c r="E72" s="61" t="str">
        <f>IFERROR(VLOOKUP(D72,'Master List'!D:H,2,FALSE),"NA")</f>
        <v>430103</v>
      </c>
      <c r="F72" s="62" t="str">
        <f>IFERROR(VLOOKUP(D72,'Master List'!D:H,3,FALSE),"NA")</f>
        <v>430103</v>
      </c>
      <c r="G72" s="58" t="str">
        <f>IFERROR(VLOOKUP(D72,'Master List'!D:H,4,FALSE),"NA")</f>
        <v>430103</v>
      </c>
      <c r="H72" s="39" t="str">
        <f>IFERROR(VLOOKUP(D72,'Master List'!D:H,5,FALSE),"NA")</f>
        <v>Criminal Justice/Law Enforcement Administration.</v>
      </c>
      <c r="I72" s="19"/>
      <c r="J72" s="20"/>
      <c r="K72" s="18"/>
      <c r="L72" s="22"/>
    </row>
    <row r="73" spans="1:12" x14ac:dyDescent="0.3">
      <c r="A73" s="33">
        <v>25</v>
      </c>
      <c r="B73" s="33" t="s">
        <v>2170</v>
      </c>
      <c r="C73" s="34" t="s">
        <v>618</v>
      </c>
      <c r="D73" s="51" t="s">
        <v>71</v>
      </c>
      <c r="E73" s="61" t="str">
        <f>IFERROR(VLOOKUP(D73,'Master List'!D:H,2,FALSE),"NA")</f>
        <v>430107</v>
      </c>
      <c r="F73" s="62" t="str">
        <f>IFERROR(VLOOKUP(D73,'Master List'!D:H,3,FALSE),"NA")</f>
        <v>430107</v>
      </c>
      <c r="G73" s="58" t="str">
        <f>IFERROR(VLOOKUP(D73,'Master List'!D:H,4,FALSE),"NA")</f>
        <v>430107</v>
      </c>
      <c r="H73" s="39" t="str">
        <f>IFERROR(VLOOKUP(D73,'Master List'!D:H,5,FALSE),"NA")</f>
        <v>Criminal Justice/Police Science.</v>
      </c>
      <c r="I73" s="19"/>
      <c r="J73" s="20"/>
      <c r="K73" s="18"/>
      <c r="L73" s="22"/>
    </row>
    <row r="74" spans="1:12" x14ac:dyDescent="0.3">
      <c r="A74" s="33">
        <v>25</v>
      </c>
      <c r="B74" s="33" t="s">
        <v>2170</v>
      </c>
      <c r="C74" s="34" t="s">
        <v>618</v>
      </c>
      <c r="D74" s="51" t="s">
        <v>74</v>
      </c>
      <c r="E74" s="61" t="str">
        <f>IFERROR(VLOOKUP(D74,'Master List'!D:H,2,FALSE),"NA")</f>
        <v>430107</v>
      </c>
      <c r="F74" s="62" t="str">
        <f>IFERROR(VLOOKUP(D74,'Master List'!D:H,3,FALSE),"NA")</f>
        <v>430107</v>
      </c>
      <c r="G74" s="58" t="str">
        <f>IFERROR(VLOOKUP(D74,'Master List'!D:H,4,FALSE),"NA")</f>
        <v>430107</v>
      </c>
      <c r="H74" s="39" t="str">
        <f>IFERROR(VLOOKUP(D74,'Master List'!D:H,5,FALSE),"NA")</f>
        <v>Criminal Justice/Police Science.</v>
      </c>
      <c r="I74" s="19"/>
      <c r="J74" s="20"/>
      <c r="K74" s="18"/>
      <c r="L74" s="22"/>
    </row>
    <row r="75" spans="1:12" x14ac:dyDescent="0.3">
      <c r="A75" s="33">
        <v>25</v>
      </c>
      <c r="B75" s="33" t="s">
        <v>2170</v>
      </c>
      <c r="C75" s="34" t="s">
        <v>618</v>
      </c>
      <c r="D75" s="51" t="s">
        <v>575</v>
      </c>
      <c r="E75" s="61" t="str">
        <f>IFERROR(VLOOKUP(D75,'Master List'!D:H,2,FALSE),"NA")</f>
        <v>430112</v>
      </c>
      <c r="F75" s="62" t="str">
        <f>IFERROR(VLOOKUP(D75,'Master List'!D:H,3,FALSE),"NA")</f>
        <v>430112</v>
      </c>
      <c r="G75" s="58" t="str">
        <f>IFERROR(VLOOKUP(D75,'Master List'!D:H,4,FALSE),"NA")</f>
        <v>430112</v>
      </c>
      <c r="H75" s="39" t="str">
        <f>IFERROR(VLOOKUP(D75,'Master List'!D:H,5,FALSE),"NA")</f>
        <v>Securities Services Administration/Management.</v>
      </c>
      <c r="I75" s="19"/>
      <c r="J75" s="20"/>
      <c r="K75" s="18"/>
      <c r="L75" s="22"/>
    </row>
    <row r="76" spans="1:12" x14ac:dyDescent="0.3">
      <c r="A76" s="33">
        <v>25</v>
      </c>
      <c r="B76" s="33" t="s">
        <v>2170</v>
      </c>
      <c r="C76" s="34" t="s">
        <v>618</v>
      </c>
      <c r="D76" s="51" t="s">
        <v>578</v>
      </c>
      <c r="E76" s="61" t="str">
        <f>IFERROR(VLOOKUP(D76,'Master List'!D:H,2,FALSE),"NA")</f>
        <v>430201</v>
      </c>
      <c r="F76" s="62" t="str">
        <f>IFERROR(VLOOKUP(D76,'Master List'!D:H,3,FALSE),"NA")</f>
        <v>430201</v>
      </c>
      <c r="G76" s="58" t="str">
        <f>IFERROR(VLOOKUP(D76,'Master List'!D:H,4,FALSE),"NA")</f>
        <v>430201</v>
      </c>
      <c r="H76" s="39" t="str">
        <f>IFERROR(VLOOKUP(D76,'Master List'!D:H,5,FALSE),"NA")</f>
        <v>Fire Prevention and Safety Technology/Technician.</v>
      </c>
      <c r="I76" s="19"/>
      <c r="J76" s="20"/>
      <c r="K76" s="18"/>
      <c r="L76" s="22"/>
    </row>
    <row r="77" spans="1:12" x14ac:dyDescent="0.3">
      <c r="A77" s="33">
        <v>25</v>
      </c>
      <c r="B77" s="33" t="s">
        <v>2170</v>
      </c>
      <c r="C77" s="34" t="s">
        <v>618</v>
      </c>
      <c r="D77" s="51" t="s">
        <v>318</v>
      </c>
      <c r="E77" s="61" t="str">
        <f>IFERROR(VLOOKUP(D77,'Master List'!D:H,2,FALSE),"NA")</f>
        <v>430203</v>
      </c>
      <c r="F77" s="62" t="str">
        <f>IFERROR(VLOOKUP(D77,'Master List'!D:H,3,FALSE),"NA")</f>
        <v>430203</v>
      </c>
      <c r="G77" s="58" t="str">
        <f>IFERROR(VLOOKUP(D77,'Master List'!D:H,4,FALSE),"NA")</f>
        <v>430203</v>
      </c>
      <c r="H77" s="39" t="str">
        <f>IFERROR(VLOOKUP(D77,'Master List'!D:H,5,FALSE),"NA")</f>
        <v>Fire Science/Fire-fighting.</v>
      </c>
      <c r="I77" s="19"/>
      <c r="J77" s="20"/>
      <c r="K77" s="18"/>
      <c r="L77" s="22"/>
    </row>
    <row r="78" spans="1:12" x14ac:dyDescent="0.3">
      <c r="A78" s="33">
        <v>25</v>
      </c>
      <c r="B78" s="33" t="s">
        <v>2170</v>
      </c>
      <c r="C78" s="34" t="s">
        <v>618</v>
      </c>
      <c r="D78" s="51" t="s">
        <v>485</v>
      </c>
      <c r="E78" s="61" t="str">
        <f>IFERROR(VLOOKUP(D78,'Master List'!D:H,2,FALSE),"NA")</f>
        <v>430203</v>
      </c>
      <c r="F78" s="62" t="str">
        <f>IFERROR(VLOOKUP(D78,'Master List'!D:H,3,FALSE),"NA")</f>
        <v>430203</v>
      </c>
      <c r="G78" s="58" t="str">
        <f>IFERROR(VLOOKUP(D78,'Master List'!D:H,4,FALSE),"NA")</f>
        <v>430203</v>
      </c>
      <c r="H78" s="39" t="str">
        <f>IFERROR(VLOOKUP(D78,'Master List'!D:H,5,FALSE),"NA")</f>
        <v>Fire Science/Fire-fighting.</v>
      </c>
      <c r="I78" s="19"/>
      <c r="J78" s="20"/>
      <c r="K78" s="18"/>
      <c r="L78" s="22"/>
    </row>
    <row r="79" spans="1:12" x14ac:dyDescent="0.3">
      <c r="A79" s="33">
        <v>25</v>
      </c>
      <c r="B79" s="33" t="s">
        <v>2170</v>
      </c>
      <c r="C79" s="34" t="s">
        <v>618</v>
      </c>
      <c r="D79" s="51" t="s">
        <v>79</v>
      </c>
      <c r="E79" s="61" t="str">
        <f>IFERROR(VLOOKUP(D79,'Master List'!D:H,2,FALSE),"NA")</f>
        <v>520901</v>
      </c>
      <c r="F79" s="62" t="str">
        <f>IFERROR(VLOOKUP(D79,'Master List'!D:H,3,FALSE),"NA")</f>
        <v>520901</v>
      </c>
      <c r="G79" s="58" t="str">
        <f>IFERROR(VLOOKUP(D79,'Master List'!D:H,4,FALSE),"NA")</f>
        <v>520901</v>
      </c>
      <c r="H79" s="39" t="str">
        <f>IFERROR(VLOOKUP(D79,'Master List'!D:H,5,FALSE),"NA")</f>
        <v>Hospitality Administration/Management, General.</v>
      </c>
      <c r="I79" s="19"/>
      <c r="J79" s="20"/>
      <c r="K79" s="18"/>
      <c r="L79" s="22"/>
    </row>
    <row r="80" spans="1:12" x14ac:dyDescent="0.3">
      <c r="A80" s="33">
        <v>25</v>
      </c>
      <c r="B80" s="33" t="s">
        <v>2170</v>
      </c>
      <c r="C80" s="34" t="s">
        <v>618</v>
      </c>
      <c r="D80" s="51" t="s">
        <v>643</v>
      </c>
      <c r="E80" s="61" t="str">
        <f>IFERROR(VLOOKUP(D80,'Master List'!D:H,2,FALSE),"NA")</f>
        <v>521401</v>
      </c>
      <c r="F80" s="62" t="str">
        <f>IFERROR(VLOOKUP(D80,'Master List'!D:H,3,FALSE),"NA")</f>
        <v>521401</v>
      </c>
      <c r="G80" s="58" t="str">
        <f>IFERROR(VLOOKUP(D80,'Master List'!D:H,4,FALSE),"NA")</f>
        <v>521401</v>
      </c>
      <c r="H80" s="39" t="str">
        <f>IFERROR(VLOOKUP(D80,'Master List'!D:H,5,FALSE),"NA")</f>
        <v>Marketing/Marketing Management, General.</v>
      </c>
      <c r="I80" s="19"/>
      <c r="J80" s="20"/>
      <c r="K80" s="18"/>
      <c r="L80" s="22"/>
    </row>
    <row r="81" spans="1:12" x14ac:dyDescent="0.3">
      <c r="A81" s="33">
        <v>25</v>
      </c>
      <c r="B81" s="33" t="s">
        <v>2170</v>
      </c>
      <c r="C81" s="34" t="s">
        <v>618</v>
      </c>
      <c r="D81" s="51" t="s">
        <v>612</v>
      </c>
      <c r="E81" s="61" t="str">
        <f>IFERROR(VLOOKUP(D81,'Master List'!D:H,2,FALSE),"NA")</f>
        <v>510701</v>
      </c>
      <c r="F81" s="62" t="str">
        <f>IFERROR(VLOOKUP(D81,'Master List'!D:H,3,FALSE),"NA")</f>
        <v>510701</v>
      </c>
      <c r="G81" s="58" t="str">
        <f>IFERROR(VLOOKUP(D81,'Master List'!D:H,4,FALSE),"NA")</f>
        <v>510701</v>
      </c>
      <c r="H81" s="39" t="str">
        <f>IFERROR(VLOOKUP(D81,'Master List'!D:H,5,FALSE),"NA")</f>
        <v>Health/Health Care Administration/Management.</v>
      </c>
      <c r="I81" s="19"/>
      <c r="J81" s="20"/>
      <c r="K81" s="18"/>
      <c r="L81" s="22"/>
    </row>
    <row r="82" spans="1:12" x14ac:dyDescent="0.3">
      <c r="A82" s="33">
        <v>25</v>
      </c>
      <c r="B82" s="33" t="s">
        <v>2170</v>
      </c>
      <c r="C82" s="34" t="s">
        <v>618</v>
      </c>
      <c r="D82" s="51" t="s">
        <v>325</v>
      </c>
      <c r="E82" s="61" t="str">
        <f>IFERROR(VLOOKUP(D82,'Master List'!D:H,2,FALSE),"NA")</f>
        <v>510707</v>
      </c>
      <c r="F82" s="62" t="str">
        <f>IFERROR(VLOOKUP(D82,'Master List'!D:H,3,FALSE),"NA")</f>
        <v>510707</v>
      </c>
      <c r="G82" s="58" t="str">
        <f>IFERROR(VLOOKUP(D82,'Master List'!D:H,4,FALSE),"NA")</f>
        <v>510707</v>
      </c>
      <c r="H82" s="39" t="str">
        <f>IFERROR(VLOOKUP(D82,'Master List'!D:H,5,FALSE),"NA")</f>
        <v>Health Information/Medical Records Technology/Technician.</v>
      </c>
      <c r="I82" s="19"/>
      <c r="J82" s="20"/>
      <c r="K82" s="18"/>
      <c r="L82" s="22"/>
    </row>
    <row r="83" spans="1:12" x14ac:dyDescent="0.3">
      <c r="A83" s="33">
        <v>25</v>
      </c>
      <c r="B83" s="33" t="s">
        <v>2170</v>
      </c>
      <c r="C83" s="34" t="s">
        <v>618</v>
      </c>
      <c r="D83" s="51" t="s">
        <v>597</v>
      </c>
      <c r="E83" s="61" t="str">
        <f>IFERROR(VLOOKUP(D83,'Master List'!D:H,2,FALSE),"NA")</f>
        <v>510805</v>
      </c>
      <c r="F83" s="62" t="str">
        <f>IFERROR(VLOOKUP(D83,'Master List'!D:H,3,FALSE),"NA")</f>
        <v>510805</v>
      </c>
      <c r="G83" s="58" t="str">
        <f>IFERROR(VLOOKUP(D83,'Master List'!D:H,4,FALSE),"NA")</f>
        <v>510805</v>
      </c>
      <c r="H83" s="39" t="str">
        <f>IFERROR(VLOOKUP(D83,'Master List'!D:H,5,FALSE),"NA")</f>
        <v>Pharmacy Technician/Assistant.</v>
      </c>
      <c r="I83" s="19"/>
      <c r="J83" s="20"/>
      <c r="K83" s="18"/>
      <c r="L83" s="22"/>
    </row>
    <row r="84" spans="1:12" x14ac:dyDescent="0.3">
      <c r="A84" s="33">
        <v>25</v>
      </c>
      <c r="B84" s="33" t="s">
        <v>2170</v>
      </c>
      <c r="C84" s="34" t="s">
        <v>618</v>
      </c>
      <c r="D84" s="51" t="s">
        <v>87</v>
      </c>
      <c r="E84" s="61" t="str">
        <f>IFERROR(VLOOKUP(D84,'Master List'!D:H,2,FALSE),"NA")</f>
        <v>510806</v>
      </c>
      <c r="F84" s="62" t="str">
        <f>IFERROR(VLOOKUP(D84,'Master List'!D:H,3,FALSE),"NA")</f>
        <v>510806</v>
      </c>
      <c r="G84" s="58" t="str">
        <f>IFERROR(VLOOKUP(D84,'Master List'!D:H,4,FALSE),"NA")</f>
        <v>510806</v>
      </c>
      <c r="H84" s="39" t="str">
        <f>IFERROR(VLOOKUP(D84,'Master List'!D:H,5,FALSE),"NA")</f>
        <v>Physical Therapy Assistant.</v>
      </c>
      <c r="I84" s="19"/>
      <c r="J84" s="20"/>
      <c r="K84" s="18"/>
      <c r="L84" s="22"/>
    </row>
    <row r="85" spans="1:12" x14ac:dyDescent="0.3">
      <c r="A85" s="33">
        <v>25</v>
      </c>
      <c r="B85" s="33" t="s">
        <v>2170</v>
      </c>
      <c r="C85" s="34" t="s">
        <v>618</v>
      </c>
      <c r="D85" s="51" t="s">
        <v>90</v>
      </c>
      <c r="E85" s="61" t="str">
        <f>IFERROR(VLOOKUP(D85,'Master List'!D:H,2,FALSE),"NA")</f>
        <v>510904</v>
      </c>
      <c r="F85" s="62" t="str">
        <f>IFERROR(VLOOKUP(D85,'Master List'!D:H,3,FALSE),"NA")</f>
        <v>510904</v>
      </c>
      <c r="G85" s="58" t="str">
        <f>IFERROR(VLOOKUP(D85,'Master List'!D:H,4,FALSE),"NA")</f>
        <v>510904</v>
      </c>
      <c r="H85" s="39" t="str">
        <f>IFERROR(VLOOKUP(D85,'Master List'!D:H,5,FALSE),"NA")</f>
        <v>Emergency Medical Technology/Technician (EMT Paramedic).</v>
      </c>
      <c r="I85" s="19"/>
      <c r="J85" s="20"/>
      <c r="K85" s="18"/>
      <c r="L85" s="22"/>
    </row>
    <row r="86" spans="1:12" x14ac:dyDescent="0.3">
      <c r="A86" s="33">
        <v>25</v>
      </c>
      <c r="B86" s="33" t="s">
        <v>2170</v>
      </c>
      <c r="C86" s="34" t="s">
        <v>618</v>
      </c>
      <c r="D86" s="51" t="s">
        <v>94</v>
      </c>
      <c r="E86" s="61" t="str">
        <f>IFERROR(VLOOKUP(D86,'Master List'!D:H,2,FALSE),"NA")</f>
        <v>510908</v>
      </c>
      <c r="F86" s="62" t="str">
        <f>IFERROR(VLOOKUP(D86,'Master List'!D:H,3,FALSE),"NA")</f>
        <v>510908</v>
      </c>
      <c r="G86" s="58" t="str">
        <f>IFERROR(VLOOKUP(D86,'Master List'!D:H,4,FALSE),"NA")</f>
        <v>510908</v>
      </c>
      <c r="H86" s="39" t="str">
        <f>IFERROR(VLOOKUP(D86,'Master List'!D:H,5,FALSE),"NA")</f>
        <v>Respiratory Care Therapy/Therapist.</v>
      </c>
      <c r="I86" s="19"/>
      <c r="J86" s="20"/>
      <c r="K86" s="18"/>
      <c r="L86" s="22"/>
    </row>
    <row r="87" spans="1:12" x14ac:dyDescent="0.3">
      <c r="A87" s="33">
        <v>25</v>
      </c>
      <c r="B87" s="33" t="s">
        <v>2170</v>
      </c>
      <c r="C87" s="34" t="s">
        <v>618</v>
      </c>
      <c r="D87" s="51" t="s">
        <v>101</v>
      </c>
      <c r="E87" s="61" t="str">
        <f>IFERROR(VLOOKUP(D87,'Master List'!D:H,2,FALSE),"NA")</f>
        <v>513801</v>
      </c>
      <c r="F87" s="62" t="str">
        <f>IFERROR(VLOOKUP(D87,'Master List'!D:H,3,FALSE),"NA")</f>
        <v>513801</v>
      </c>
      <c r="G87" s="58" t="str">
        <f>IFERROR(VLOOKUP(D87,'Master List'!D:H,4,FALSE),"NA")</f>
        <v>513801</v>
      </c>
      <c r="H87" s="39" t="str">
        <f>IFERROR(VLOOKUP(D87,'Master List'!D:H,5,FALSE),"NA")</f>
        <v>Registered Nursing/Registered Nurse.</v>
      </c>
      <c r="I87" s="19"/>
      <c r="J87" s="20"/>
      <c r="K87" s="18"/>
      <c r="L87" s="22"/>
    </row>
    <row r="88" spans="1:12" x14ac:dyDescent="0.3">
      <c r="A88" s="33">
        <v>25</v>
      </c>
      <c r="B88" s="33" t="s">
        <v>2170</v>
      </c>
      <c r="C88" s="34" t="s">
        <v>618</v>
      </c>
      <c r="D88" s="51" t="s">
        <v>400</v>
      </c>
      <c r="E88" s="61" t="str">
        <f>IFERROR(VLOOKUP(D88,'Master List'!D:H,2,FALSE),"NA")</f>
        <v>131210</v>
      </c>
      <c r="F88" s="62" t="str">
        <f>IFERROR(VLOOKUP(D88,'Master List'!D:H,3,FALSE),"NA")</f>
        <v>131210</v>
      </c>
      <c r="G88" s="58" t="str">
        <f>IFERROR(VLOOKUP(D88,'Master List'!D:H,4,FALSE),"NA")</f>
        <v>131210</v>
      </c>
      <c r="H88" s="39" t="str">
        <f>IFERROR(VLOOKUP(D88,'Master List'!D:H,5,FALSE),"NA")</f>
        <v>Early Childhood Education and Teaching.</v>
      </c>
      <c r="I88" s="19"/>
      <c r="J88" s="20"/>
      <c r="K88" s="18"/>
      <c r="L88" s="22"/>
    </row>
    <row r="89" spans="1:12" x14ac:dyDescent="0.3">
      <c r="A89" s="33">
        <v>25</v>
      </c>
      <c r="B89" s="33" t="s">
        <v>2170</v>
      </c>
      <c r="C89" s="34" t="s">
        <v>618</v>
      </c>
      <c r="D89" s="51" t="s">
        <v>345</v>
      </c>
      <c r="E89" s="61" t="str">
        <f>IFERROR(VLOOKUP(D89,'Master List'!D:H,2,FALSE),"NA")</f>
        <v>500408</v>
      </c>
      <c r="F89" s="62" t="str">
        <f>IFERROR(VLOOKUP(D89,'Master List'!D:H,3,FALSE),"NA")</f>
        <v>500408</v>
      </c>
      <c r="G89" s="58" t="str">
        <f>IFERROR(VLOOKUP(D89,'Master List'!D:H,4,FALSE),"NA")</f>
        <v>500408</v>
      </c>
      <c r="H89" s="39" t="str">
        <f>IFERROR(VLOOKUP(D89,'Master List'!D:H,5,FALSE),"NA")</f>
        <v>Interior Design.</v>
      </c>
      <c r="I89" s="19"/>
      <c r="J89" s="20"/>
      <c r="K89" s="18"/>
      <c r="L89" s="22"/>
    </row>
    <row r="90" spans="1:12" x14ac:dyDescent="0.3">
      <c r="A90" s="33">
        <v>25</v>
      </c>
      <c r="B90" s="33" t="s">
        <v>2170</v>
      </c>
      <c r="C90" s="34" t="s">
        <v>618</v>
      </c>
      <c r="D90" s="51" t="s">
        <v>170</v>
      </c>
      <c r="E90" s="61" t="str">
        <f>IFERROR(VLOOKUP(D90,'Master List'!D:H,2,FALSE),"NA")</f>
        <v>110201</v>
      </c>
      <c r="F90" s="62" t="str">
        <f>IFERROR(VLOOKUP(D90,'Master List'!D:H,3,FALSE),"NA")</f>
        <v>110201</v>
      </c>
      <c r="G90" s="58" t="str">
        <f>IFERROR(VLOOKUP(D90,'Master List'!D:H,4,FALSE),"NA")</f>
        <v>110201</v>
      </c>
      <c r="H90" s="39" t="str">
        <f>IFERROR(VLOOKUP(D90,'Master List'!D:H,5,FALSE),"NA")</f>
        <v>Computer Programming/Programmer, General.</v>
      </c>
      <c r="I90" s="19"/>
      <c r="J90" s="20"/>
      <c r="K90" s="18"/>
      <c r="L90" s="22"/>
    </row>
    <row r="91" spans="1:12" x14ac:dyDescent="0.3">
      <c r="A91" s="33">
        <v>25</v>
      </c>
      <c r="B91" s="33" t="s">
        <v>2170</v>
      </c>
      <c r="C91" s="34" t="s">
        <v>618</v>
      </c>
      <c r="D91" s="51" t="s">
        <v>106</v>
      </c>
      <c r="E91" s="61" t="str">
        <f>IFERROR(VLOOKUP(D91,'Master List'!D:H,2,FALSE),"NA")</f>
        <v>111001</v>
      </c>
      <c r="F91" s="62" t="str">
        <f>IFERROR(VLOOKUP(D91,'Master List'!D:H,3,FALSE),"NA")</f>
        <v>111001</v>
      </c>
      <c r="G91" s="58" t="str">
        <f>IFERROR(VLOOKUP(D91,'Master List'!D:H,4,FALSE),"NA")</f>
        <v>111001</v>
      </c>
      <c r="H91" s="39" t="str">
        <f>IFERROR(VLOOKUP(D91,'Master List'!D:H,5,FALSE),"NA")</f>
        <v>Network and System Administration/Administrator.</v>
      </c>
      <c r="I91" s="19"/>
      <c r="J91" s="20"/>
      <c r="K91" s="18"/>
      <c r="L91" s="22"/>
    </row>
    <row r="92" spans="1:12" x14ac:dyDescent="0.3">
      <c r="A92" s="33">
        <v>25</v>
      </c>
      <c r="B92" s="33" t="s">
        <v>2170</v>
      </c>
      <c r="C92" s="34" t="s">
        <v>618</v>
      </c>
      <c r="D92" s="51" t="s">
        <v>107</v>
      </c>
      <c r="E92" s="61" t="str">
        <f>IFERROR(VLOOKUP(D92,'Master List'!D:H,2,FALSE),"NA")</f>
        <v>520201</v>
      </c>
      <c r="F92" s="62" t="str">
        <f>IFERROR(VLOOKUP(D92,'Master List'!D:H,3,FALSE),"NA")</f>
        <v>520201</v>
      </c>
      <c r="G92" s="58" t="str">
        <f>IFERROR(VLOOKUP(D92,'Master List'!D:H,4,FALSE),"NA")</f>
        <v>520201</v>
      </c>
      <c r="H92" s="39" t="str">
        <f>IFERROR(VLOOKUP(D92,'Master List'!D:H,5,FALSE),"NA")</f>
        <v>Business Administration and Management, General.</v>
      </c>
      <c r="I92" s="19"/>
      <c r="J92" s="20"/>
      <c r="K92" s="18"/>
      <c r="L92" s="22"/>
    </row>
    <row r="93" spans="1:12" x14ac:dyDescent="0.3">
      <c r="A93" s="33">
        <v>25</v>
      </c>
      <c r="B93" s="33" t="s">
        <v>2170</v>
      </c>
      <c r="C93" s="34" t="s">
        <v>618</v>
      </c>
      <c r="D93" s="51" t="s">
        <v>351</v>
      </c>
      <c r="E93" s="61" t="str">
        <f>IFERROR(VLOOKUP(D93,'Master List'!D:H,2,FALSE),"NA")</f>
        <v>520204</v>
      </c>
      <c r="F93" s="62" t="str">
        <f>IFERROR(VLOOKUP(D93,'Master List'!D:H,3,FALSE),"NA")</f>
        <v>520204</v>
      </c>
      <c r="G93" s="58" t="str">
        <f>IFERROR(VLOOKUP(D93,'Master List'!D:H,4,FALSE),"NA")</f>
        <v>520204</v>
      </c>
      <c r="H93" s="39" t="str">
        <f>IFERROR(VLOOKUP(D93,'Master List'!D:H,5,FALSE),"NA")</f>
        <v>Office Management and Supervision.</v>
      </c>
      <c r="I93" s="19"/>
      <c r="J93" s="20"/>
      <c r="K93" s="18"/>
      <c r="L93" s="22"/>
    </row>
    <row r="94" spans="1:12" x14ac:dyDescent="0.3">
      <c r="A94" s="33">
        <v>25</v>
      </c>
      <c r="B94" s="33" t="s">
        <v>2170</v>
      </c>
      <c r="C94" s="34" t="s">
        <v>618</v>
      </c>
      <c r="D94" s="51" t="s">
        <v>110</v>
      </c>
      <c r="E94" s="61" t="str">
        <f>IFERROR(VLOOKUP(D94,'Master List'!D:H,2,FALSE),"NA")</f>
        <v>520302</v>
      </c>
      <c r="F94" s="62" t="str">
        <f>IFERROR(VLOOKUP(D94,'Master List'!D:H,3,FALSE),"NA")</f>
        <v>520302</v>
      </c>
      <c r="G94" s="58" t="str">
        <f>IFERROR(VLOOKUP(D94,'Master List'!D:H,4,FALSE),"NA")</f>
        <v>520302</v>
      </c>
      <c r="H94" s="39" t="str">
        <f>IFERROR(VLOOKUP(D94,'Master List'!D:H,5,FALSE),"NA")</f>
        <v>Accounting Technology/Technician and Bookkeeping.</v>
      </c>
      <c r="I94" s="19"/>
      <c r="J94" s="20"/>
      <c r="K94" s="18"/>
      <c r="L94" s="22"/>
    </row>
    <row r="95" spans="1:12" x14ac:dyDescent="0.3">
      <c r="A95" s="33">
        <v>25</v>
      </c>
      <c r="B95" s="33" t="s">
        <v>2170</v>
      </c>
      <c r="C95" s="34" t="s">
        <v>618</v>
      </c>
      <c r="D95" s="51" t="s">
        <v>111</v>
      </c>
      <c r="E95" s="61" t="str">
        <f>IFERROR(VLOOKUP(D95,'Master List'!D:H,2,FALSE),"NA")</f>
        <v>520703</v>
      </c>
      <c r="F95" s="62" t="str">
        <f>IFERROR(VLOOKUP(D95,'Master List'!D:H,3,FALSE),"NA")</f>
        <v>520703</v>
      </c>
      <c r="G95" s="58" t="str">
        <f>IFERROR(VLOOKUP(D95,'Master List'!D:H,4,FALSE),"NA")</f>
        <v>520703</v>
      </c>
      <c r="H95" s="39" t="str">
        <f>IFERROR(VLOOKUP(D95,'Master List'!D:H,5,FALSE),"NA")</f>
        <v>Small Business Administration/Management.</v>
      </c>
      <c r="I95" s="19"/>
      <c r="J95" s="20"/>
      <c r="K95" s="18"/>
      <c r="L95" s="22"/>
    </row>
    <row r="96" spans="1:12" x14ac:dyDescent="0.3">
      <c r="A96" s="33">
        <v>25</v>
      </c>
      <c r="B96" s="33" t="s">
        <v>2170</v>
      </c>
      <c r="C96" s="34" t="s">
        <v>618</v>
      </c>
      <c r="D96" s="51" t="s">
        <v>465</v>
      </c>
      <c r="E96" s="61" t="str">
        <f>IFERROR(VLOOKUP(D96,'Master List'!D:H,2,FALSE),"NA")</f>
        <v>090702</v>
      </c>
      <c r="F96" s="62" t="str">
        <f>IFERROR(VLOOKUP(D96,'Master List'!D:H,3,FALSE),"NA")</f>
        <v>090702</v>
      </c>
      <c r="G96" s="58" t="str">
        <f>IFERROR(VLOOKUP(D96,'Master List'!D:H,4,FALSE),"NA")</f>
        <v>090702</v>
      </c>
      <c r="H96" s="39" t="str">
        <f>IFERROR(VLOOKUP(D96,'Master List'!D:H,5,FALSE),"NA")</f>
        <v>Digital Communication and Media/Multimedia.</v>
      </c>
      <c r="I96" s="19"/>
      <c r="J96" s="20"/>
      <c r="K96" s="18"/>
      <c r="L96" s="22"/>
    </row>
    <row r="97" spans="1:12" x14ac:dyDescent="0.3">
      <c r="A97" s="33">
        <v>25</v>
      </c>
      <c r="B97" s="33" t="s">
        <v>2170</v>
      </c>
      <c r="C97" s="34" t="s">
        <v>618</v>
      </c>
      <c r="D97" s="51" t="s">
        <v>583</v>
      </c>
      <c r="E97" s="61" t="str">
        <f>IFERROR(VLOOKUP(D97,'Master List'!D:H,2,FALSE),"NA")</f>
        <v>110803</v>
      </c>
      <c r="F97" s="62" t="str">
        <f>IFERROR(VLOOKUP(D97,'Master List'!D:H,3,FALSE),"NA")</f>
        <v>110803</v>
      </c>
      <c r="G97" s="58" t="str">
        <f>IFERROR(VLOOKUP(D97,'Master List'!D:H,4,FALSE),"NA")</f>
        <v>110803</v>
      </c>
      <c r="H97" s="39" t="str">
        <f>IFERROR(VLOOKUP(D97,'Master List'!D:H,5,FALSE),"NA")</f>
        <v>Computer Graphics.</v>
      </c>
      <c r="I97" s="19"/>
      <c r="J97" s="20"/>
      <c r="K97" s="18"/>
      <c r="L97" s="22"/>
    </row>
    <row r="98" spans="1:12" x14ac:dyDescent="0.3">
      <c r="A98" s="33">
        <v>25</v>
      </c>
      <c r="B98" s="33" t="s">
        <v>2170</v>
      </c>
      <c r="C98" s="34" t="s">
        <v>618</v>
      </c>
      <c r="D98" s="51" t="s">
        <v>120</v>
      </c>
      <c r="E98" s="61" t="str">
        <f>IFERROR(VLOOKUP(D98,'Master List'!D:H,2,FALSE),"NA")</f>
        <v>150000</v>
      </c>
      <c r="F98" s="62" t="str">
        <f>IFERROR(VLOOKUP(D98,'Master List'!D:H,3,FALSE),"NA")</f>
        <v>150000</v>
      </c>
      <c r="G98" s="58" t="str">
        <f>IFERROR(VLOOKUP(D98,'Master List'!D:H,4,FALSE),"NA")</f>
        <v>150000</v>
      </c>
      <c r="H98" s="39" t="str">
        <f>IFERROR(VLOOKUP(D98,'Master List'!D:H,5,FALSE),"NA")</f>
        <v>Engineering Technologies/Technicians, General.</v>
      </c>
      <c r="I98" s="19"/>
      <c r="J98" s="20"/>
      <c r="K98" s="18"/>
      <c r="L98" s="22"/>
    </row>
    <row r="99" spans="1:12" x14ac:dyDescent="0.3">
      <c r="A99" s="33">
        <v>25</v>
      </c>
      <c r="B99" s="33" t="s">
        <v>2170</v>
      </c>
      <c r="C99" s="34" t="s">
        <v>618</v>
      </c>
      <c r="D99" s="51" t="s">
        <v>405</v>
      </c>
      <c r="E99" s="61" t="str">
        <f>IFERROR(VLOOKUP(D99,'Master List'!D:H,2,FALSE),"NA")</f>
        <v>151301</v>
      </c>
      <c r="F99" s="62" t="str">
        <f>IFERROR(VLOOKUP(D99,'Master List'!D:H,3,FALSE),"NA")</f>
        <v>151301</v>
      </c>
      <c r="G99" s="58">
        <f>IFERROR(VLOOKUP(D99,'Master List'!D:H,4,FALSE),"NA")</f>
        <v>151302</v>
      </c>
      <c r="H99" s="39" t="str">
        <f>IFERROR(VLOOKUP(D99,'Master List'!D:H,5,FALSE),"NA")</f>
        <v>CAD/CADD Drafting and/or Design Technology/Technician</v>
      </c>
      <c r="I99" s="19"/>
      <c r="J99" s="20"/>
      <c r="K99" s="18"/>
      <c r="L99" s="22"/>
    </row>
    <row r="100" spans="1:12" x14ac:dyDescent="0.3">
      <c r="A100" s="33">
        <v>25</v>
      </c>
      <c r="B100" s="33" t="s">
        <v>2170</v>
      </c>
      <c r="C100" s="34" t="s">
        <v>618</v>
      </c>
      <c r="D100" s="51" t="s">
        <v>406</v>
      </c>
      <c r="E100" s="61" t="str">
        <f>IFERROR(VLOOKUP(D100,'Master List'!D:H,2,FALSE),"NA")</f>
        <v>410301</v>
      </c>
      <c r="F100" s="62" t="str">
        <f>IFERROR(VLOOKUP(D100,'Master List'!D:H,3,FALSE),"NA")</f>
        <v>410301</v>
      </c>
      <c r="G100" s="58" t="str">
        <f>IFERROR(VLOOKUP(D100,'Master List'!D:H,4,FALSE),"NA")</f>
        <v>410301</v>
      </c>
      <c r="H100" s="39" t="str">
        <f>IFERROR(VLOOKUP(D100,'Master List'!D:H,5,FALSE),"NA")</f>
        <v>Chemical Technology/Technician.</v>
      </c>
      <c r="I100" s="19"/>
      <c r="J100" s="20"/>
      <c r="K100" s="18"/>
      <c r="L100" s="22"/>
    </row>
    <row r="101" spans="1:12" x14ac:dyDescent="0.3">
      <c r="A101" s="33">
        <v>25</v>
      </c>
      <c r="B101" s="33" t="s">
        <v>2170</v>
      </c>
      <c r="C101" s="34" t="s">
        <v>618</v>
      </c>
      <c r="D101" s="51" t="s">
        <v>644</v>
      </c>
      <c r="E101" s="61" t="str">
        <f>IFERROR(VLOOKUP(D101,'Master List'!D:H,2,FALSE),"NA")</f>
        <v>460412</v>
      </c>
      <c r="F101" s="62" t="str">
        <f>IFERROR(VLOOKUP(D101,'Master List'!D:H,3,FALSE),"NA")</f>
        <v>460412</v>
      </c>
      <c r="G101" s="58" t="str">
        <f>IFERROR(VLOOKUP(D101,'Master List'!D:H,4,FALSE),"NA")</f>
        <v>460412</v>
      </c>
      <c r="H101" s="39" t="str">
        <f>IFERROR(VLOOKUP(D101,'Master List'!D:H,5,FALSE),"NA")</f>
        <v>Building/Construction Site Management/Manager.</v>
      </c>
      <c r="I101" s="19"/>
      <c r="J101" s="20"/>
      <c r="K101" s="18"/>
      <c r="L101" s="22"/>
    </row>
    <row r="102" spans="1:12" x14ac:dyDescent="0.3">
      <c r="A102" s="33">
        <v>25</v>
      </c>
      <c r="B102" s="33" t="s">
        <v>2170</v>
      </c>
      <c r="C102" s="34" t="s">
        <v>618</v>
      </c>
      <c r="D102" s="51" t="s">
        <v>367</v>
      </c>
      <c r="E102" s="61" t="str">
        <f>IFERROR(VLOOKUP(D102,'Master List'!D:H,2,FALSE),"NA")</f>
        <v>520205</v>
      </c>
      <c r="F102" s="62" t="str">
        <f>IFERROR(VLOOKUP(D102,'Master List'!D:H,3,FALSE),"NA")</f>
        <v>520205</v>
      </c>
      <c r="G102" s="58" t="str">
        <f>IFERROR(VLOOKUP(D102,'Master List'!D:H,4,FALSE),"NA")</f>
        <v>520205</v>
      </c>
      <c r="H102" s="39" t="str">
        <f>IFERROR(VLOOKUP(D102,'Master List'!D:H,5,FALSE),"NA")</f>
        <v>Operations Management and Supervision.</v>
      </c>
      <c r="I102" s="19"/>
      <c r="J102" s="20"/>
      <c r="K102" s="18"/>
      <c r="L102" s="22"/>
    </row>
    <row r="103" spans="1:12" x14ac:dyDescent="0.3">
      <c r="A103" s="33">
        <v>25</v>
      </c>
      <c r="B103" s="33" t="s">
        <v>2170</v>
      </c>
      <c r="C103" s="34" t="s">
        <v>618</v>
      </c>
      <c r="D103" s="51" t="s">
        <v>371</v>
      </c>
      <c r="E103" s="61" t="str">
        <f>IFERROR(VLOOKUP(D103,'Master List'!D:H,2,FALSE),"NA")</f>
        <v>520209</v>
      </c>
      <c r="F103" s="62" t="str">
        <f>IFERROR(VLOOKUP(D103,'Master List'!D:H,3,FALSE),"NA")</f>
        <v>520209</v>
      </c>
      <c r="G103" s="58" t="str">
        <f>IFERROR(VLOOKUP(D103,'Master List'!D:H,4,FALSE),"NA")</f>
        <v>520209</v>
      </c>
      <c r="H103" s="39" t="str">
        <f>IFERROR(VLOOKUP(D103,'Master List'!D:H,5,FALSE),"NA")</f>
        <v>Transportation/Mobility Management.</v>
      </c>
      <c r="I103" s="19"/>
      <c r="J103" s="20"/>
      <c r="K103" s="18"/>
      <c r="L103" s="22"/>
    </row>
    <row r="104" spans="1:12" x14ac:dyDescent="0.3">
      <c r="A104" s="33">
        <v>25</v>
      </c>
      <c r="B104" s="33" t="s">
        <v>2170</v>
      </c>
      <c r="C104" s="34" t="s">
        <v>618</v>
      </c>
      <c r="D104" s="51" t="s">
        <v>124</v>
      </c>
      <c r="E104" s="61" t="str">
        <f>IFERROR(VLOOKUP(D104,'Master List'!D:H,2,FALSE),"NA")</f>
        <v>150201</v>
      </c>
      <c r="F104" s="62" t="str">
        <f>IFERROR(VLOOKUP(D104,'Master List'!D:H,3,FALSE),"NA")</f>
        <v>150201</v>
      </c>
      <c r="G104" s="58" t="str">
        <f>IFERROR(VLOOKUP(D104,'Master List'!D:H,4,FALSE),"NA")</f>
        <v>150201</v>
      </c>
      <c r="H104" s="39" t="str">
        <f>IFERROR(VLOOKUP(D104,'Master List'!D:H,5,FALSE),"NA")</f>
        <v>Civil Engineering Technologies/Technicians.</v>
      </c>
      <c r="I104" s="19"/>
      <c r="J104" s="20"/>
      <c r="K104" s="18"/>
      <c r="L104" s="22"/>
    </row>
    <row r="105" spans="1:12" x14ac:dyDescent="0.3">
      <c r="A105" s="33">
        <v>25</v>
      </c>
      <c r="B105" s="33" t="s">
        <v>2170</v>
      </c>
      <c r="C105" s="34" t="s">
        <v>618</v>
      </c>
      <c r="D105" s="51" t="s">
        <v>125</v>
      </c>
      <c r="E105" s="61" t="str">
        <f>IFERROR(VLOOKUP(D105,'Master List'!D:H,2,FALSE),"NA")</f>
        <v>220302</v>
      </c>
      <c r="F105" s="62" t="str">
        <f>IFERROR(VLOOKUP(D105,'Master List'!D:H,3,FALSE),"NA")</f>
        <v>220302</v>
      </c>
      <c r="G105" s="58" t="str">
        <f>IFERROR(VLOOKUP(D105,'Master List'!D:H,4,FALSE),"NA")</f>
        <v>220302</v>
      </c>
      <c r="H105" s="39" t="str">
        <f>IFERROR(VLOOKUP(D105,'Master List'!D:H,5,FALSE),"NA")</f>
        <v>Legal Assistant/Paralegal.</v>
      </c>
      <c r="I105" s="19"/>
      <c r="J105" s="20"/>
      <c r="K105" s="18"/>
      <c r="L105" s="22"/>
    </row>
    <row r="106" spans="1:12" x14ac:dyDescent="0.3">
      <c r="A106" s="33">
        <v>25</v>
      </c>
      <c r="B106" s="33" t="s">
        <v>2170</v>
      </c>
      <c r="C106" s="34" t="s">
        <v>618</v>
      </c>
      <c r="D106" s="51" t="s">
        <v>128</v>
      </c>
      <c r="E106" s="61" t="str">
        <f>IFERROR(VLOOKUP(D106,'Master List'!D:H,2,FALSE),"NA")</f>
        <v>430103</v>
      </c>
      <c r="F106" s="62" t="str">
        <f>IFERROR(VLOOKUP(D106,'Master List'!D:H,3,FALSE),"NA")</f>
        <v>430103</v>
      </c>
      <c r="G106" s="58" t="str">
        <f>IFERROR(VLOOKUP(D106,'Master List'!D:H,4,FALSE),"NA")</f>
        <v>430103</v>
      </c>
      <c r="H106" s="39" t="str">
        <f>IFERROR(VLOOKUP(D106,'Master List'!D:H,5,FALSE),"NA")</f>
        <v>Criminal Justice/Law Enforcement Administration.</v>
      </c>
      <c r="I106" s="19"/>
      <c r="J106" s="20"/>
      <c r="K106" s="18"/>
      <c r="L106" s="22"/>
    </row>
    <row r="107" spans="1:12" x14ac:dyDescent="0.3">
      <c r="A107" s="33">
        <v>25</v>
      </c>
      <c r="B107" s="33" t="s">
        <v>2170</v>
      </c>
      <c r="C107" s="34" t="s">
        <v>618</v>
      </c>
      <c r="D107" s="51" t="s">
        <v>375</v>
      </c>
      <c r="E107" s="61" t="str">
        <f>IFERROR(VLOOKUP(D107,'Master List'!D:H,2,FALSE),"NA")</f>
        <v>430201</v>
      </c>
      <c r="F107" s="62" t="str">
        <f>IFERROR(VLOOKUP(D107,'Master List'!D:H,3,FALSE),"NA")</f>
        <v>430201</v>
      </c>
      <c r="G107" s="58" t="str">
        <f>IFERROR(VLOOKUP(D107,'Master List'!D:H,4,FALSE),"NA")</f>
        <v>430201</v>
      </c>
      <c r="H107" s="39" t="str">
        <f>IFERROR(VLOOKUP(D107,'Master List'!D:H,5,FALSE),"NA")</f>
        <v>Fire Prevention and Safety Technology/Technician.</v>
      </c>
      <c r="I107" s="19"/>
      <c r="J107" s="20"/>
      <c r="K107" s="18"/>
      <c r="L107" s="22"/>
    </row>
  </sheetData>
  <sheetProtection algorithmName="SHA-512" hashValue="JhQg9hEO01kVP7qzpVzhFn9G1Tt2h5TLwLGe2J2TyVakw0LfBAfdXNaZRIlLvWYo8e7t+f/trrvVY+mf3f4sHA==" saltValue="9Ce+bD6eTQMDN6UUUiMMYQ==" spinCount="100000" sheet="1" objects="1" scenarios="1" sort="0" autoFilter="0"/>
  <autoFilter ref="A2:L107"/>
  <mergeCells count="3">
    <mergeCell ref="A1:D1"/>
    <mergeCell ref="E1:H1"/>
    <mergeCell ref="I1:L1"/>
  </mergeCells>
  <dataValidations count="1">
    <dataValidation type="list" allowBlank="1" showInputMessage="1" showErrorMessage="1" sqref="I3:I107">
      <formula1>"Agree,Disagree"</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5.6640625" style="17" customWidth="1"/>
    <col min="5" max="5" width="12" style="54" customWidth="1"/>
    <col min="6" max="6" width="12.5546875" style="54" customWidth="1"/>
    <col min="7" max="7" width="13.5546875" style="54" customWidth="1"/>
    <col min="8" max="8" width="76.6640625" style="25" bestFit="1" customWidth="1"/>
    <col min="9" max="10" width="27" style="17" customWidth="1"/>
    <col min="11" max="11" width="34.88671875" style="17" customWidth="1"/>
    <col min="12" max="12" width="35.6640625" style="17" customWidth="1"/>
    <col min="13" max="16384" width="8.88671875" style="17"/>
  </cols>
  <sheetData>
    <row r="1" spans="1:12" s="27" customFormat="1" ht="78.599999999999994"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2169</v>
      </c>
      <c r="I2" s="15" t="s">
        <v>2151</v>
      </c>
      <c r="J2" s="15" t="s">
        <v>2152</v>
      </c>
      <c r="K2" s="15" t="s">
        <v>5</v>
      </c>
      <c r="L2" s="15" t="s">
        <v>2153</v>
      </c>
    </row>
    <row r="3" spans="1:12" x14ac:dyDescent="0.3">
      <c r="A3" s="33">
        <v>26</v>
      </c>
      <c r="B3" s="33" t="s">
        <v>2171</v>
      </c>
      <c r="C3" s="34" t="s">
        <v>599</v>
      </c>
      <c r="D3" s="51" t="s">
        <v>533</v>
      </c>
      <c r="E3" s="61" t="str">
        <f>IFERROR(VLOOKUP(D3,'Master List'!D:H,2,FALSE),"NA")</f>
        <v>010605</v>
      </c>
      <c r="F3" s="62" t="str">
        <f>IFERROR(VLOOKUP(D3,'Master List'!D:H,3,FALSE),"NA")</f>
        <v>010605</v>
      </c>
      <c r="G3" s="58" t="str">
        <f>IFERROR(VLOOKUP(D3,'Master List'!D:H,4,FALSE),"NA")</f>
        <v>010605</v>
      </c>
      <c r="H3" s="39" t="str">
        <f>IFERROR(VLOOKUP(D3,'Master List'!D:H,5,FALSE),"NA")</f>
        <v>Landscaping and Groundskeeping.</v>
      </c>
      <c r="I3" s="19"/>
      <c r="J3" s="20"/>
      <c r="K3" s="18"/>
      <c r="L3" s="22"/>
    </row>
    <row r="4" spans="1:12" x14ac:dyDescent="0.3">
      <c r="A4" s="33">
        <v>26</v>
      </c>
      <c r="B4" s="33" t="s">
        <v>2171</v>
      </c>
      <c r="C4" s="34" t="s">
        <v>599</v>
      </c>
      <c r="D4" s="51" t="s">
        <v>534</v>
      </c>
      <c r="E4" s="61" t="str">
        <f>IFERROR(VLOOKUP(D4,'Master List'!D:H,2,FALSE),"NA")</f>
        <v>010605</v>
      </c>
      <c r="F4" s="62" t="str">
        <f>IFERROR(VLOOKUP(D4,'Master List'!D:H,3,FALSE),"NA")</f>
        <v>010605</v>
      </c>
      <c r="G4" s="58" t="str">
        <f>IFERROR(VLOOKUP(D4,'Master List'!D:H,4,FALSE),"NA")</f>
        <v>010605</v>
      </c>
      <c r="H4" s="39" t="str">
        <f>IFERROR(VLOOKUP(D4,'Master List'!D:H,5,FALSE),"NA")</f>
        <v>Landscaping and Groundskeeping.</v>
      </c>
      <c r="I4" s="19"/>
      <c r="J4" s="20"/>
      <c r="K4" s="18"/>
      <c r="L4" s="22"/>
    </row>
    <row r="5" spans="1:12" x14ac:dyDescent="0.3">
      <c r="A5" s="33">
        <v>26</v>
      </c>
      <c r="B5" s="33" t="s">
        <v>2171</v>
      </c>
      <c r="C5" s="34" t="s">
        <v>599</v>
      </c>
      <c r="D5" s="51" t="s">
        <v>10</v>
      </c>
      <c r="E5" s="61" t="str">
        <f>IFERROR(VLOOKUP(D5,'Master List'!D:H,2,FALSE),"NA")</f>
        <v>510601</v>
      </c>
      <c r="F5" s="62" t="str">
        <f>IFERROR(VLOOKUP(D5,'Master List'!D:H,3,FALSE),"NA")</f>
        <v>510601</v>
      </c>
      <c r="G5" s="58" t="str">
        <f>IFERROR(VLOOKUP(D5,'Master List'!D:H,4,FALSE),"NA")</f>
        <v>510601</v>
      </c>
      <c r="H5" s="39" t="str">
        <f>IFERROR(VLOOKUP(D5,'Master List'!D:H,5,FALSE),"NA")</f>
        <v>Dental Assisting/Assistant.</v>
      </c>
      <c r="I5" s="19"/>
      <c r="J5" s="20"/>
      <c r="K5" s="18"/>
      <c r="L5" s="22"/>
    </row>
    <row r="6" spans="1:12" x14ac:dyDescent="0.3">
      <c r="A6" s="33">
        <v>26</v>
      </c>
      <c r="B6" s="33" t="s">
        <v>2171</v>
      </c>
      <c r="C6" s="34" t="s">
        <v>599</v>
      </c>
      <c r="D6" s="51" t="s">
        <v>199</v>
      </c>
      <c r="E6" s="61" t="str">
        <f>IFERROR(VLOOKUP(D6,'Master List'!D:H,2,FALSE),"NA")</f>
        <v>510801</v>
      </c>
      <c r="F6" s="62" t="str">
        <f>IFERROR(VLOOKUP(D6,'Master List'!D:H,3,FALSE),"NA")</f>
        <v>510801</v>
      </c>
      <c r="G6" s="58" t="str">
        <f>IFERROR(VLOOKUP(D6,'Master List'!D:H,4,FALSE),"NA")</f>
        <v>510801</v>
      </c>
      <c r="H6" s="39" t="str">
        <f>IFERROR(VLOOKUP(D6,'Master List'!D:H,5,FALSE),"NA")</f>
        <v>Medical/Clinical Assistant.</v>
      </c>
      <c r="I6" s="19"/>
      <c r="J6" s="20"/>
      <c r="K6" s="18"/>
      <c r="L6" s="22"/>
    </row>
    <row r="7" spans="1:12" x14ac:dyDescent="0.3">
      <c r="A7" s="33">
        <v>26</v>
      </c>
      <c r="B7" s="33" t="s">
        <v>2171</v>
      </c>
      <c r="C7" s="34" t="s">
        <v>599</v>
      </c>
      <c r="D7" s="51" t="s">
        <v>14</v>
      </c>
      <c r="E7" s="61" t="str">
        <f>IFERROR(VLOOKUP(D7,'Master List'!D:H,2,FALSE),"NA")</f>
        <v>510904</v>
      </c>
      <c r="F7" s="62" t="str">
        <f>IFERROR(VLOOKUP(D7,'Master List'!D:H,3,FALSE),"NA")</f>
        <v>510904</v>
      </c>
      <c r="G7" s="58" t="str">
        <f>IFERROR(VLOOKUP(D7,'Master List'!D:H,4,FALSE),"NA")</f>
        <v>510904</v>
      </c>
      <c r="H7" s="39" t="str">
        <f>IFERROR(VLOOKUP(D7,'Master List'!D:H,5,FALSE),"NA")</f>
        <v>Emergency Medical Technology/Technician (EMT Paramedic).</v>
      </c>
      <c r="I7" s="19"/>
      <c r="J7" s="20"/>
      <c r="K7" s="18"/>
      <c r="L7" s="22"/>
    </row>
    <row r="8" spans="1:12" x14ac:dyDescent="0.3">
      <c r="A8" s="33">
        <v>26</v>
      </c>
      <c r="B8" s="33" t="s">
        <v>2171</v>
      </c>
      <c r="C8" s="34" t="s">
        <v>599</v>
      </c>
      <c r="D8" s="51" t="s">
        <v>17</v>
      </c>
      <c r="E8" s="61" t="str">
        <f>IFERROR(VLOOKUP(D8,'Master List'!D:H,2,FALSE),"NA")</f>
        <v>510904</v>
      </c>
      <c r="F8" s="62" t="str">
        <f>IFERROR(VLOOKUP(D8,'Master List'!D:H,3,FALSE),"NA")</f>
        <v>510904</v>
      </c>
      <c r="G8" s="58" t="str">
        <f>IFERROR(VLOOKUP(D8,'Master List'!D:H,4,FALSE),"NA")</f>
        <v>510904</v>
      </c>
      <c r="H8" s="39" t="str">
        <f>IFERROR(VLOOKUP(D8,'Master List'!D:H,5,FALSE),"NA")</f>
        <v>Emergency Medical Technology/Technician (EMT Paramedic).</v>
      </c>
      <c r="I8" s="19"/>
      <c r="J8" s="20"/>
      <c r="K8" s="18"/>
      <c r="L8" s="22"/>
    </row>
    <row r="9" spans="1:12" x14ac:dyDescent="0.3">
      <c r="A9" s="33">
        <v>26</v>
      </c>
      <c r="B9" s="33" t="s">
        <v>2171</v>
      </c>
      <c r="C9" s="34" t="s">
        <v>599</v>
      </c>
      <c r="D9" s="51" t="s">
        <v>204</v>
      </c>
      <c r="E9" s="61" t="str">
        <f>IFERROR(VLOOKUP(D9,'Master List'!D:H,2,FALSE),"NA")</f>
        <v>510904</v>
      </c>
      <c r="F9" s="62" t="str">
        <f>IFERROR(VLOOKUP(D9,'Master List'!D:H,3,FALSE),"NA")</f>
        <v>510904</v>
      </c>
      <c r="G9" s="58" t="str">
        <f>IFERROR(VLOOKUP(D9,'Master List'!D:H,4,FALSE),"NA")</f>
        <v>510904</v>
      </c>
      <c r="H9" s="39" t="str">
        <f>IFERROR(VLOOKUP(D9,'Master List'!D:H,5,FALSE),"NA")</f>
        <v>Emergency Medical Technology/Technician (EMT Paramedic).</v>
      </c>
      <c r="I9" s="19"/>
      <c r="J9" s="20"/>
      <c r="K9" s="18"/>
      <c r="L9" s="22"/>
    </row>
    <row r="10" spans="1:12" x14ac:dyDescent="0.3">
      <c r="A10" s="33">
        <v>26</v>
      </c>
      <c r="B10" s="33" t="s">
        <v>2171</v>
      </c>
      <c r="C10" s="34" t="s">
        <v>599</v>
      </c>
      <c r="D10" s="51" t="s">
        <v>410</v>
      </c>
      <c r="E10" s="61" t="str">
        <f>IFERROR(VLOOKUP(D10,'Master List'!D:H,2,FALSE),"NA")</f>
        <v>511009</v>
      </c>
      <c r="F10" s="62" t="str">
        <f>IFERROR(VLOOKUP(D10,'Master List'!D:H,3,FALSE),"NA")</f>
        <v>511009</v>
      </c>
      <c r="G10" s="58" t="str">
        <f>IFERROR(VLOOKUP(D10,'Master List'!D:H,4,FALSE),"NA")</f>
        <v>511009</v>
      </c>
      <c r="H10" s="39" t="str">
        <f>IFERROR(VLOOKUP(D10,'Master List'!D:H,5,FALSE),"NA")</f>
        <v>Phlebotomy Technician/Phlebotomist.</v>
      </c>
      <c r="I10" s="19"/>
      <c r="J10" s="20"/>
      <c r="K10" s="18"/>
      <c r="L10" s="22"/>
    </row>
    <row r="11" spans="1:12" x14ac:dyDescent="0.3">
      <c r="A11" s="33">
        <v>26</v>
      </c>
      <c r="B11" s="33" t="s">
        <v>2171</v>
      </c>
      <c r="C11" s="34" t="s">
        <v>599</v>
      </c>
      <c r="D11" s="51" t="s">
        <v>413</v>
      </c>
      <c r="E11" s="61" t="str">
        <f>IFERROR(VLOOKUP(D11,'Master List'!D:H,2,FALSE),"NA")</f>
        <v>513901</v>
      </c>
      <c r="F11" s="62" t="str">
        <f>IFERROR(VLOOKUP(D11,'Master List'!D:H,3,FALSE),"NA")</f>
        <v>513901</v>
      </c>
      <c r="G11" s="58" t="str">
        <f>IFERROR(VLOOKUP(D11,'Master List'!D:H,4,FALSE),"NA")</f>
        <v>513901</v>
      </c>
      <c r="H11" s="39" t="str">
        <f>IFERROR(VLOOKUP(D11,'Master List'!D:H,5,FALSE),"NA")</f>
        <v>Licensed Practical/Vocational Nurse Training.</v>
      </c>
      <c r="I11" s="19"/>
      <c r="J11" s="20"/>
      <c r="K11" s="18"/>
      <c r="L11" s="22"/>
    </row>
    <row r="12" spans="1:12" x14ac:dyDescent="0.3">
      <c r="A12" s="33">
        <v>26</v>
      </c>
      <c r="B12" s="33" t="s">
        <v>2171</v>
      </c>
      <c r="C12" s="34" t="s">
        <v>599</v>
      </c>
      <c r="D12" s="51" t="s">
        <v>416</v>
      </c>
      <c r="E12" s="61" t="str">
        <f>IFERROR(VLOOKUP(D12,'Master List'!D:H,2,FALSE),"NA")</f>
        <v>120503</v>
      </c>
      <c r="F12" s="62" t="str">
        <f>IFERROR(VLOOKUP(D12,'Master List'!D:H,3,FALSE),"NA")</f>
        <v>120503</v>
      </c>
      <c r="G12" s="58" t="str">
        <f>IFERROR(VLOOKUP(D12,'Master List'!D:H,4,FALSE),"NA")</f>
        <v>120503</v>
      </c>
      <c r="H12" s="39" t="str">
        <f>IFERROR(VLOOKUP(D12,'Master List'!D:H,5,FALSE),"NA")</f>
        <v>Culinary Arts/Chef Training.</v>
      </c>
      <c r="I12" s="19"/>
      <c r="J12" s="20"/>
      <c r="K12" s="18"/>
      <c r="L12" s="22"/>
    </row>
    <row r="13" spans="1:12" x14ac:dyDescent="0.3">
      <c r="A13" s="33">
        <v>26</v>
      </c>
      <c r="B13" s="33" t="s">
        <v>2171</v>
      </c>
      <c r="C13" s="34" t="s">
        <v>599</v>
      </c>
      <c r="D13" s="51" t="s">
        <v>390</v>
      </c>
      <c r="E13" s="61" t="str">
        <f>IFERROR(VLOOKUP(D13,'Master List'!D:H,2,FALSE),"NA")</f>
        <v>110202</v>
      </c>
      <c r="F13" s="62" t="str">
        <f>IFERROR(VLOOKUP(D13,'Master List'!D:H,3,FALSE),"NA")</f>
        <v>110202</v>
      </c>
      <c r="G13" s="58" t="str">
        <f>IFERROR(VLOOKUP(D13,'Master List'!D:H,4,FALSE),"NA")</f>
        <v>110202</v>
      </c>
      <c r="H13" s="39" t="str">
        <f>IFERROR(VLOOKUP(D13,'Master List'!D:H,5,FALSE),"NA")</f>
        <v>Computer Programming, Specific Applications.</v>
      </c>
      <c r="I13" s="19"/>
      <c r="J13" s="20"/>
      <c r="K13" s="18"/>
      <c r="L13" s="22"/>
    </row>
    <row r="14" spans="1:12" x14ac:dyDescent="0.3">
      <c r="A14" s="33">
        <v>26</v>
      </c>
      <c r="B14" s="33" t="s">
        <v>2171</v>
      </c>
      <c r="C14" s="34" t="s">
        <v>599</v>
      </c>
      <c r="D14" s="51" t="s">
        <v>35</v>
      </c>
      <c r="E14" s="61" t="str">
        <f>IFERROR(VLOOKUP(D14,'Master List'!D:H,2,FALSE),"NA")</f>
        <v>111001</v>
      </c>
      <c r="F14" s="62" t="str">
        <f>IFERROR(VLOOKUP(D14,'Master List'!D:H,3,FALSE),"NA")</f>
        <v>111001</v>
      </c>
      <c r="G14" s="58" t="str">
        <f>IFERROR(VLOOKUP(D14,'Master List'!D:H,4,FALSE),"NA")</f>
        <v>111001</v>
      </c>
      <c r="H14" s="39" t="str">
        <f>IFERROR(VLOOKUP(D14,'Master List'!D:H,5,FALSE),"NA")</f>
        <v>Network and System Administration/Administrator.</v>
      </c>
      <c r="I14" s="19"/>
      <c r="J14" s="20"/>
      <c r="K14" s="18"/>
      <c r="L14" s="22"/>
    </row>
    <row r="15" spans="1:12" x14ac:dyDescent="0.3">
      <c r="A15" s="33">
        <v>26</v>
      </c>
      <c r="B15" s="33" t="s">
        <v>2171</v>
      </c>
      <c r="C15" s="34" t="s">
        <v>599</v>
      </c>
      <c r="D15" s="51" t="s">
        <v>590</v>
      </c>
      <c r="E15" s="61" t="str">
        <f>IFERROR(VLOOKUP(D15,'Master List'!D:H,2,FALSE),"NA")</f>
        <v>111003</v>
      </c>
      <c r="F15" s="62" t="str">
        <f>IFERROR(VLOOKUP(D15,'Master List'!D:H,3,FALSE),"NA")</f>
        <v>111003</v>
      </c>
      <c r="G15" s="58" t="str">
        <f>IFERROR(VLOOKUP(D15,'Master List'!D:H,4,FALSE),"NA")</f>
        <v>111003</v>
      </c>
      <c r="H15" s="39" t="str">
        <f>IFERROR(VLOOKUP(D15,'Master List'!D:H,5,FALSE),"NA")</f>
        <v>Computer and Information Systems Security/Auditing/Information Assurance.</v>
      </c>
      <c r="I15" s="19"/>
      <c r="J15" s="20"/>
      <c r="K15" s="18"/>
      <c r="L15" s="22"/>
    </row>
    <row r="16" spans="1:12" x14ac:dyDescent="0.3">
      <c r="A16" s="33">
        <v>26</v>
      </c>
      <c r="B16" s="33" t="s">
        <v>2171</v>
      </c>
      <c r="C16" s="34" t="s">
        <v>599</v>
      </c>
      <c r="D16" s="51" t="s">
        <v>600</v>
      </c>
      <c r="E16" s="61" t="str">
        <f>IFERROR(VLOOKUP(D16,'Master List'!D:H,2,FALSE),"NA")</f>
        <v>510716</v>
      </c>
      <c r="F16" s="62" t="str">
        <f>IFERROR(VLOOKUP(D16,'Master List'!D:H,3,FALSE),"NA")</f>
        <v>510716</v>
      </c>
      <c r="G16" s="58" t="str">
        <f>IFERROR(VLOOKUP(D16,'Master List'!D:H,4,FALSE),"NA")</f>
        <v>510716</v>
      </c>
      <c r="H16" s="39" t="str">
        <f>IFERROR(VLOOKUP(D16,'Master List'!D:H,5,FALSE),"NA")</f>
        <v>Medical Administrative/Executive Assistant and Medical Secretary.</v>
      </c>
      <c r="I16" s="19"/>
      <c r="J16" s="20"/>
      <c r="K16" s="18"/>
      <c r="L16" s="22"/>
    </row>
    <row r="17" spans="1:12" x14ac:dyDescent="0.3">
      <c r="A17" s="33">
        <v>26</v>
      </c>
      <c r="B17" s="33" t="s">
        <v>2171</v>
      </c>
      <c r="C17" s="34" t="s">
        <v>599</v>
      </c>
      <c r="D17" s="51" t="s">
        <v>422</v>
      </c>
      <c r="E17" s="61" t="str">
        <f>IFERROR(VLOOKUP(D17,'Master List'!D:H,2,FALSE),"NA")</f>
        <v>510716</v>
      </c>
      <c r="F17" s="62" t="str">
        <f>IFERROR(VLOOKUP(D17,'Master List'!D:H,3,FALSE),"NA")</f>
        <v>510716</v>
      </c>
      <c r="G17" s="58">
        <f>IFERROR(VLOOKUP(D17,'Master List'!D:H,4,FALSE),"NA")</f>
        <v>510705</v>
      </c>
      <c r="H17" s="39" t="str">
        <f>IFERROR(VLOOKUP(D17,'Master List'!D:H,5,FALSE),"NA")</f>
        <v>Medical Office Management/Administration</v>
      </c>
      <c r="I17" s="19"/>
      <c r="J17" s="20"/>
      <c r="K17" s="18"/>
      <c r="L17" s="22"/>
    </row>
    <row r="18" spans="1:12" x14ac:dyDescent="0.3">
      <c r="A18" s="33">
        <v>26</v>
      </c>
      <c r="B18" s="33" t="s">
        <v>2171</v>
      </c>
      <c r="C18" s="34" t="s">
        <v>599</v>
      </c>
      <c r="D18" s="51" t="s">
        <v>601</v>
      </c>
      <c r="E18" s="61" t="str">
        <f>IFERROR(VLOOKUP(D18,'Master List'!D:H,2,FALSE),"NA")</f>
        <v>520201</v>
      </c>
      <c r="F18" s="62" t="str">
        <f>IFERROR(VLOOKUP(D18,'Master List'!D:H,3,FALSE),"NA")</f>
        <v>520201</v>
      </c>
      <c r="G18" s="58" t="str">
        <f>IFERROR(VLOOKUP(D18,'Master List'!D:H,4,FALSE),"NA")</f>
        <v>520201</v>
      </c>
      <c r="H18" s="39" t="str">
        <f>IFERROR(VLOOKUP(D18,'Master List'!D:H,5,FALSE),"NA")</f>
        <v>Business Administration and Management, General.</v>
      </c>
      <c r="I18" s="19"/>
      <c r="J18" s="20"/>
      <c r="K18" s="18"/>
      <c r="L18" s="22"/>
    </row>
    <row r="19" spans="1:12" x14ac:dyDescent="0.3">
      <c r="A19" s="33">
        <v>26</v>
      </c>
      <c r="B19" s="33" t="s">
        <v>2171</v>
      </c>
      <c r="C19" s="34" t="s">
        <v>599</v>
      </c>
      <c r="D19" s="51" t="s">
        <v>37</v>
      </c>
      <c r="E19" s="61" t="str">
        <f>IFERROR(VLOOKUP(D19,'Master List'!D:H,2,FALSE),"NA")</f>
        <v>520204</v>
      </c>
      <c r="F19" s="62" t="str">
        <f>IFERROR(VLOOKUP(D19,'Master List'!D:H,3,FALSE),"NA")</f>
        <v>520204</v>
      </c>
      <c r="G19" s="58" t="str">
        <f>IFERROR(VLOOKUP(D19,'Master List'!D:H,4,FALSE),"NA")</f>
        <v>520204</v>
      </c>
      <c r="H19" s="39" t="str">
        <f>IFERROR(VLOOKUP(D19,'Master List'!D:H,5,FALSE),"NA")</f>
        <v>Office Management and Supervision.</v>
      </c>
      <c r="I19" s="19"/>
      <c r="J19" s="20"/>
      <c r="K19" s="18"/>
      <c r="L19" s="22"/>
    </row>
    <row r="20" spans="1:12" x14ac:dyDescent="0.3">
      <c r="A20" s="33">
        <v>26</v>
      </c>
      <c r="B20" s="33" t="s">
        <v>2171</v>
      </c>
      <c r="C20" s="34" t="s">
        <v>599</v>
      </c>
      <c r="D20" s="51" t="s">
        <v>40</v>
      </c>
      <c r="E20" s="61" t="str">
        <f>IFERROR(VLOOKUP(D20,'Master List'!D:H,2,FALSE),"NA")</f>
        <v>520302</v>
      </c>
      <c r="F20" s="62" t="str">
        <f>IFERROR(VLOOKUP(D20,'Master List'!D:H,3,FALSE),"NA")</f>
        <v>520302</v>
      </c>
      <c r="G20" s="58" t="str">
        <f>IFERROR(VLOOKUP(D20,'Master List'!D:H,4,FALSE),"NA")</f>
        <v>520302</v>
      </c>
      <c r="H20" s="39" t="str">
        <f>IFERROR(VLOOKUP(D20,'Master List'!D:H,5,FALSE),"NA")</f>
        <v>Accounting Technology/Technician and Bookkeeping.</v>
      </c>
      <c r="I20" s="19"/>
      <c r="J20" s="20"/>
      <c r="K20" s="18"/>
      <c r="L20" s="22"/>
    </row>
    <row r="21" spans="1:12" x14ac:dyDescent="0.3">
      <c r="A21" s="33">
        <v>26</v>
      </c>
      <c r="B21" s="33" t="s">
        <v>2171</v>
      </c>
      <c r="C21" s="34" t="s">
        <v>599</v>
      </c>
      <c r="D21" s="51" t="s">
        <v>232</v>
      </c>
      <c r="E21" s="61" t="str">
        <f>IFERROR(VLOOKUP(D21,'Master List'!D:H,2,FALSE),"NA")</f>
        <v>520701</v>
      </c>
      <c r="F21" s="62" t="str">
        <f>IFERROR(VLOOKUP(D21,'Master List'!D:H,3,FALSE),"NA")</f>
        <v>520701</v>
      </c>
      <c r="G21" s="58" t="str">
        <f>IFERROR(VLOOKUP(D21,'Master List'!D:H,4,FALSE),"NA")</f>
        <v>520701</v>
      </c>
      <c r="H21" s="39" t="str">
        <f>IFERROR(VLOOKUP(D21,'Master List'!D:H,5,FALSE),"NA")</f>
        <v>Entrepreneurship/Entrepreneurial Studies.</v>
      </c>
      <c r="I21" s="19"/>
      <c r="J21" s="20"/>
      <c r="K21" s="18"/>
      <c r="L21" s="22"/>
    </row>
    <row r="22" spans="1:12" x14ac:dyDescent="0.3">
      <c r="A22" s="33">
        <v>26</v>
      </c>
      <c r="B22" s="33" t="s">
        <v>2171</v>
      </c>
      <c r="C22" s="34" t="s">
        <v>599</v>
      </c>
      <c r="D22" s="51" t="s">
        <v>515</v>
      </c>
      <c r="E22" s="61" t="str">
        <f>IFERROR(VLOOKUP(D22,'Master List'!D:H,2,FALSE),"NA")</f>
        <v>110803</v>
      </c>
      <c r="F22" s="62" t="str">
        <f>IFERROR(VLOOKUP(D22,'Master List'!D:H,3,FALSE),"NA")</f>
        <v>110803</v>
      </c>
      <c r="G22" s="58" t="str">
        <f>IFERROR(VLOOKUP(D22,'Master List'!D:H,4,FALSE),"NA")</f>
        <v>110803</v>
      </c>
      <c r="H22" s="39" t="str">
        <f>IFERROR(VLOOKUP(D22,'Master List'!D:H,5,FALSE),"NA")</f>
        <v>Computer Graphics.</v>
      </c>
      <c r="I22" s="19"/>
      <c r="J22" s="20"/>
      <c r="K22" s="18"/>
      <c r="L22" s="22"/>
    </row>
    <row r="23" spans="1:12" x14ac:dyDescent="0.3">
      <c r="A23" s="33">
        <v>26</v>
      </c>
      <c r="B23" s="33" t="s">
        <v>2171</v>
      </c>
      <c r="C23" s="34" t="s">
        <v>599</v>
      </c>
      <c r="D23" s="51" t="s">
        <v>240</v>
      </c>
      <c r="E23" s="61" t="str">
        <f>IFERROR(VLOOKUP(D23,'Master List'!D:H,2,FALSE),"NA")</f>
        <v>120401</v>
      </c>
      <c r="F23" s="62" t="str">
        <f>IFERROR(VLOOKUP(D23,'Master List'!D:H,3,FALSE),"NA")</f>
        <v>120401</v>
      </c>
      <c r="G23" s="58" t="str">
        <f>IFERROR(VLOOKUP(D23,'Master List'!D:H,4,FALSE),"NA")</f>
        <v>120401</v>
      </c>
      <c r="H23" s="39" t="str">
        <f>IFERROR(VLOOKUP(D23,'Master List'!D:H,5,FALSE),"NA")</f>
        <v>Cosmetology/Cosmetologist, General.</v>
      </c>
      <c r="I23" s="19"/>
      <c r="J23" s="20"/>
      <c r="K23" s="18"/>
      <c r="L23" s="22"/>
    </row>
    <row r="24" spans="1:12" x14ac:dyDescent="0.3">
      <c r="A24" s="33">
        <v>26</v>
      </c>
      <c r="B24" s="33" t="s">
        <v>2171</v>
      </c>
      <c r="C24" s="34" t="s">
        <v>599</v>
      </c>
      <c r="D24" s="51" t="s">
        <v>247</v>
      </c>
      <c r="E24" s="61" t="str">
        <f>IFERROR(VLOOKUP(D24,'Master List'!D:H,2,FALSE),"NA")</f>
        <v>150000</v>
      </c>
      <c r="F24" s="62" t="str">
        <f>IFERROR(VLOOKUP(D24,'Master List'!D:H,3,FALSE),"NA")</f>
        <v>150000</v>
      </c>
      <c r="G24" s="58" t="str">
        <f>IFERROR(VLOOKUP(D24,'Master List'!D:H,4,FALSE),"NA")</f>
        <v>150000</v>
      </c>
      <c r="H24" s="39" t="str">
        <f>IFERROR(VLOOKUP(D24,'Master List'!D:H,5,FALSE),"NA")</f>
        <v>Engineering Technologies/Technicians, General.</v>
      </c>
      <c r="I24" s="19"/>
      <c r="J24" s="20"/>
      <c r="K24" s="18"/>
      <c r="L24" s="22"/>
    </row>
    <row r="25" spans="1:12" x14ac:dyDescent="0.3">
      <c r="A25" s="33">
        <v>26</v>
      </c>
      <c r="B25" s="33" t="s">
        <v>2171</v>
      </c>
      <c r="C25" s="34" t="s">
        <v>599</v>
      </c>
      <c r="D25" s="51" t="s">
        <v>602</v>
      </c>
      <c r="E25" s="61" t="str">
        <f>IFERROR(VLOOKUP(D25,'Master List'!D:H,2,FALSE),"NA")</f>
        <v>150406</v>
      </c>
      <c r="F25" s="62" t="str">
        <f>IFERROR(VLOOKUP(D25,'Master List'!D:H,3,FALSE),"NA")</f>
        <v>150406</v>
      </c>
      <c r="G25" s="58" t="str">
        <f>IFERROR(VLOOKUP(D25,'Master List'!D:H,4,FALSE),"NA")</f>
        <v>150406</v>
      </c>
      <c r="H25" s="39" t="str">
        <f>IFERROR(VLOOKUP(D25,'Master List'!D:H,5,FALSE),"NA")</f>
        <v>Automation Engineer Technology/Technician.</v>
      </c>
      <c r="I25" s="19"/>
      <c r="J25" s="20"/>
      <c r="K25" s="18"/>
      <c r="L25" s="22"/>
    </row>
    <row r="26" spans="1:12" x14ac:dyDescent="0.3">
      <c r="A26" s="33">
        <v>26</v>
      </c>
      <c r="B26" s="33" t="s">
        <v>2171</v>
      </c>
      <c r="C26" s="34" t="s">
        <v>599</v>
      </c>
      <c r="D26" s="51" t="s">
        <v>248</v>
      </c>
      <c r="E26" s="61" t="str">
        <f>IFERROR(VLOOKUP(D26,'Master List'!D:H,2,FALSE),"NA")</f>
        <v>150501</v>
      </c>
      <c r="F26" s="62" t="str">
        <f>IFERROR(VLOOKUP(D26,'Master List'!D:H,3,FALSE),"NA")</f>
        <v>150501</v>
      </c>
      <c r="G26" s="58" t="str">
        <f>IFERROR(VLOOKUP(D26,'Master List'!D:H,4,FALSE),"NA")</f>
        <v>150501</v>
      </c>
      <c r="H26" s="39" t="str">
        <f>IFERROR(VLOOKUP(D26,'Master List'!D:H,5,FALSE),"NA")</f>
        <v>Heating, Ventilation, Air Conditioning and Refrigeration Engineering Technology/Technician.</v>
      </c>
      <c r="I26" s="19"/>
      <c r="J26" s="20"/>
      <c r="K26" s="18"/>
      <c r="L26" s="22"/>
    </row>
    <row r="27" spans="1:12" x14ac:dyDescent="0.3">
      <c r="A27" s="33">
        <v>26</v>
      </c>
      <c r="B27" s="33" t="s">
        <v>2171</v>
      </c>
      <c r="C27" s="34" t="s">
        <v>599</v>
      </c>
      <c r="D27" s="51" t="s">
        <v>603</v>
      </c>
      <c r="E27" s="61" t="str">
        <f>IFERROR(VLOOKUP(D27,'Master List'!D:H,2,FALSE),"NA")</f>
        <v>460303</v>
      </c>
      <c r="F27" s="62" t="str">
        <f>IFERROR(VLOOKUP(D27,'Master List'!D:H,3,FALSE),"NA")</f>
        <v>460303</v>
      </c>
      <c r="G27" s="58" t="str">
        <f>IFERROR(VLOOKUP(D27,'Master List'!D:H,4,FALSE),"NA")</f>
        <v>460303</v>
      </c>
      <c r="H27" s="39" t="str">
        <f>IFERROR(VLOOKUP(D27,'Master List'!D:H,5,FALSE),"NA")</f>
        <v>Lineworker.</v>
      </c>
      <c r="I27" s="19"/>
      <c r="J27" s="20"/>
      <c r="K27" s="18"/>
      <c r="L27" s="22"/>
    </row>
    <row r="28" spans="1:12" x14ac:dyDescent="0.3">
      <c r="A28" s="33">
        <v>26</v>
      </c>
      <c r="B28" s="33" t="s">
        <v>2171</v>
      </c>
      <c r="C28" s="34" t="s">
        <v>599</v>
      </c>
      <c r="D28" s="51" t="s">
        <v>446</v>
      </c>
      <c r="E28" s="61" t="str">
        <f>IFERROR(VLOOKUP(D28,'Master List'!D:H,2,FALSE),"NA")</f>
        <v>470603</v>
      </c>
      <c r="F28" s="62" t="str">
        <f>IFERROR(VLOOKUP(D28,'Master List'!D:H,3,FALSE),"NA")</f>
        <v>470603</v>
      </c>
      <c r="G28" s="58" t="str">
        <f>IFERROR(VLOOKUP(D28,'Master List'!D:H,4,FALSE),"NA")</f>
        <v>470603</v>
      </c>
      <c r="H28" s="39" t="str">
        <f>IFERROR(VLOOKUP(D28,'Master List'!D:H,5,FALSE),"NA")</f>
        <v>Autobody/Collision and Repair Technology/Technician.</v>
      </c>
      <c r="I28" s="19"/>
      <c r="J28" s="20"/>
      <c r="K28" s="18"/>
      <c r="L28" s="22"/>
    </row>
    <row r="29" spans="1:12" x14ac:dyDescent="0.3">
      <c r="A29" s="33">
        <v>26</v>
      </c>
      <c r="B29" s="33" t="s">
        <v>2171</v>
      </c>
      <c r="C29" s="34" t="s">
        <v>599</v>
      </c>
      <c r="D29" s="51" t="s">
        <v>449</v>
      </c>
      <c r="E29" s="61" t="str">
        <f>IFERROR(VLOOKUP(D29,'Master List'!D:H,2,FALSE),"NA")</f>
        <v>470604</v>
      </c>
      <c r="F29" s="62" t="str">
        <f>IFERROR(VLOOKUP(D29,'Master List'!D:H,3,FALSE),"NA")</f>
        <v>470604</v>
      </c>
      <c r="G29" s="58" t="str">
        <f>IFERROR(VLOOKUP(D29,'Master List'!D:H,4,FALSE),"NA")</f>
        <v>470604</v>
      </c>
      <c r="H29" s="39" t="str">
        <f>IFERROR(VLOOKUP(D29,'Master List'!D:H,5,FALSE),"NA")</f>
        <v>Automobile/Automotive Mechanics Technology/Technician.</v>
      </c>
      <c r="I29" s="19"/>
      <c r="J29" s="20"/>
      <c r="K29" s="18"/>
      <c r="L29" s="22"/>
    </row>
    <row r="30" spans="1:12" x14ac:dyDescent="0.3">
      <c r="A30" s="33">
        <v>26</v>
      </c>
      <c r="B30" s="33" t="s">
        <v>2171</v>
      </c>
      <c r="C30" s="34" t="s">
        <v>599</v>
      </c>
      <c r="D30" s="51" t="s">
        <v>65</v>
      </c>
      <c r="E30" s="61" t="str">
        <f>IFERROR(VLOOKUP(D30,'Master List'!D:H,2,FALSE),"NA")</f>
        <v>520209</v>
      </c>
      <c r="F30" s="62" t="str">
        <f>IFERROR(VLOOKUP(D30,'Master List'!D:H,3,FALSE),"NA")</f>
        <v>520209</v>
      </c>
      <c r="G30" s="58" t="str">
        <f>IFERROR(VLOOKUP(D30,'Master List'!D:H,4,FALSE),"NA")</f>
        <v>520209</v>
      </c>
      <c r="H30" s="39" t="str">
        <f>IFERROR(VLOOKUP(D30,'Master List'!D:H,5,FALSE),"NA")</f>
        <v>Transportation/Mobility Management.</v>
      </c>
      <c r="I30" s="19"/>
      <c r="J30" s="20"/>
      <c r="K30" s="18"/>
      <c r="L30" s="22"/>
    </row>
    <row r="31" spans="1:12" x14ac:dyDescent="0.3">
      <c r="A31" s="33">
        <v>26</v>
      </c>
      <c r="B31" s="33" t="s">
        <v>2171</v>
      </c>
      <c r="C31" s="34" t="s">
        <v>599</v>
      </c>
      <c r="D31" s="51" t="s">
        <v>68</v>
      </c>
      <c r="E31" s="61" t="str">
        <f>IFERROR(VLOOKUP(D31,'Master List'!D:H,2,FALSE),"NA")</f>
        <v>430102</v>
      </c>
      <c r="F31" s="62" t="str">
        <f>IFERROR(VLOOKUP(D31,'Master List'!D:H,3,FALSE),"NA")</f>
        <v>430102</v>
      </c>
      <c r="G31" s="58" t="str">
        <f>IFERROR(VLOOKUP(D31,'Master List'!D:H,4,FALSE),"NA")</f>
        <v>430102</v>
      </c>
      <c r="H31" s="39" t="str">
        <f>IFERROR(VLOOKUP(D31,'Master List'!D:H,5,FALSE),"NA")</f>
        <v>Corrections.</v>
      </c>
      <c r="I31" s="19"/>
      <c r="J31" s="20"/>
      <c r="K31" s="18"/>
      <c r="L31" s="22"/>
    </row>
    <row r="32" spans="1:12" x14ac:dyDescent="0.3">
      <c r="A32" s="33">
        <v>26</v>
      </c>
      <c r="B32" s="33" t="s">
        <v>2171</v>
      </c>
      <c r="C32" s="34" t="s">
        <v>599</v>
      </c>
      <c r="D32" s="51" t="s">
        <v>71</v>
      </c>
      <c r="E32" s="61" t="str">
        <f>IFERROR(VLOOKUP(D32,'Master List'!D:H,2,FALSE),"NA")</f>
        <v>430107</v>
      </c>
      <c r="F32" s="62" t="str">
        <f>IFERROR(VLOOKUP(D32,'Master List'!D:H,3,FALSE),"NA")</f>
        <v>430107</v>
      </c>
      <c r="G32" s="58" t="str">
        <f>IFERROR(VLOOKUP(D32,'Master List'!D:H,4,FALSE),"NA")</f>
        <v>430107</v>
      </c>
      <c r="H32" s="39" t="str">
        <f>IFERROR(VLOOKUP(D32,'Master List'!D:H,5,FALSE),"NA")</f>
        <v>Criminal Justice/Police Science.</v>
      </c>
      <c r="I32" s="19"/>
      <c r="J32" s="20"/>
      <c r="K32" s="18"/>
      <c r="L32" s="22"/>
    </row>
    <row r="33" spans="1:12" x14ac:dyDescent="0.3">
      <c r="A33" s="33">
        <v>26</v>
      </c>
      <c r="B33" s="33" t="s">
        <v>2171</v>
      </c>
      <c r="C33" s="34" t="s">
        <v>599</v>
      </c>
      <c r="D33" s="51" t="s">
        <v>74</v>
      </c>
      <c r="E33" s="61" t="str">
        <f>IFERROR(VLOOKUP(D33,'Master List'!D:H,2,FALSE),"NA")</f>
        <v>430107</v>
      </c>
      <c r="F33" s="62" t="str">
        <f>IFERROR(VLOOKUP(D33,'Master List'!D:H,3,FALSE),"NA")</f>
        <v>430107</v>
      </c>
      <c r="G33" s="58" t="str">
        <f>IFERROR(VLOOKUP(D33,'Master List'!D:H,4,FALSE),"NA")</f>
        <v>430107</v>
      </c>
      <c r="H33" s="39" t="str">
        <f>IFERROR(VLOOKUP(D33,'Master List'!D:H,5,FALSE),"NA")</f>
        <v>Criminal Justice/Police Science.</v>
      </c>
      <c r="I33" s="19"/>
      <c r="J33" s="20"/>
      <c r="K33" s="18"/>
      <c r="L33" s="22"/>
    </row>
    <row r="34" spans="1:12" x14ac:dyDescent="0.3">
      <c r="A34" s="33">
        <v>26</v>
      </c>
      <c r="B34" s="33" t="s">
        <v>2171</v>
      </c>
      <c r="C34" s="34" t="s">
        <v>599</v>
      </c>
      <c r="D34" s="51" t="s">
        <v>318</v>
      </c>
      <c r="E34" s="61" t="str">
        <f>IFERROR(VLOOKUP(D34,'Master List'!D:H,2,FALSE),"NA")</f>
        <v>430203</v>
      </c>
      <c r="F34" s="62" t="str">
        <f>IFERROR(VLOOKUP(D34,'Master List'!D:H,3,FALSE),"NA")</f>
        <v>430203</v>
      </c>
      <c r="G34" s="58" t="str">
        <f>IFERROR(VLOOKUP(D34,'Master List'!D:H,4,FALSE),"NA")</f>
        <v>430203</v>
      </c>
      <c r="H34" s="39" t="str">
        <f>IFERROR(VLOOKUP(D34,'Master List'!D:H,5,FALSE),"NA")</f>
        <v>Fire Science/Fire-fighting.</v>
      </c>
      <c r="I34" s="19"/>
      <c r="J34" s="20"/>
      <c r="K34" s="18"/>
      <c r="L34" s="22"/>
    </row>
    <row r="35" spans="1:12" x14ac:dyDescent="0.3">
      <c r="A35" s="33">
        <v>26</v>
      </c>
      <c r="B35" s="33" t="s">
        <v>2171</v>
      </c>
      <c r="C35" s="34" t="s">
        <v>599</v>
      </c>
      <c r="D35" s="51" t="s">
        <v>606</v>
      </c>
      <c r="E35" s="61" t="str">
        <f>IFERROR(VLOOKUP(D35,'Master List'!D:H,2,FALSE),"NA")</f>
        <v>430399</v>
      </c>
      <c r="F35" s="62" t="str">
        <f>IFERROR(VLOOKUP(D35,'Master List'!D:H,3,FALSE),"NA")</f>
        <v>430399</v>
      </c>
      <c r="G35" s="58" t="str">
        <f>IFERROR(VLOOKUP(D35,'Master List'!D:H,4,FALSE),"NA")</f>
        <v>430399</v>
      </c>
      <c r="H35" s="39" t="str">
        <f>IFERROR(VLOOKUP(D35,'Master List'!D:H,5,FALSE),"NA")</f>
        <v>Homeland Security, Other.</v>
      </c>
      <c r="I35" s="19"/>
      <c r="J35" s="20"/>
      <c r="K35" s="18"/>
      <c r="L35" s="22"/>
    </row>
    <row r="36" spans="1:12" x14ac:dyDescent="0.3">
      <c r="A36" s="33">
        <v>26</v>
      </c>
      <c r="B36" s="33" t="s">
        <v>2171</v>
      </c>
      <c r="C36" s="34" t="s">
        <v>599</v>
      </c>
      <c r="D36" s="51" t="s">
        <v>579</v>
      </c>
      <c r="E36" s="61" t="str">
        <f>IFERROR(VLOOKUP(D36,'Master List'!D:H,2,FALSE),"NA")</f>
        <v>010605</v>
      </c>
      <c r="F36" s="62" t="str">
        <f>IFERROR(VLOOKUP(D36,'Master List'!D:H,3,FALSE),"NA")</f>
        <v>010605</v>
      </c>
      <c r="G36" s="58" t="str">
        <f>IFERROR(VLOOKUP(D36,'Master List'!D:H,4,FALSE),"NA")</f>
        <v>010605</v>
      </c>
      <c r="H36" s="39" t="str">
        <f>IFERROR(VLOOKUP(D36,'Master List'!D:H,5,FALSE),"NA")</f>
        <v>Landscaping and Groundskeeping.</v>
      </c>
      <c r="I36" s="19"/>
      <c r="J36" s="20"/>
      <c r="K36" s="18"/>
      <c r="L36" s="22"/>
    </row>
    <row r="37" spans="1:12" x14ac:dyDescent="0.3">
      <c r="A37" s="33">
        <v>26</v>
      </c>
      <c r="B37" s="33" t="s">
        <v>2171</v>
      </c>
      <c r="C37" s="34" t="s">
        <v>599</v>
      </c>
      <c r="D37" s="51" t="s">
        <v>609</v>
      </c>
      <c r="E37" s="61" t="str">
        <f>IFERROR(VLOOKUP(D37,'Master List'!D:H,2,FALSE),"NA")</f>
        <v>011103</v>
      </c>
      <c r="F37" s="62" t="str">
        <f>IFERROR(VLOOKUP(D37,'Master List'!D:H,3,FALSE),"NA")</f>
        <v>011103</v>
      </c>
      <c r="G37" s="58" t="str">
        <f>IFERROR(VLOOKUP(D37,'Master List'!D:H,4,FALSE),"NA")</f>
        <v>011103</v>
      </c>
      <c r="H37" s="39" t="str">
        <f>IFERROR(VLOOKUP(D37,'Master List'!D:H,5,FALSE),"NA")</f>
        <v>Horticultural Science.</v>
      </c>
      <c r="I37" s="19"/>
      <c r="J37" s="20"/>
      <c r="K37" s="18"/>
      <c r="L37" s="22"/>
    </row>
    <row r="38" spans="1:12" x14ac:dyDescent="0.3">
      <c r="A38" s="33">
        <v>26</v>
      </c>
      <c r="B38" s="33" t="s">
        <v>2171</v>
      </c>
      <c r="C38" s="34" t="s">
        <v>599</v>
      </c>
      <c r="D38" s="51" t="s">
        <v>84</v>
      </c>
      <c r="E38" s="61" t="str">
        <f>IFERROR(VLOOKUP(D38,'Master List'!D:H,2,FALSE),"NA")</f>
        <v>510602</v>
      </c>
      <c r="F38" s="62" t="str">
        <f>IFERROR(VLOOKUP(D38,'Master List'!D:H,3,FALSE),"NA")</f>
        <v>510602</v>
      </c>
      <c r="G38" s="58" t="str">
        <f>IFERROR(VLOOKUP(D38,'Master List'!D:H,4,FALSE),"NA")</f>
        <v>510602</v>
      </c>
      <c r="H38" s="39" t="str">
        <f>IFERROR(VLOOKUP(D38,'Master List'!D:H,5,FALSE),"NA")</f>
        <v>Dental Hygiene/Hygienist.</v>
      </c>
      <c r="I38" s="19"/>
      <c r="J38" s="20"/>
      <c r="K38" s="18"/>
      <c r="L38" s="22"/>
    </row>
    <row r="39" spans="1:12" x14ac:dyDescent="0.3">
      <c r="A39" s="33">
        <v>26</v>
      </c>
      <c r="B39" s="33" t="s">
        <v>2171</v>
      </c>
      <c r="C39" s="34" t="s">
        <v>599</v>
      </c>
      <c r="D39" s="51" t="s">
        <v>612</v>
      </c>
      <c r="E39" s="61" t="str">
        <f>IFERROR(VLOOKUP(D39,'Master List'!D:H,2,FALSE),"NA")</f>
        <v>510701</v>
      </c>
      <c r="F39" s="62" t="str">
        <f>IFERROR(VLOOKUP(D39,'Master List'!D:H,3,FALSE),"NA")</f>
        <v>510701</v>
      </c>
      <c r="G39" s="58" t="str">
        <f>IFERROR(VLOOKUP(D39,'Master List'!D:H,4,FALSE),"NA")</f>
        <v>510701</v>
      </c>
      <c r="H39" s="39" t="str">
        <f>IFERROR(VLOOKUP(D39,'Master List'!D:H,5,FALSE),"NA")</f>
        <v>Health/Health Care Administration/Management.</v>
      </c>
      <c r="I39" s="19"/>
      <c r="J39" s="20"/>
      <c r="K39" s="18"/>
      <c r="L39" s="22"/>
    </row>
    <row r="40" spans="1:12" x14ac:dyDescent="0.3">
      <c r="A40" s="33">
        <v>26</v>
      </c>
      <c r="B40" s="33" t="s">
        <v>2171</v>
      </c>
      <c r="C40" s="34" t="s">
        <v>599</v>
      </c>
      <c r="D40" s="51" t="s">
        <v>90</v>
      </c>
      <c r="E40" s="61" t="str">
        <f>IFERROR(VLOOKUP(D40,'Master List'!D:H,2,FALSE),"NA")</f>
        <v>510904</v>
      </c>
      <c r="F40" s="62" t="str">
        <f>IFERROR(VLOOKUP(D40,'Master List'!D:H,3,FALSE),"NA")</f>
        <v>510904</v>
      </c>
      <c r="G40" s="58" t="str">
        <f>IFERROR(VLOOKUP(D40,'Master List'!D:H,4,FALSE),"NA")</f>
        <v>510904</v>
      </c>
      <c r="H40" s="39" t="str">
        <f>IFERROR(VLOOKUP(D40,'Master List'!D:H,5,FALSE),"NA")</f>
        <v>Emergency Medical Technology/Technician (EMT Paramedic).</v>
      </c>
      <c r="I40" s="19"/>
      <c r="J40" s="20"/>
      <c r="K40" s="18"/>
      <c r="L40" s="22"/>
    </row>
    <row r="41" spans="1:12" x14ac:dyDescent="0.3">
      <c r="A41" s="33">
        <v>26</v>
      </c>
      <c r="B41" s="33" t="s">
        <v>2171</v>
      </c>
      <c r="C41" s="34" t="s">
        <v>599</v>
      </c>
      <c r="D41" s="51" t="s">
        <v>91</v>
      </c>
      <c r="E41" s="61" t="str">
        <f>IFERROR(VLOOKUP(D41,'Master List'!D:H,2,FALSE),"NA")</f>
        <v>510907</v>
      </c>
      <c r="F41" s="62" t="str">
        <f>IFERROR(VLOOKUP(D41,'Master List'!D:H,3,FALSE),"NA")</f>
        <v>510907</v>
      </c>
      <c r="G41" s="58">
        <f>IFERROR(VLOOKUP(D41,'Master List'!D:H,4,FALSE),"NA")</f>
        <v>510911</v>
      </c>
      <c r="H41" s="39" t="str">
        <f>IFERROR(VLOOKUP(D41,'Master List'!D:H,5,FALSE),"NA")</f>
        <v>Radiologic Technology/Science - Radiographer</v>
      </c>
      <c r="I41" s="19"/>
      <c r="J41" s="20"/>
      <c r="K41" s="18"/>
      <c r="L41" s="22"/>
    </row>
    <row r="42" spans="1:12" x14ac:dyDescent="0.3">
      <c r="A42" s="33">
        <v>26</v>
      </c>
      <c r="B42" s="33" t="s">
        <v>2171</v>
      </c>
      <c r="C42" s="34" t="s">
        <v>599</v>
      </c>
      <c r="D42" s="51" t="s">
        <v>101</v>
      </c>
      <c r="E42" s="61" t="str">
        <f>IFERROR(VLOOKUP(D42,'Master List'!D:H,2,FALSE),"NA")</f>
        <v>513801</v>
      </c>
      <c r="F42" s="62" t="str">
        <f>IFERROR(VLOOKUP(D42,'Master List'!D:H,3,FALSE),"NA")</f>
        <v>513801</v>
      </c>
      <c r="G42" s="58" t="str">
        <f>IFERROR(VLOOKUP(D42,'Master List'!D:H,4,FALSE),"NA")</f>
        <v>513801</v>
      </c>
      <c r="H42" s="39" t="str">
        <f>IFERROR(VLOOKUP(D42,'Master List'!D:H,5,FALSE),"NA")</f>
        <v>Registered Nursing/Registered Nurse.</v>
      </c>
      <c r="I42" s="19"/>
      <c r="J42" s="20"/>
      <c r="K42" s="18"/>
      <c r="L42" s="22"/>
    </row>
    <row r="43" spans="1:12" x14ac:dyDescent="0.3">
      <c r="A43" s="33">
        <v>26</v>
      </c>
      <c r="B43" s="33" t="s">
        <v>2171</v>
      </c>
      <c r="C43" s="34" t="s">
        <v>599</v>
      </c>
      <c r="D43" s="51" t="s">
        <v>170</v>
      </c>
      <c r="E43" s="61" t="str">
        <f>IFERROR(VLOOKUP(D43,'Master List'!D:H,2,FALSE),"NA")</f>
        <v>110201</v>
      </c>
      <c r="F43" s="62" t="str">
        <f>IFERROR(VLOOKUP(D43,'Master List'!D:H,3,FALSE),"NA")</f>
        <v>110201</v>
      </c>
      <c r="G43" s="58" t="str">
        <f>IFERROR(VLOOKUP(D43,'Master List'!D:H,4,FALSE),"NA")</f>
        <v>110201</v>
      </c>
      <c r="H43" s="39" t="str">
        <f>IFERROR(VLOOKUP(D43,'Master List'!D:H,5,FALSE),"NA")</f>
        <v>Computer Programming/Programmer, General.</v>
      </c>
      <c r="I43" s="19"/>
      <c r="J43" s="20"/>
      <c r="K43" s="18"/>
      <c r="L43" s="22"/>
    </row>
    <row r="44" spans="1:12" x14ac:dyDescent="0.3">
      <c r="A44" s="33">
        <v>26</v>
      </c>
      <c r="B44" s="33" t="s">
        <v>2171</v>
      </c>
      <c r="C44" s="34" t="s">
        <v>599</v>
      </c>
      <c r="D44" s="51" t="s">
        <v>106</v>
      </c>
      <c r="E44" s="61" t="str">
        <f>IFERROR(VLOOKUP(D44,'Master List'!D:H,2,FALSE),"NA")</f>
        <v>111001</v>
      </c>
      <c r="F44" s="62" t="str">
        <f>IFERROR(VLOOKUP(D44,'Master List'!D:H,3,FALSE),"NA")</f>
        <v>111001</v>
      </c>
      <c r="G44" s="58" t="str">
        <f>IFERROR(VLOOKUP(D44,'Master List'!D:H,4,FALSE),"NA")</f>
        <v>111001</v>
      </c>
      <c r="H44" s="39" t="str">
        <f>IFERROR(VLOOKUP(D44,'Master List'!D:H,5,FALSE),"NA")</f>
        <v>Network and System Administration/Administrator.</v>
      </c>
      <c r="I44" s="19"/>
      <c r="J44" s="20"/>
      <c r="K44" s="18"/>
      <c r="L44" s="22"/>
    </row>
    <row r="45" spans="1:12" x14ac:dyDescent="0.3">
      <c r="A45" s="33">
        <v>26</v>
      </c>
      <c r="B45" s="33" t="s">
        <v>2171</v>
      </c>
      <c r="C45" s="34" t="s">
        <v>599</v>
      </c>
      <c r="D45" s="51" t="s">
        <v>107</v>
      </c>
      <c r="E45" s="61" t="str">
        <f>IFERROR(VLOOKUP(D45,'Master List'!D:H,2,FALSE),"NA")</f>
        <v>520201</v>
      </c>
      <c r="F45" s="62" t="str">
        <f>IFERROR(VLOOKUP(D45,'Master List'!D:H,3,FALSE),"NA")</f>
        <v>520201</v>
      </c>
      <c r="G45" s="58" t="str">
        <f>IFERROR(VLOOKUP(D45,'Master List'!D:H,4,FALSE),"NA")</f>
        <v>520201</v>
      </c>
      <c r="H45" s="39" t="str">
        <f>IFERROR(VLOOKUP(D45,'Master List'!D:H,5,FALSE),"NA")</f>
        <v>Business Administration and Management, General.</v>
      </c>
      <c r="I45" s="19"/>
      <c r="J45" s="20"/>
      <c r="K45" s="18"/>
      <c r="L45" s="22"/>
    </row>
    <row r="46" spans="1:12" x14ac:dyDescent="0.3">
      <c r="A46" s="33">
        <v>26</v>
      </c>
      <c r="B46" s="33" t="s">
        <v>2171</v>
      </c>
      <c r="C46" s="34" t="s">
        <v>599</v>
      </c>
      <c r="D46" s="51" t="s">
        <v>351</v>
      </c>
      <c r="E46" s="61" t="str">
        <f>IFERROR(VLOOKUP(D46,'Master List'!D:H,2,FALSE),"NA")</f>
        <v>520204</v>
      </c>
      <c r="F46" s="62" t="str">
        <f>IFERROR(VLOOKUP(D46,'Master List'!D:H,3,FALSE),"NA")</f>
        <v>520204</v>
      </c>
      <c r="G46" s="58" t="str">
        <f>IFERROR(VLOOKUP(D46,'Master List'!D:H,4,FALSE),"NA")</f>
        <v>520204</v>
      </c>
      <c r="H46" s="39" t="str">
        <f>IFERROR(VLOOKUP(D46,'Master List'!D:H,5,FALSE),"NA")</f>
        <v>Office Management and Supervision.</v>
      </c>
      <c r="I46" s="19"/>
      <c r="J46" s="20"/>
      <c r="K46" s="18"/>
      <c r="L46" s="22"/>
    </row>
    <row r="47" spans="1:12" x14ac:dyDescent="0.3">
      <c r="A47" s="33">
        <v>26</v>
      </c>
      <c r="B47" s="33" t="s">
        <v>2171</v>
      </c>
      <c r="C47" s="34" t="s">
        <v>599</v>
      </c>
      <c r="D47" s="51" t="s">
        <v>110</v>
      </c>
      <c r="E47" s="61" t="str">
        <f>IFERROR(VLOOKUP(D47,'Master List'!D:H,2,FALSE),"NA")</f>
        <v>520302</v>
      </c>
      <c r="F47" s="62" t="str">
        <f>IFERROR(VLOOKUP(D47,'Master List'!D:H,3,FALSE),"NA")</f>
        <v>520302</v>
      </c>
      <c r="G47" s="58" t="str">
        <f>IFERROR(VLOOKUP(D47,'Master List'!D:H,4,FALSE),"NA")</f>
        <v>520302</v>
      </c>
      <c r="H47" s="39" t="str">
        <f>IFERROR(VLOOKUP(D47,'Master List'!D:H,5,FALSE),"NA")</f>
        <v>Accounting Technology/Technician and Bookkeeping.</v>
      </c>
      <c r="I47" s="19"/>
      <c r="J47" s="20"/>
      <c r="K47" s="18"/>
      <c r="L47" s="22"/>
    </row>
    <row r="48" spans="1:12" x14ac:dyDescent="0.3">
      <c r="A48" s="33">
        <v>26</v>
      </c>
      <c r="B48" s="33" t="s">
        <v>2171</v>
      </c>
      <c r="C48" s="34" t="s">
        <v>599</v>
      </c>
      <c r="D48" s="51" t="s">
        <v>120</v>
      </c>
      <c r="E48" s="61" t="str">
        <f>IFERROR(VLOOKUP(D48,'Master List'!D:H,2,FALSE),"NA")</f>
        <v>150000</v>
      </c>
      <c r="F48" s="62" t="str">
        <f>IFERROR(VLOOKUP(D48,'Master List'!D:H,3,FALSE),"NA")</f>
        <v>150000</v>
      </c>
      <c r="G48" s="58" t="str">
        <f>IFERROR(VLOOKUP(D48,'Master List'!D:H,4,FALSE),"NA")</f>
        <v>150000</v>
      </c>
      <c r="H48" s="39" t="str">
        <f>IFERROR(VLOOKUP(D48,'Master List'!D:H,5,FALSE),"NA")</f>
        <v>Engineering Technologies/Technicians, General.</v>
      </c>
      <c r="I48" s="19"/>
      <c r="J48" s="20"/>
      <c r="K48" s="18"/>
      <c r="L48" s="22"/>
    </row>
    <row r="49" spans="1:12" x14ac:dyDescent="0.3">
      <c r="A49" s="33">
        <v>26</v>
      </c>
      <c r="B49" s="33" t="s">
        <v>2171</v>
      </c>
      <c r="C49" s="34" t="s">
        <v>599</v>
      </c>
      <c r="D49" s="51" t="s">
        <v>615</v>
      </c>
      <c r="E49" s="61" t="str">
        <f>IFERROR(VLOOKUP(D49,'Master List'!D:H,2,FALSE),"NA")</f>
        <v>150401</v>
      </c>
      <c r="F49" s="62" t="str">
        <f>IFERROR(VLOOKUP(D49,'Master List'!D:H,3,FALSE),"NA")</f>
        <v>150401</v>
      </c>
      <c r="G49" s="58" t="str">
        <f>IFERROR(VLOOKUP(D49,'Master List'!D:H,4,FALSE),"NA")</f>
        <v>150401</v>
      </c>
      <c r="H49" s="39" t="str">
        <f>IFERROR(VLOOKUP(D49,'Master List'!D:H,5,FALSE),"NA")</f>
        <v>Biomedical Technology/Technician.</v>
      </c>
      <c r="I49" s="19"/>
      <c r="J49" s="20"/>
      <c r="K49" s="18"/>
      <c r="L49" s="22"/>
    </row>
    <row r="50" spans="1:12" x14ac:dyDescent="0.3">
      <c r="A50" s="33">
        <v>26</v>
      </c>
      <c r="B50" s="33" t="s">
        <v>2171</v>
      </c>
      <c r="C50" s="34" t="s">
        <v>599</v>
      </c>
      <c r="D50" s="51" t="s">
        <v>472</v>
      </c>
      <c r="E50" s="61" t="str">
        <f>IFERROR(VLOOKUP(D50,'Master List'!D:H,2,FALSE),"NA")</f>
        <v>151201</v>
      </c>
      <c r="F50" s="62" t="str">
        <f>IFERROR(VLOOKUP(D50,'Master List'!D:H,3,FALSE),"NA")</f>
        <v>151201</v>
      </c>
      <c r="G50" s="58" t="str">
        <f>IFERROR(VLOOKUP(D50,'Master List'!D:H,4,FALSE),"NA")</f>
        <v>151201</v>
      </c>
      <c r="H50" s="39" t="str">
        <f>IFERROR(VLOOKUP(D50,'Master List'!D:H,5,FALSE),"NA")</f>
        <v>Computer Engineering Technology/Technician.</v>
      </c>
      <c r="I50" s="19"/>
      <c r="J50" s="20"/>
      <c r="K50" s="18"/>
      <c r="L50" s="22"/>
    </row>
    <row r="51" spans="1:12" x14ac:dyDescent="0.3">
      <c r="A51" s="33">
        <v>26</v>
      </c>
      <c r="B51" s="33" t="s">
        <v>2171</v>
      </c>
      <c r="C51" s="34" t="s">
        <v>599</v>
      </c>
      <c r="D51" s="51" t="s">
        <v>371</v>
      </c>
      <c r="E51" s="61" t="str">
        <f>IFERROR(VLOOKUP(D51,'Master List'!D:H,2,FALSE),"NA")</f>
        <v>520209</v>
      </c>
      <c r="F51" s="62" t="str">
        <f>IFERROR(VLOOKUP(D51,'Master List'!D:H,3,FALSE),"NA")</f>
        <v>520209</v>
      </c>
      <c r="G51" s="58" t="str">
        <f>IFERROR(VLOOKUP(D51,'Master List'!D:H,4,FALSE),"NA")</f>
        <v>520209</v>
      </c>
      <c r="H51" s="39" t="str">
        <f>IFERROR(VLOOKUP(D51,'Master List'!D:H,5,FALSE),"NA")</f>
        <v>Transportation/Mobility Management.</v>
      </c>
      <c r="I51" s="19"/>
      <c r="J51" s="20"/>
      <c r="K51" s="18"/>
      <c r="L51" s="22"/>
    </row>
    <row r="52" spans="1:12" x14ac:dyDescent="0.3">
      <c r="A52" s="33">
        <v>26</v>
      </c>
      <c r="B52" s="33" t="s">
        <v>2171</v>
      </c>
      <c r="C52" s="34" t="s">
        <v>599</v>
      </c>
      <c r="D52" s="51" t="s">
        <v>128</v>
      </c>
      <c r="E52" s="61" t="str">
        <f>IFERROR(VLOOKUP(D52,'Master List'!D:H,2,FALSE),"NA")</f>
        <v>430103</v>
      </c>
      <c r="F52" s="62" t="str">
        <f>IFERROR(VLOOKUP(D52,'Master List'!D:H,3,FALSE),"NA")</f>
        <v>430103</v>
      </c>
      <c r="G52" s="58" t="str">
        <f>IFERROR(VLOOKUP(D52,'Master List'!D:H,4,FALSE),"NA")</f>
        <v>430103</v>
      </c>
      <c r="H52" s="39" t="str">
        <f>IFERROR(VLOOKUP(D52,'Master List'!D:H,5,FALSE),"NA")</f>
        <v>Criminal Justice/Law Enforcement Administration.</v>
      </c>
      <c r="I52" s="19"/>
      <c r="J52" s="20"/>
      <c r="K52" s="18"/>
      <c r="L52" s="22"/>
    </row>
    <row r="53" spans="1:12" x14ac:dyDescent="0.3">
      <c r="A53" s="33">
        <v>26</v>
      </c>
      <c r="B53" s="33" t="s">
        <v>2171</v>
      </c>
      <c r="C53" s="34" t="s">
        <v>599</v>
      </c>
      <c r="D53" s="51" t="s">
        <v>375</v>
      </c>
      <c r="E53" s="61" t="str">
        <f>IFERROR(VLOOKUP(D53,'Master List'!D:H,2,FALSE),"NA")</f>
        <v>430201</v>
      </c>
      <c r="F53" s="62" t="str">
        <f>IFERROR(VLOOKUP(D53,'Master List'!D:H,3,FALSE),"NA")</f>
        <v>430201</v>
      </c>
      <c r="G53" s="58" t="str">
        <f>IFERROR(VLOOKUP(D53,'Master List'!D:H,4,FALSE),"NA")</f>
        <v>430201</v>
      </c>
      <c r="H53" s="39" t="str">
        <f>IFERROR(VLOOKUP(D53,'Master List'!D:H,5,FALSE),"NA")</f>
        <v>Fire Prevention and Safety Technology/Technician.</v>
      </c>
      <c r="I53" s="19"/>
      <c r="J53" s="20"/>
      <c r="K53" s="18"/>
      <c r="L53" s="22"/>
    </row>
  </sheetData>
  <sheetProtection algorithmName="SHA-512" hashValue="2CrjUwn3oBEByUNpmy9rCXX0H6BLIEF62E5zXwChO9Ss9X0jnGTY5w8Il4/5i+PqMaMuzD5TYx+lQ2nt1hYjvQ==" saltValue="1GEewsN/qP3kDK4sISX3kw==" spinCount="100000" sheet="1" objects="1" scenarios="1" sort="0" autoFilter="0"/>
  <autoFilter ref="A2:L53"/>
  <mergeCells count="3">
    <mergeCell ref="A1:D1"/>
    <mergeCell ref="E1:H1"/>
    <mergeCell ref="I1:L1"/>
  </mergeCells>
  <dataValidations count="1">
    <dataValidation type="list" allowBlank="1" showInputMessage="1" showErrorMessage="1" sqref="I3:I53">
      <formula1>"Agree,Disagree"</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5.6640625" style="17" customWidth="1"/>
    <col min="5" max="7" width="12" style="54" customWidth="1"/>
    <col min="8" max="8" width="76.6640625" style="25" bestFit="1" customWidth="1"/>
    <col min="9" max="10" width="27" style="17" customWidth="1"/>
    <col min="11" max="11" width="34.88671875" style="17" customWidth="1"/>
    <col min="12" max="12" width="35.6640625" style="17" customWidth="1"/>
    <col min="13" max="16384" width="8.88671875" style="17"/>
  </cols>
  <sheetData>
    <row r="1" spans="1:12" s="27" customFormat="1" ht="82.9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2169</v>
      </c>
      <c r="I2" s="15" t="s">
        <v>2151</v>
      </c>
      <c r="J2" s="15" t="s">
        <v>2152</v>
      </c>
      <c r="K2" s="15" t="s">
        <v>5</v>
      </c>
      <c r="L2" s="15" t="s">
        <v>2153</v>
      </c>
    </row>
    <row r="3" spans="1:12" x14ac:dyDescent="0.3">
      <c r="A3" s="33">
        <v>27</v>
      </c>
      <c r="B3" s="33" t="s">
        <v>2172</v>
      </c>
      <c r="C3" s="34" t="s">
        <v>587</v>
      </c>
      <c r="D3" s="51" t="s">
        <v>8</v>
      </c>
      <c r="E3" s="61" t="str">
        <f>IFERROR(VLOOKUP(D3,'Master List'!D:H,2,FALSE),"NA")</f>
        <v>510601</v>
      </c>
      <c r="F3" s="62" t="str">
        <f>IFERROR(VLOOKUP(D3,'Master List'!D:H,3,FALSE),"NA")</f>
        <v>510601</v>
      </c>
      <c r="G3" s="58" t="str">
        <f>IFERROR(VLOOKUP(D3,'Master List'!D:H,4,FALSE),"NA")</f>
        <v>510601</v>
      </c>
      <c r="H3" s="39" t="str">
        <f>IFERROR(VLOOKUP(D3,'Master List'!D:H,5,FALSE),"NA")</f>
        <v>Dental Assisting/Assistant.</v>
      </c>
      <c r="I3" s="19"/>
      <c r="J3" s="20"/>
      <c r="K3" s="18"/>
      <c r="L3" s="22"/>
    </row>
    <row r="4" spans="1:12" x14ac:dyDescent="0.3">
      <c r="A4" s="33">
        <v>27</v>
      </c>
      <c r="B4" s="33" t="s">
        <v>2172</v>
      </c>
      <c r="C4" s="34" t="s">
        <v>587</v>
      </c>
      <c r="D4" s="51" t="s">
        <v>195</v>
      </c>
      <c r="E4" s="61" t="str">
        <f>IFERROR(VLOOKUP(D4,'Master List'!D:H,2,FALSE),"NA")</f>
        <v>510707</v>
      </c>
      <c r="F4" s="62" t="str">
        <f>IFERROR(VLOOKUP(D4,'Master List'!D:H,3,FALSE),"NA")</f>
        <v>510707</v>
      </c>
      <c r="G4" s="58" t="str">
        <f>IFERROR(VLOOKUP(D4,'Master List'!D:H,4,FALSE),"NA")</f>
        <v>510707</v>
      </c>
      <c r="H4" s="39" t="str">
        <f>IFERROR(VLOOKUP(D4,'Master List'!D:H,5,FALSE),"NA")</f>
        <v>Health Information/Medical Records Technology/Technician.</v>
      </c>
      <c r="I4" s="19"/>
      <c r="J4" s="20"/>
      <c r="K4" s="18"/>
      <c r="L4" s="22"/>
    </row>
    <row r="5" spans="1:12" x14ac:dyDescent="0.3">
      <c r="A5" s="33">
        <v>27</v>
      </c>
      <c r="B5" s="33" t="s">
        <v>2172</v>
      </c>
      <c r="C5" s="34" t="s">
        <v>587</v>
      </c>
      <c r="D5" s="51" t="s">
        <v>11</v>
      </c>
      <c r="E5" s="61" t="str">
        <f>IFERROR(VLOOKUP(D5,'Master List'!D:H,2,FALSE),"NA")</f>
        <v>510805</v>
      </c>
      <c r="F5" s="62" t="str">
        <f>IFERROR(VLOOKUP(D5,'Master List'!D:H,3,FALSE),"NA")</f>
        <v>510805</v>
      </c>
      <c r="G5" s="58" t="str">
        <f>IFERROR(VLOOKUP(D5,'Master List'!D:H,4,FALSE),"NA")</f>
        <v>510805</v>
      </c>
      <c r="H5" s="39" t="str">
        <f>IFERROR(VLOOKUP(D5,'Master List'!D:H,5,FALSE),"NA")</f>
        <v>Pharmacy Technician/Assistant.</v>
      </c>
      <c r="I5" s="19"/>
      <c r="J5" s="20"/>
      <c r="K5" s="18"/>
      <c r="L5" s="22"/>
    </row>
    <row r="6" spans="1:12" x14ac:dyDescent="0.3">
      <c r="A6" s="33">
        <v>27</v>
      </c>
      <c r="B6" s="33" t="s">
        <v>2172</v>
      </c>
      <c r="C6" s="34" t="s">
        <v>587</v>
      </c>
      <c r="D6" s="51" t="s">
        <v>203</v>
      </c>
      <c r="E6" s="61" t="str">
        <f>IFERROR(VLOOKUP(D6,'Master List'!D:H,2,FALSE),"NA")</f>
        <v>510805</v>
      </c>
      <c r="F6" s="62" t="str">
        <f>IFERROR(VLOOKUP(D6,'Master List'!D:H,3,FALSE),"NA")</f>
        <v>510805</v>
      </c>
      <c r="G6" s="58" t="str">
        <f>IFERROR(VLOOKUP(D6,'Master List'!D:H,4,FALSE),"NA")</f>
        <v>510805</v>
      </c>
      <c r="H6" s="39" t="str">
        <f>IFERROR(VLOOKUP(D6,'Master List'!D:H,5,FALSE),"NA")</f>
        <v>Pharmacy Technician/Assistant.</v>
      </c>
      <c r="I6" s="19"/>
      <c r="J6" s="20"/>
      <c r="K6" s="18"/>
      <c r="L6" s="22"/>
    </row>
    <row r="7" spans="1:12" x14ac:dyDescent="0.3">
      <c r="A7" s="33">
        <v>27</v>
      </c>
      <c r="B7" s="33" t="s">
        <v>2172</v>
      </c>
      <c r="C7" s="34" t="s">
        <v>587</v>
      </c>
      <c r="D7" s="51" t="s">
        <v>14</v>
      </c>
      <c r="E7" s="61" t="str">
        <f>IFERROR(VLOOKUP(D7,'Master List'!D:H,2,FALSE),"NA")</f>
        <v>510904</v>
      </c>
      <c r="F7" s="62" t="str">
        <f>IFERROR(VLOOKUP(D7,'Master List'!D:H,3,FALSE),"NA")</f>
        <v>510904</v>
      </c>
      <c r="G7" s="58" t="str">
        <f>IFERROR(VLOOKUP(D7,'Master List'!D:H,4,FALSE),"NA")</f>
        <v>510904</v>
      </c>
      <c r="H7" s="39" t="str">
        <f>IFERROR(VLOOKUP(D7,'Master List'!D:H,5,FALSE),"NA")</f>
        <v>Emergency Medical Technology/Technician (EMT Paramedic).</v>
      </c>
      <c r="I7" s="19"/>
      <c r="J7" s="20"/>
      <c r="K7" s="18"/>
      <c r="L7" s="22"/>
    </row>
    <row r="8" spans="1:12" x14ac:dyDescent="0.3">
      <c r="A8" s="33">
        <v>27</v>
      </c>
      <c r="B8" s="33" t="s">
        <v>2172</v>
      </c>
      <c r="C8" s="34" t="s">
        <v>587</v>
      </c>
      <c r="D8" s="51" t="s">
        <v>17</v>
      </c>
      <c r="E8" s="61" t="str">
        <f>IFERROR(VLOOKUP(D8,'Master List'!D:H,2,FALSE),"NA")</f>
        <v>510904</v>
      </c>
      <c r="F8" s="62" t="str">
        <f>IFERROR(VLOOKUP(D8,'Master List'!D:H,3,FALSE),"NA")</f>
        <v>510904</v>
      </c>
      <c r="G8" s="58" t="str">
        <f>IFERROR(VLOOKUP(D8,'Master List'!D:H,4,FALSE),"NA")</f>
        <v>510904</v>
      </c>
      <c r="H8" s="39" t="str">
        <f>IFERROR(VLOOKUP(D8,'Master List'!D:H,5,FALSE),"NA")</f>
        <v>Emergency Medical Technology/Technician (EMT Paramedic).</v>
      </c>
      <c r="I8" s="19"/>
      <c r="J8" s="20"/>
      <c r="K8" s="18"/>
      <c r="L8" s="22"/>
    </row>
    <row r="9" spans="1:12" x14ac:dyDescent="0.3">
      <c r="A9" s="33">
        <v>27</v>
      </c>
      <c r="B9" s="33" t="s">
        <v>2172</v>
      </c>
      <c r="C9" s="34" t="s">
        <v>587</v>
      </c>
      <c r="D9" s="51" t="s">
        <v>18</v>
      </c>
      <c r="E9" s="61" t="str">
        <f>IFERROR(VLOOKUP(D9,'Master List'!D:H,2,FALSE),"NA")</f>
        <v>510909</v>
      </c>
      <c r="F9" s="62" t="str">
        <f>IFERROR(VLOOKUP(D9,'Master List'!D:H,3,FALSE),"NA")</f>
        <v>510909</v>
      </c>
      <c r="G9" s="58" t="str">
        <f>IFERROR(VLOOKUP(D9,'Master List'!D:H,4,FALSE),"NA")</f>
        <v>510909</v>
      </c>
      <c r="H9" s="39" t="str">
        <f>IFERROR(VLOOKUP(D9,'Master List'!D:H,5,FALSE),"NA")</f>
        <v>Surgical Technology/Technologist.</v>
      </c>
      <c r="I9" s="19"/>
      <c r="J9" s="20"/>
      <c r="K9" s="18"/>
      <c r="L9" s="22"/>
    </row>
    <row r="10" spans="1:12" x14ac:dyDescent="0.3">
      <c r="A10" s="33">
        <v>27</v>
      </c>
      <c r="B10" s="33" t="s">
        <v>2172</v>
      </c>
      <c r="C10" s="34" t="s">
        <v>587</v>
      </c>
      <c r="D10" s="51" t="s">
        <v>25</v>
      </c>
      <c r="E10" s="61" t="str">
        <f>IFERROR(VLOOKUP(D10,'Master List'!D:H,2,FALSE),"NA")</f>
        <v>513902</v>
      </c>
      <c r="F10" s="62" t="str">
        <f>IFERROR(VLOOKUP(D10,'Master List'!D:H,3,FALSE),"NA")</f>
        <v>513902</v>
      </c>
      <c r="G10" s="58" t="str">
        <f>IFERROR(VLOOKUP(D10,'Master List'!D:H,4,FALSE),"NA")</f>
        <v>513902</v>
      </c>
      <c r="H10" s="39" t="str">
        <f>IFERROR(VLOOKUP(D10,'Master List'!D:H,5,FALSE),"NA")</f>
        <v>Nursing Assistant/Aide and Patient Care Assistant/Aide.</v>
      </c>
      <c r="I10" s="19"/>
      <c r="J10" s="20"/>
      <c r="K10" s="18"/>
      <c r="L10" s="22"/>
    </row>
    <row r="11" spans="1:12" x14ac:dyDescent="0.3">
      <c r="A11" s="33">
        <v>27</v>
      </c>
      <c r="B11" s="33" t="s">
        <v>2172</v>
      </c>
      <c r="C11" s="34" t="s">
        <v>587</v>
      </c>
      <c r="D11" s="51" t="s">
        <v>28</v>
      </c>
      <c r="E11" s="61" t="str">
        <f>IFERROR(VLOOKUP(D11,'Master List'!D:H,2,FALSE),"NA")</f>
        <v>190709</v>
      </c>
      <c r="F11" s="62" t="str">
        <f>IFERROR(VLOOKUP(D11,'Master List'!D:H,3,FALSE),"NA")</f>
        <v>190709</v>
      </c>
      <c r="G11" s="58" t="str">
        <f>IFERROR(VLOOKUP(D11,'Master List'!D:H,4,FALSE),"NA")</f>
        <v>190709</v>
      </c>
      <c r="H11" s="39" t="str">
        <f>IFERROR(VLOOKUP(D11,'Master List'!D:H,5,FALSE),"NA")</f>
        <v>Child Care Provider/Assistant.</v>
      </c>
      <c r="I11" s="19"/>
      <c r="J11" s="20"/>
      <c r="K11" s="18"/>
      <c r="L11" s="22"/>
    </row>
    <row r="12" spans="1:12" x14ac:dyDescent="0.3">
      <c r="A12" s="33">
        <v>27</v>
      </c>
      <c r="B12" s="33" t="s">
        <v>2172</v>
      </c>
      <c r="C12" s="34" t="s">
        <v>587</v>
      </c>
      <c r="D12" s="51" t="s">
        <v>588</v>
      </c>
      <c r="E12" s="61" t="str">
        <f>IFERROR(VLOOKUP(D12,'Master List'!D:H,2,FALSE),"NA")</f>
        <v>190709</v>
      </c>
      <c r="F12" s="62" t="str">
        <f>IFERROR(VLOOKUP(D12,'Master List'!D:H,3,FALSE),"NA")</f>
        <v>190709</v>
      </c>
      <c r="G12" s="58" t="str">
        <f>IFERROR(VLOOKUP(D12,'Master List'!D:H,4,FALSE),"NA")</f>
        <v>190709</v>
      </c>
      <c r="H12" s="39" t="str">
        <f>IFERROR(VLOOKUP(D12,'Master List'!D:H,5,FALSE),"NA")</f>
        <v>Child Care Provider/Assistant.</v>
      </c>
      <c r="I12" s="19"/>
      <c r="J12" s="20"/>
      <c r="K12" s="18"/>
      <c r="L12" s="22"/>
    </row>
    <row r="13" spans="1:12" x14ac:dyDescent="0.3">
      <c r="A13" s="33">
        <v>27</v>
      </c>
      <c r="B13" s="33" t="s">
        <v>2172</v>
      </c>
      <c r="C13" s="34" t="s">
        <v>587</v>
      </c>
      <c r="D13" s="51" t="s">
        <v>589</v>
      </c>
      <c r="E13" s="61" t="str">
        <f>IFERROR(VLOOKUP(D13,'Master List'!D:H,2,FALSE),"NA")</f>
        <v>190709</v>
      </c>
      <c r="F13" s="62" t="str">
        <f>IFERROR(VLOOKUP(D13,'Master List'!D:H,3,FALSE),"NA")</f>
        <v>190709</v>
      </c>
      <c r="G13" s="58" t="str">
        <f>IFERROR(VLOOKUP(D13,'Master List'!D:H,4,FALSE),"NA")</f>
        <v>190709</v>
      </c>
      <c r="H13" s="39" t="str">
        <f>IFERROR(VLOOKUP(D13,'Master List'!D:H,5,FALSE),"NA")</f>
        <v>Child Care Provider/Assistant.</v>
      </c>
      <c r="I13" s="19"/>
      <c r="J13" s="20"/>
      <c r="K13" s="18"/>
      <c r="L13" s="22"/>
    </row>
    <row r="14" spans="1:12" x14ac:dyDescent="0.3">
      <c r="A14" s="33">
        <v>27</v>
      </c>
      <c r="B14" s="33" t="s">
        <v>2172</v>
      </c>
      <c r="C14" s="34" t="s">
        <v>587</v>
      </c>
      <c r="D14" s="51" t="s">
        <v>389</v>
      </c>
      <c r="E14" s="61" t="str">
        <f>IFERROR(VLOOKUP(D14,'Master List'!D:H,2,FALSE),"NA")</f>
        <v>110201</v>
      </c>
      <c r="F14" s="62" t="str">
        <f>IFERROR(VLOOKUP(D14,'Master List'!D:H,3,FALSE),"NA")</f>
        <v>110201</v>
      </c>
      <c r="G14" s="58" t="str">
        <f>IFERROR(VLOOKUP(D14,'Master List'!D:H,4,FALSE),"NA")</f>
        <v>110201</v>
      </c>
      <c r="H14" s="39" t="str">
        <f>IFERROR(VLOOKUP(D14,'Master List'!D:H,5,FALSE),"NA")</f>
        <v>Computer Programming/Programmer, General.</v>
      </c>
      <c r="I14" s="19"/>
      <c r="J14" s="20"/>
      <c r="K14" s="18"/>
      <c r="L14" s="22"/>
    </row>
    <row r="15" spans="1:12" x14ac:dyDescent="0.3">
      <c r="A15" s="33">
        <v>27</v>
      </c>
      <c r="B15" s="33" t="s">
        <v>2172</v>
      </c>
      <c r="C15" s="34" t="s">
        <v>587</v>
      </c>
      <c r="D15" s="51" t="s">
        <v>390</v>
      </c>
      <c r="E15" s="61" t="str">
        <f>IFERROR(VLOOKUP(D15,'Master List'!D:H,2,FALSE),"NA")</f>
        <v>110202</v>
      </c>
      <c r="F15" s="62" t="str">
        <f>IFERROR(VLOOKUP(D15,'Master List'!D:H,3,FALSE),"NA")</f>
        <v>110202</v>
      </c>
      <c r="G15" s="58" t="str">
        <f>IFERROR(VLOOKUP(D15,'Master List'!D:H,4,FALSE),"NA")</f>
        <v>110202</v>
      </c>
      <c r="H15" s="39" t="str">
        <f>IFERROR(VLOOKUP(D15,'Master List'!D:H,5,FALSE),"NA")</f>
        <v>Computer Programming, Specific Applications.</v>
      </c>
      <c r="I15" s="19"/>
      <c r="J15" s="20"/>
      <c r="K15" s="18"/>
      <c r="L15" s="22"/>
    </row>
    <row r="16" spans="1:12" x14ac:dyDescent="0.3">
      <c r="A16" s="33">
        <v>27</v>
      </c>
      <c r="B16" s="33" t="s">
        <v>2172</v>
      </c>
      <c r="C16" s="34" t="s">
        <v>587</v>
      </c>
      <c r="D16" s="51" t="s">
        <v>421</v>
      </c>
      <c r="E16" s="61" t="str">
        <f>IFERROR(VLOOKUP(D16,'Master List'!D:H,2,FALSE),"NA")</f>
        <v>110801</v>
      </c>
      <c r="F16" s="62" t="str">
        <f>IFERROR(VLOOKUP(D16,'Master List'!D:H,3,FALSE),"NA")</f>
        <v>110801</v>
      </c>
      <c r="G16" s="58" t="str">
        <f>IFERROR(VLOOKUP(D16,'Master List'!D:H,4,FALSE),"NA")</f>
        <v>110801</v>
      </c>
      <c r="H16" s="39" t="str">
        <f>IFERROR(VLOOKUP(D16,'Master List'!D:H,5,FALSE),"NA")</f>
        <v>Web Page, Digital/Multimedia and Information Resources Design.</v>
      </c>
      <c r="I16" s="19"/>
      <c r="J16" s="20"/>
      <c r="K16" s="18"/>
      <c r="L16" s="22"/>
    </row>
    <row r="17" spans="1:12" x14ac:dyDescent="0.3">
      <c r="A17" s="33">
        <v>27</v>
      </c>
      <c r="B17" s="33" t="s">
        <v>2172</v>
      </c>
      <c r="C17" s="34" t="s">
        <v>587</v>
      </c>
      <c r="D17" s="51" t="s">
        <v>219</v>
      </c>
      <c r="E17" s="61" t="str">
        <f>IFERROR(VLOOKUP(D17,'Master List'!D:H,2,FALSE),"NA")</f>
        <v>111001</v>
      </c>
      <c r="F17" s="62" t="str">
        <f>IFERROR(VLOOKUP(D17,'Master List'!D:H,3,FALSE),"NA")</f>
        <v>111001</v>
      </c>
      <c r="G17" s="58" t="str">
        <f>IFERROR(VLOOKUP(D17,'Master List'!D:H,4,FALSE),"NA")</f>
        <v>111001</v>
      </c>
      <c r="H17" s="39" t="str">
        <f>IFERROR(VLOOKUP(D17,'Master List'!D:H,5,FALSE),"NA")</f>
        <v>Network and System Administration/Administrator.</v>
      </c>
      <c r="I17" s="19"/>
      <c r="J17" s="20"/>
      <c r="K17" s="18"/>
      <c r="L17" s="22"/>
    </row>
    <row r="18" spans="1:12" x14ac:dyDescent="0.3">
      <c r="A18" s="33">
        <v>27</v>
      </c>
      <c r="B18" s="33" t="s">
        <v>2172</v>
      </c>
      <c r="C18" s="34" t="s">
        <v>587</v>
      </c>
      <c r="D18" s="51" t="s">
        <v>34</v>
      </c>
      <c r="E18" s="61" t="str">
        <f>IFERROR(VLOOKUP(D18,'Master List'!D:H,2,FALSE),"NA")</f>
        <v>111001</v>
      </c>
      <c r="F18" s="62" t="str">
        <f>IFERROR(VLOOKUP(D18,'Master List'!D:H,3,FALSE),"NA")</f>
        <v>111001</v>
      </c>
      <c r="G18" s="58" t="str">
        <f>IFERROR(VLOOKUP(D18,'Master List'!D:H,4,FALSE),"NA")</f>
        <v>111001</v>
      </c>
      <c r="H18" s="39" t="str">
        <f>IFERROR(VLOOKUP(D18,'Master List'!D:H,5,FALSE),"NA")</f>
        <v>Network and System Administration/Administrator.</v>
      </c>
      <c r="I18" s="19"/>
      <c r="J18" s="20"/>
      <c r="K18" s="18"/>
      <c r="L18" s="22"/>
    </row>
    <row r="19" spans="1:12" x14ac:dyDescent="0.3">
      <c r="A19" s="33">
        <v>27</v>
      </c>
      <c r="B19" s="33" t="s">
        <v>2172</v>
      </c>
      <c r="C19" s="34" t="s">
        <v>587</v>
      </c>
      <c r="D19" s="51" t="s">
        <v>542</v>
      </c>
      <c r="E19" s="61" t="str">
        <f>IFERROR(VLOOKUP(D19,'Master List'!D:H,2,FALSE),"NA")</f>
        <v>111001</v>
      </c>
      <c r="F19" s="62" t="str">
        <f>IFERROR(VLOOKUP(D19,'Master List'!D:H,3,FALSE),"NA")</f>
        <v>111001</v>
      </c>
      <c r="G19" s="58" t="str">
        <f>IFERROR(VLOOKUP(D19,'Master List'!D:H,4,FALSE),"NA")</f>
        <v>111001</v>
      </c>
      <c r="H19" s="39" t="str">
        <f>IFERROR(VLOOKUP(D19,'Master List'!D:H,5,FALSE),"NA")</f>
        <v>Network and System Administration/Administrator.</v>
      </c>
      <c r="I19" s="19"/>
      <c r="J19" s="20"/>
      <c r="K19" s="18"/>
      <c r="L19" s="22"/>
    </row>
    <row r="20" spans="1:12" x14ac:dyDescent="0.3">
      <c r="A20" s="33">
        <v>27</v>
      </c>
      <c r="B20" s="33" t="s">
        <v>2172</v>
      </c>
      <c r="C20" s="34" t="s">
        <v>587</v>
      </c>
      <c r="D20" s="51" t="s">
        <v>35</v>
      </c>
      <c r="E20" s="61" t="str">
        <f>IFERROR(VLOOKUP(D20,'Master List'!D:H,2,FALSE),"NA")</f>
        <v>111001</v>
      </c>
      <c r="F20" s="62" t="str">
        <f>IFERROR(VLOOKUP(D20,'Master List'!D:H,3,FALSE),"NA")</f>
        <v>111001</v>
      </c>
      <c r="G20" s="58" t="str">
        <f>IFERROR(VLOOKUP(D20,'Master List'!D:H,4,FALSE),"NA")</f>
        <v>111001</v>
      </c>
      <c r="H20" s="39" t="str">
        <f>IFERROR(VLOOKUP(D20,'Master List'!D:H,5,FALSE),"NA")</f>
        <v>Network and System Administration/Administrator.</v>
      </c>
      <c r="I20" s="19"/>
      <c r="J20" s="20"/>
      <c r="K20" s="18"/>
      <c r="L20" s="22"/>
    </row>
    <row r="21" spans="1:12" x14ac:dyDescent="0.3">
      <c r="A21" s="33">
        <v>27</v>
      </c>
      <c r="B21" s="33" t="s">
        <v>2172</v>
      </c>
      <c r="C21" s="34" t="s">
        <v>587</v>
      </c>
      <c r="D21" s="51" t="s">
        <v>36</v>
      </c>
      <c r="E21" s="61" t="str">
        <f>IFERROR(VLOOKUP(D21,'Master List'!D:H,2,FALSE),"NA")</f>
        <v>111001</v>
      </c>
      <c r="F21" s="62" t="str">
        <f>IFERROR(VLOOKUP(D21,'Master List'!D:H,3,FALSE),"NA")</f>
        <v>111001</v>
      </c>
      <c r="G21" s="58" t="str">
        <f>IFERROR(VLOOKUP(D21,'Master List'!D:H,4,FALSE),"NA")</f>
        <v>111001</v>
      </c>
      <c r="H21" s="39" t="str">
        <f>IFERROR(VLOOKUP(D21,'Master List'!D:H,5,FALSE),"NA")</f>
        <v>Network and System Administration/Administrator.</v>
      </c>
      <c r="I21" s="19"/>
      <c r="J21" s="20"/>
      <c r="K21" s="18"/>
      <c r="L21" s="22"/>
    </row>
    <row r="22" spans="1:12" x14ac:dyDescent="0.3">
      <c r="A22" s="33">
        <v>27</v>
      </c>
      <c r="B22" s="33" t="s">
        <v>2172</v>
      </c>
      <c r="C22" s="34" t="s">
        <v>587</v>
      </c>
      <c r="D22" s="51" t="s">
        <v>590</v>
      </c>
      <c r="E22" s="61" t="str">
        <f>IFERROR(VLOOKUP(D22,'Master List'!D:H,2,FALSE),"NA")</f>
        <v>111003</v>
      </c>
      <c r="F22" s="62" t="str">
        <f>IFERROR(VLOOKUP(D22,'Master List'!D:H,3,FALSE),"NA")</f>
        <v>111003</v>
      </c>
      <c r="G22" s="58" t="str">
        <f>IFERROR(VLOOKUP(D22,'Master List'!D:H,4,FALSE),"NA")</f>
        <v>111003</v>
      </c>
      <c r="H22" s="39" t="str">
        <f>IFERROR(VLOOKUP(D22,'Master List'!D:H,5,FALSE),"NA")</f>
        <v>Computer and Information Systems Security/Auditing/Information Assurance.</v>
      </c>
      <c r="I22" s="19"/>
      <c r="J22" s="20"/>
      <c r="K22" s="18"/>
      <c r="L22" s="22"/>
    </row>
    <row r="23" spans="1:12" x14ac:dyDescent="0.3">
      <c r="A23" s="33">
        <v>27</v>
      </c>
      <c r="B23" s="33" t="s">
        <v>2172</v>
      </c>
      <c r="C23" s="34" t="s">
        <v>587</v>
      </c>
      <c r="D23" s="51" t="s">
        <v>153</v>
      </c>
      <c r="E23" s="61" t="str">
        <f>IFERROR(VLOOKUP(D23,'Master List'!D:H,2,FALSE),"NA")</f>
        <v>520201</v>
      </c>
      <c r="F23" s="62" t="str">
        <f>IFERROR(VLOOKUP(D23,'Master List'!D:H,3,FALSE),"NA")</f>
        <v>520201</v>
      </c>
      <c r="G23" s="58" t="str">
        <f>IFERROR(VLOOKUP(D23,'Master List'!D:H,4,FALSE),"NA")</f>
        <v>520201</v>
      </c>
      <c r="H23" s="39" t="str">
        <f>IFERROR(VLOOKUP(D23,'Master List'!D:H,5,FALSE),"NA")</f>
        <v>Business Administration and Management, General.</v>
      </c>
      <c r="I23" s="19"/>
      <c r="J23" s="20"/>
      <c r="K23" s="18"/>
      <c r="L23" s="22"/>
    </row>
    <row r="24" spans="1:12" x14ac:dyDescent="0.3">
      <c r="A24" s="33">
        <v>27</v>
      </c>
      <c r="B24" s="33" t="s">
        <v>2172</v>
      </c>
      <c r="C24" s="34" t="s">
        <v>587</v>
      </c>
      <c r="D24" s="51" t="s">
        <v>37</v>
      </c>
      <c r="E24" s="61" t="str">
        <f>IFERROR(VLOOKUP(D24,'Master List'!D:H,2,FALSE),"NA")</f>
        <v>520204</v>
      </c>
      <c r="F24" s="62" t="str">
        <f>IFERROR(VLOOKUP(D24,'Master List'!D:H,3,FALSE),"NA")</f>
        <v>520204</v>
      </c>
      <c r="G24" s="58" t="str">
        <f>IFERROR(VLOOKUP(D24,'Master List'!D:H,4,FALSE),"NA")</f>
        <v>520204</v>
      </c>
      <c r="H24" s="39" t="str">
        <f>IFERROR(VLOOKUP(D24,'Master List'!D:H,5,FALSE),"NA")</f>
        <v>Office Management and Supervision.</v>
      </c>
      <c r="I24" s="19"/>
      <c r="J24" s="20"/>
      <c r="K24" s="18"/>
      <c r="L24" s="22"/>
    </row>
    <row r="25" spans="1:12" x14ac:dyDescent="0.3">
      <c r="A25" s="33">
        <v>27</v>
      </c>
      <c r="B25" s="33" t="s">
        <v>2172</v>
      </c>
      <c r="C25" s="34" t="s">
        <v>587</v>
      </c>
      <c r="D25" s="51" t="s">
        <v>226</v>
      </c>
      <c r="E25" s="61" t="str">
        <f>IFERROR(VLOOKUP(D25,'Master List'!D:H,2,FALSE),"NA")</f>
        <v>520204</v>
      </c>
      <c r="F25" s="62" t="str">
        <f>IFERROR(VLOOKUP(D25,'Master List'!D:H,3,FALSE),"NA")</f>
        <v>520204</v>
      </c>
      <c r="G25" s="58" t="str">
        <f>IFERROR(VLOOKUP(D25,'Master List'!D:H,4,FALSE),"NA")</f>
        <v>520204</v>
      </c>
      <c r="H25" s="39" t="str">
        <f>IFERROR(VLOOKUP(D25,'Master List'!D:H,5,FALSE),"NA")</f>
        <v>Office Management and Supervision.</v>
      </c>
      <c r="I25" s="19"/>
      <c r="J25" s="20"/>
      <c r="K25" s="18"/>
      <c r="L25" s="22"/>
    </row>
    <row r="26" spans="1:12" x14ac:dyDescent="0.3">
      <c r="A26" s="33">
        <v>27</v>
      </c>
      <c r="B26" s="33" t="s">
        <v>2172</v>
      </c>
      <c r="C26" s="34" t="s">
        <v>587</v>
      </c>
      <c r="D26" s="51" t="s">
        <v>227</v>
      </c>
      <c r="E26" s="61" t="str">
        <f>IFERROR(VLOOKUP(D26,'Master List'!D:H,2,FALSE),"NA")</f>
        <v>520302</v>
      </c>
      <c r="F26" s="62" t="str">
        <f>IFERROR(VLOOKUP(D26,'Master List'!D:H,3,FALSE),"NA")</f>
        <v>520302</v>
      </c>
      <c r="G26" s="58" t="str">
        <f>IFERROR(VLOOKUP(D26,'Master List'!D:H,4,FALSE),"NA")</f>
        <v>520302</v>
      </c>
      <c r="H26" s="39" t="str">
        <f>IFERROR(VLOOKUP(D26,'Master List'!D:H,5,FALSE),"NA")</f>
        <v>Accounting Technology/Technician and Bookkeeping.</v>
      </c>
      <c r="I26" s="19"/>
      <c r="J26" s="20"/>
      <c r="K26" s="18"/>
      <c r="L26" s="22"/>
    </row>
    <row r="27" spans="1:12" x14ac:dyDescent="0.3">
      <c r="A27" s="33">
        <v>27</v>
      </c>
      <c r="B27" s="33" t="s">
        <v>2172</v>
      </c>
      <c r="C27" s="34" t="s">
        <v>587</v>
      </c>
      <c r="D27" s="51" t="s">
        <v>228</v>
      </c>
      <c r="E27" s="61" t="str">
        <f>IFERROR(VLOOKUP(D27,'Master List'!D:H,2,FALSE),"NA")</f>
        <v>520302</v>
      </c>
      <c r="F27" s="62" t="str">
        <f>IFERROR(VLOOKUP(D27,'Master List'!D:H,3,FALSE),"NA")</f>
        <v>520302</v>
      </c>
      <c r="G27" s="58" t="str">
        <f>IFERROR(VLOOKUP(D27,'Master List'!D:H,4,FALSE),"NA")</f>
        <v>520302</v>
      </c>
      <c r="H27" s="39" t="str">
        <f>IFERROR(VLOOKUP(D27,'Master List'!D:H,5,FALSE),"NA")</f>
        <v>Accounting Technology/Technician and Bookkeeping.</v>
      </c>
      <c r="I27" s="19"/>
      <c r="J27" s="20"/>
      <c r="K27" s="18"/>
      <c r="L27" s="22"/>
    </row>
    <row r="28" spans="1:12" x14ac:dyDescent="0.3">
      <c r="A28" s="33">
        <v>27</v>
      </c>
      <c r="B28" s="33" t="s">
        <v>2172</v>
      </c>
      <c r="C28" s="34" t="s">
        <v>587</v>
      </c>
      <c r="D28" s="51" t="s">
        <v>40</v>
      </c>
      <c r="E28" s="61" t="str">
        <f>IFERROR(VLOOKUP(D28,'Master List'!D:H,2,FALSE),"NA")</f>
        <v>520302</v>
      </c>
      <c r="F28" s="62" t="str">
        <f>IFERROR(VLOOKUP(D28,'Master List'!D:H,3,FALSE),"NA")</f>
        <v>520302</v>
      </c>
      <c r="G28" s="58" t="str">
        <f>IFERROR(VLOOKUP(D28,'Master List'!D:H,4,FALSE),"NA")</f>
        <v>520302</v>
      </c>
      <c r="H28" s="39" t="str">
        <f>IFERROR(VLOOKUP(D28,'Master List'!D:H,5,FALSE),"NA")</f>
        <v>Accounting Technology/Technician and Bookkeeping.</v>
      </c>
      <c r="I28" s="19"/>
      <c r="J28" s="20"/>
      <c r="K28" s="18"/>
      <c r="L28" s="22"/>
    </row>
    <row r="29" spans="1:12" x14ac:dyDescent="0.3">
      <c r="A29" s="33">
        <v>27</v>
      </c>
      <c r="B29" s="33" t="s">
        <v>2172</v>
      </c>
      <c r="C29" s="34" t="s">
        <v>587</v>
      </c>
      <c r="D29" s="51" t="s">
        <v>229</v>
      </c>
      <c r="E29" s="61" t="str">
        <f>IFERROR(VLOOKUP(D29,'Master List'!D:H,2,FALSE),"NA")</f>
        <v>520407</v>
      </c>
      <c r="F29" s="62" t="str">
        <f>IFERROR(VLOOKUP(D29,'Master List'!D:H,3,FALSE),"NA")</f>
        <v>520407</v>
      </c>
      <c r="G29" s="58" t="str">
        <f>IFERROR(VLOOKUP(D29,'Master List'!D:H,4,FALSE),"NA")</f>
        <v>520407</v>
      </c>
      <c r="H29" s="39" t="str">
        <f>IFERROR(VLOOKUP(D29,'Master List'!D:H,5,FALSE),"NA")</f>
        <v>Business/Office Automation/Technology/Data Entry.</v>
      </c>
      <c r="I29" s="19"/>
      <c r="J29" s="20"/>
      <c r="K29" s="18"/>
      <c r="L29" s="22"/>
    </row>
    <row r="30" spans="1:12" x14ac:dyDescent="0.3">
      <c r="A30" s="33">
        <v>27</v>
      </c>
      <c r="B30" s="33" t="s">
        <v>2172</v>
      </c>
      <c r="C30" s="34" t="s">
        <v>587</v>
      </c>
      <c r="D30" s="51" t="s">
        <v>232</v>
      </c>
      <c r="E30" s="61" t="str">
        <f>IFERROR(VLOOKUP(D30,'Master List'!D:H,2,FALSE),"NA")</f>
        <v>520701</v>
      </c>
      <c r="F30" s="62" t="str">
        <f>IFERROR(VLOOKUP(D30,'Master List'!D:H,3,FALSE),"NA")</f>
        <v>520701</v>
      </c>
      <c r="G30" s="58" t="str">
        <f>IFERROR(VLOOKUP(D30,'Master List'!D:H,4,FALSE),"NA")</f>
        <v>520701</v>
      </c>
      <c r="H30" s="39" t="str">
        <f>IFERROR(VLOOKUP(D30,'Master List'!D:H,5,FALSE),"NA")</f>
        <v>Entrepreneurship/Entrepreneurial Studies.</v>
      </c>
      <c r="I30" s="19"/>
      <c r="J30" s="20"/>
      <c r="K30" s="18"/>
      <c r="L30" s="22"/>
    </row>
    <row r="31" spans="1:12" x14ac:dyDescent="0.3">
      <c r="A31" s="33">
        <v>27</v>
      </c>
      <c r="B31" s="33" t="s">
        <v>2172</v>
      </c>
      <c r="C31" s="34" t="s">
        <v>587</v>
      </c>
      <c r="D31" s="51" t="s">
        <v>233</v>
      </c>
      <c r="E31" s="61" t="str">
        <f>IFERROR(VLOOKUP(D31,'Master List'!D:H,2,FALSE),"NA")</f>
        <v>520703</v>
      </c>
      <c r="F31" s="62" t="str">
        <f>IFERROR(VLOOKUP(D31,'Master List'!D:H,3,FALSE),"NA")</f>
        <v>520703</v>
      </c>
      <c r="G31" s="58" t="str">
        <f>IFERROR(VLOOKUP(D31,'Master List'!D:H,4,FALSE),"NA")</f>
        <v>520703</v>
      </c>
      <c r="H31" s="39" t="str">
        <f>IFERROR(VLOOKUP(D31,'Master List'!D:H,5,FALSE),"NA")</f>
        <v>Small Business Administration/Management.</v>
      </c>
      <c r="I31" s="19"/>
      <c r="J31" s="20"/>
      <c r="K31" s="18"/>
      <c r="L31" s="22"/>
    </row>
    <row r="32" spans="1:12" x14ac:dyDescent="0.3">
      <c r="A32" s="33">
        <v>27</v>
      </c>
      <c r="B32" s="33" t="s">
        <v>2172</v>
      </c>
      <c r="C32" s="34" t="s">
        <v>587</v>
      </c>
      <c r="D32" s="51" t="s">
        <v>591</v>
      </c>
      <c r="E32" s="61" t="str">
        <f>IFERROR(VLOOKUP(D32,'Master List'!D:H,2,FALSE),"NA")</f>
        <v>090702</v>
      </c>
      <c r="F32" s="62" t="str">
        <f>IFERROR(VLOOKUP(D32,'Master List'!D:H,3,FALSE),"NA")</f>
        <v>090702</v>
      </c>
      <c r="G32" s="58" t="str">
        <f>IFERROR(VLOOKUP(D32,'Master List'!D:H,4,FALSE),"NA")</f>
        <v>090702</v>
      </c>
      <c r="H32" s="39" t="str">
        <f>IFERROR(VLOOKUP(D32,'Master List'!D:H,5,FALSE),"NA")</f>
        <v>Digital Communication and Media/Multimedia.</v>
      </c>
      <c r="I32" s="19"/>
      <c r="J32" s="20"/>
      <c r="K32" s="18"/>
      <c r="L32" s="22"/>
    </row>
    <row r="33" spans="1:12" x14ac:dyDescent="0.3">
      <c r="A33" s="33">
        <v>27</v>
      </c>
      <c r="B33" s="33" t="s">
        <v>2172</v>
      </c>
      <c r="C33" s="34" t="s">
        <v>587</v>
      </c>
      <c r="D33" s="51" t="s">
        <v>515</v>
      </c>
      <c r="E33" s="61" t="str">
        <f>IFERROR(VLOOKUP(D33,'Master List'!D:H,2,FALSE),"NA")</f>
        <v>110803</v>
      </c>
      <c r="F33" s="62" t="str">
        <f>IFERROR(VLOOKUP(D33,'Master List'!D:H,3,FALSE),"NA")</f>
        <v>110803</v>
      </c>
      <c r="G33" s="58" t="str">
        <f>IFERROR(VLOOKUP(D33,'Master List'!D:H,4,FALSE),"NA")</f>
        <v>110803</v>
      </c>
      <c r="H33" s="39" t="str">
        <f>IFERROR(VLOOKUP(D33,'Master List'!D:H,5,FALSE),"NA")</f>
        <v>Computer Graphics.</v>
      </c>
      <c r="I33" s="19"/>
      <c r="J33" s="20"/>
      <c r="K33" s="18"/>
      <c r="L33" s="22"/>
    </row>
    <row r="34" spans="1:12" x14ac:dyDescent="0.3">
      <c r="A34" s="33">
        <v>27</v>
      </c>
      <c r="B34" s="33" t="s">
        <v>2172</v>
      </c>
      <c r="C34" s="34" t="s">
        <v>587</v>
      </c>
      <c r="D34" s="51" t="s">
        <v>237</v>
      </c>
      <c r="E34" s="61" t="str">
        <f>IFERROR(VLOOKUP(D34,'Master List'!D:H,2,FALSE),"NA")</f>
        <v>110803</v>
      </c>
      <c r="F34" s="62" t="str">
        <f>IFERROR(VLOOKUP(D34,'Master List'!D:H,3,FALSE),"NA")</f>
        <v>110803</v>
      </c>
      <c r="G34" s="58" t="str">
        <f>IFERROR(VLOOKUP(D34,'Master List'!D:H,4,FALSE),"NA")</f>
        <v>110803</v>
      </c>
      <c r="H34" s="39" t="str">
        <f>IFERROR(VLOOKUP(D34,'Master List'!D:H,5,FALSE),"NA")</f>
        <v>Computer Graphics.</v>
      </c>
      <c r="I34" s="19"/>
      <c r="J34" s="20"/>
      <c r="K34" s="18"/>
      <c r="L34" s="22"/>
    </row>
    <row r="35" spans="1:12" x14ac:dyDescent="0.3">
      <c r="A35" s="33">
        <v>27</v>
      </c>
      <c r="B35" s="33" t="s">
        <v>2172</v>
      </c>
      <c r="C35" s="34" t="s">
        <v>587</v>
      </c>
      <c r="D35" s="51" t="s">
        <v>246</v>
      </c>
      <c r="E35" s="61" t="str">
        <f>IFERROR(VLOOKUP(D35,'Master List'!D:H,2,FALSE),"NA")</f>
        <v>150000</v>
      </c>
      <c r="F35" s="62" t="str">
        <f>IFERROR(VLOOKUP(D35,'Master List'!D:H,3,FALSE),"NA")</f>
        <v>150000</v>
      </c>
      <c r="G35" s="58" t="str">
        <f>IFERROR(VLOOKUP(D35,'Master List'!D:H,4,FALSE),"NA")</f>
        <v>150000</v>
      </c>
      <c r="H35" s="39" t="str">
        <f>IFERROR(VLOOKUP(D35,'Master List'!D:H,5,FALSE),"NA")</f>
        <v>Engineering Technologies/Technicians, General.</v>
      </c>
      <c r="I35" s="19"/>
      <c r="J35" s="20"/>
      <c r="K35" s="18"/>
      <c r="L35" s="22"/>
    </row>
    <row r="36" spans="1:12" x14ac:dyDescent="0.3">
      <c r="A36" s="33">
        <v>27</v>
      </c>
      <c r="B36" s="33" t="s">
        <v>2172</v>
      </c>
      <c r="C36" s="34" t="s">
        <v>587</v>
      </c>
      <c r="D36" s="51" t="s">
        <v>252</v>
      </c>
      <c r="E36" s="61" t="str">
        <f>IFERROR(VLOOKUP(D36,'Master List'!D:H,2,FALSE),"NA")</f>
        <v>150613</v>
      </c>
      <c r="F36" s="62" t="str">
        <f>IFERROR(VLOOKUP(D36,'Master List'!D:H,3,FALSE),"NA")</f>
        <v>150613</v>
      </c>
      <c r="G36" s="58" t="str">
        <f>IFERROR(VLOOKUP(D36,'Master List'!D:H,4,FALSE),"NA")</f>
        <v>150613</v>
      </c>
      <c r="H36" s="39" t="str">
        <f>IFERROR(VLOOKUP(D36,'Master List'!D:H,5,FALSE),"NA")</f>
        <v>Manufacturing Engineering Technology/Technician.</v>
      </c>
      <c r="I36" s="19"/>
      <c r="J36" s="20"/>
      <c r="K36" s="18"/>
      <c r="L36" s="22"/>
    </row>
    <row r="37" spans="1:12" x14ac:dyDescent="0.3">
      <c r="A37" s="33">
        <v>27</v>
      </c>
      <c r="B37" s="33" t="s">
        <v>2172</v>
      </c>
      <c r="C37" s="34" t="s">
        <v>587</v>
      </c>
      <c r="D37" s="51" t="s">
        <v>564</v>
      </c>
      <c r="E37" s="61" t="str">
        <f>IFERROR(VLOOKUP(D37,'Master List'!D:H,2,FALSE),"NA")</f>
        <v>151001</v>
      </c>
      <c r="F37" s="62" t="str">
        <f>IFERROR(VLOOKUP(D37,'Master List'!D:H,3,FALSE),"NA")</f>
        <v>151001</v>
      </c>
      <c r="G37" s="58" t="str">
        <f>IFERROR(VLOOKUP(D37,'Master List'!D:H,4,FALSE),"NA")</f>
        <v>151001</v>
      </c>
      <c r="H37" s="39" t="str">
        <f>IFERROR(VLOOKUP(D37,'Master List'!D:H,5,FALSE),"NA")</f>
        <v>Construction Engineering Technology/Technician.</v>
      </c>
      <c r="I37" s="19"/>
      <c r="J37" s="20"/>
      <c r="K37" s="18"/>
      <c r="L37" s="22"/>
    </row>
    <row r="38" spans="1:12" x14ac:dyDescent="0.3">
      <c r="A38" s="33">
        <v>27</v>
      </c>
      <c r="B38" s="33" t="s">
        <v>2172</v>
      </c>
      <c r="C38" s="34" t="s">
        <v>587</v>
      </c>
      <c r="D38" s="51" t="s">
        <v>262</v>
      </c>
      <c r="E38" s="61" t="str">
        <f>IFERROR(VLOOKUP(D38,'Master List'!D:H,2,FALSE),"NA")</f>
        <v>151302</v>
      </c>
      <c r="F38" s="62" t="str">
        <f>IFERROR(VLOOKUP(D38,'Master List'!D:H,3,FALSE),"NA")</f>
        <v>151302</v>
      </c>
      <c r="G38" s="58" t="str">
        <f>IFERROR(VLOOKUP(D38,'Master List'!D:H,4,FALSE),"NA")</f>
        <v>151302</v>
      </c>
      <c r="H38" s="39" t="str">
        <f>IFERROR(VLOOKUP(D38,'Master List'!D:H,5,FALSE),"NA")</f>
        <v>CAD/CADD Drafting and/or Design Technology/Technician.</v>
      </c>
      <c r="I38" s="19"/>
      <c r="J38" s="20"/>
      <c r="K38" s="18"/>
      <c r="L38" s="22"/>
    </row>
    <row r="39" spans="1:12" x14ac:dyDescent="0.3">
      <c r="A39" s="33">
        <v>27</v>
      </c>
      <c r="B39" s="33" t="s">
        <v>2172</v>
      </c>
      <c r="C39" s="34" t="s">
        <v>587</v>
      </c>
      <c r="D39" s="51" t="s">
        <v>275</v>
      </c>
      <c r="E39" s="61" t="str">
        <f>IFERROR(VLOOKUP(D39,'Master List'!D:H,2,FALSE),"NA")</f>
        <v>470201</v>
      </c>
      <c r="F39" s="62" t="str">
        <f>IFERROR(VLOOKUP(D39,'Master List'!D:H,3,FALSE),"NA")</f>
        <v>470201</v>
      </c>
      <c r="G39" s="58" t="str">
        <f>IFERROR(VLOOKUP(D39,'Master List'!D:H,4,FALSE),"NA")</f>
        <v>470201</v>
      </c>
      <c r="H39" s="39" t="str">
        <f>IFERROR(VLOOKUP(D39,'Master List'!D:H,5,FALSE),"NA")</f>
        <v>Heating, Air Conditioning, Ventilation and Refrigeration Maintenance Technology/Technician.</v>
      </c>
      <c r="I39" s="19"/>
      <c r="J39" s="20"/>
      <c r="K39" s="18"/>
      <c r="L39" s="22"/>
    </row>
    <row r="40" spans="1:12" x14ac:dyDescent="0.3">
      <c r="A40" s="33">
        <v>27</v>
      </c>
      <c r="B40" s="33" t="s">
        <v>2172</v>
      </c>
      <c r="C40" s="34" t="s">
        <v>587</v>
      </c>
      <c r="D40" s="51" t="s">
        <v>592</v>
      </c>
      <c r="E40" s="61" t="str">
        <f>IFERROR(VLOOKUP(D40,'Master List'!D:H,2,FALSE),"NA")</f>
        <v>470303</v>
      </c>
      <c r="F40" s="62" t="str">
        <f>IFERROR(VLOOKUP(D40,'Master List'!D:H,3,FALSE),"NA")</f>
        <v>470303</v>
      </c>
      <c r="G40" s="58" t="str">
        <f>IFERROR(VLOOKUP(D40,'Master List'!D:H,4,FALSE),"NA")</f>
        <v>470303</v>
      </c>
      <c r="H40" s="39" t="str">
        <f>IFERROR(VLOOKUP(D40,'Master List'!D:H,5,FALSE),"NA")</f>
        <v>Industrial Mechanics and Maintenance Technology/Technician.</v>
      </c>
      <c r="I40" s="19"/>
      <c r="J40" s="20"/>
      <c r="K40" s="18"/>
      <c r="L40" s="22"/>
    </row>
    <row r="41" spans="1:12" x14ac:dyDescent="0.3">
      <c r="A41" s="33">
        <v>27</v>
      </c>
      <c r="B41" s="33" t="s">
        <v>2172</v>
      </c>
      <c r="C41" s="34" t="s">
        <v>587</v>
      </c>
      <c r="D41" s="51" t="s">
        <v>452</v>
      </c>
      <c r="E41" s="61" t="str">
        <f>IFERROR(VLOOKUP(D41,'Master List'!D:H,2,FALSE),"NA")</f>
        <v>NA</v>
      </c>
      <c r="F41" s="62" t="str">
        <f>IFERROR(VLOOKUP(D41,'Master List'!D:H,3,FALSE),"NA")</f>
        <v>NA</v>
      </c>
      <c r="G41" s="58" t="str">
        <f>IFERROR(VLOOKUP(D41,'Master List'!D:H,4,FALSE),"NA")</f>
        <v>NA</v>
      </c>
      <c r="H41" s="39" t="str">
        <f>IFERROR(VLOOKUP(D41,'Master List'!D:H,5,FALSE),"NA")</f>
        <v>NA</v>
      </c>
      <c r="I41" s="19"/>
      <c r="J41" s="20"/>
      <c r="K41" s="18"/>
      <c r="L41" s="22"/>
    </row>
    <row r="42" spans="1:12" x14ac:dyDescent="0.3">
      <c r="A42" s="33">
        <v>27</v>
      </c>
      <c r="B42" s="33" t="s">
        <v>2172</v>
      </c>
      <c r="C42" s="34" t="s">
        <v>587</v>
      </c>
      <c r="D42" s="51" t="s">
        <v>291</v>
      </c>
      <c r="E42" s="61" t="str">
        <f>IFERROR(VLOOKUP(D42,'Master List'!D:H,2,FALSE),"NA")</f>
        <v>480508</v>
      </c>
      <c r="F42" s="62" t="str">
        <f>IFERROR(VLOOKUP(D42,'Master List'!D:H,3,FALSE),"NA")</f>
        <v>480508</v>
      </c>
      <c r="G42" s="58" t="str">
        <f>IFERROR(VLOOKUP(D42,'Master List'!D:H,4,FALSE),"NA")</f>
        <v>480508</v>
      </c>
      <c r="H42" s="39" t="str">
        <f>IFERROR(VLOOKUP(D42,'Master List'!D:H,5,FALSE),"NA")</f>
        <v>Welding Technology/Welder.</v>
      </c>
      <c r="I42" s="19"/>
      <c r="J42" s="20"/>
      <c r="K42" s="18"/>
      <c r="L42" s="22"/>
    </row>
    <row r="43" spans="1:12" x14ac:dyDescent="0.3">
      <c r="A43" s="33">
        <v>27</v>
      </c>
      <c r="B43" s="33" t="s">
        <v>2172</v>
      </c>
      <c r="C43" s="34" t="s">
        <v>587</v>
      </c>
      <c r="D43" s="51" t="s">
        <v>304</v>
      </c>
      <c r="E43" s="61" t="str">
        <f>IFERROR(VLOOKUP(D43,'Master List'!D:H,2,FALSE),"NA")</f>
        <v>490205</v>
      </c>
      <c r="F43" s="62" t="str">
        <f>IFERROR(VLOOKUP(D43,'Master List'!D:H,3,FALSE),"NA")</f>
        <v>490205</v>
      </c>
      <c r="G43" s="58" t="str">
        <f>IFERROR(VLOOKUP(D43,'Master List'!D:H,4,FALSE),"NA")</f>
        <v>490205</v>
      </c>
      <c r="H43" s="39" t="str">
        <f>IFERROR(VLOOKUP(D43,'Master List'!D:H,5,FALSE),"NA")</f>
        <v>Truck and Bus Driver/Commercial Vehicle Operator and Instructor.</v>
      </c>
      <c r="I43" s="19"/>
      <c r="J43" s="20"/>
      <c r="K43" s="18"/>
      <c r="L43" s="22"/>
    </row>
    <row r="44" spans="1:12" x14ac:dyDescent="0.3">
      <c r="A44" s="33">
        <v>27</v>
      </c>
      <c r="B44" s="33" t="s">
        <v>2172</v>
      </c>
      <c r="C44" s="34" t="s">
        <v>587</v>
      </c>
      <c r="D44" s="51" t="s">
        <v>68</v>
      </c>
      <c r="E44" s="61" t="str">
        <f>IFERROR(VLOOKUP(D44,'Master List'!D:H,2,FALSE),"NA")</f>
        <v>430102</v>
      </c>
      <c r="F44" s="62" t="str">
        <f>IFERROR(VLOOKUP(D44,'Master List'!D:H,3,FALSE),"NA")</f>
        <v>430102</v>
      </c>
      <c r="G44" s="58" t="str">
        <f>IFERROR(VLOOKUP(D44,'Master List'!D:H,4,FALSE),"NA")</f>
        <v>430102</v>
      </c>
      <c r="H44" s="39" t="str">
        <f>IFERROR(VLOOKUP(D44,'Master List'!D:H,5,FALSE),"NA")</f>
        <v>Corrections.</v>
      </c>
      <c r="I44" s="19"/>
      <c r="J44" s="20"/>
      <c r="K44" s="18"/>
      <c r="L44" s="22"/>
    </row>
    <row r="45" spans="1:12" x14ac:dyDescent="0.3">
      <c r="A45" s="33">
        <v>27</v>
      </c>
      <c r="B45" s="33" t="s">
        <v>2172</v>
      </c>
      <c r="C45" s="34" t="s">
        <v>587</v>
      </c>
      <c r="D45" s="51" t="s">
        <v>595</v>
      </c>
      <c r="E45" s="61" t="str">
        <f>IFERROR(VLOOKUP(D45,'Master List'!D:H,2,FALSE),"NA")</f>
        <v>430102</v>
      </c>
      <c r="F45" s="62" t="str">
        <f>IFERROR(VLOOKUP(D45,'Master List'!D:H,3,FALSE),"NA")</f>
        <v>430102</v>
      </c>
      <c r="G45" s="58" t="str">
        <f>IFERROR(VLOOKUP(D45,'Master List'!D:H,4,FALSE),"NA")</f>
        <v>430102</v>
      </c>
      <c r="H45" s="39" t="str">
        <f>IFERROR(VLOOKUP(D45,'Master List'!D:H,5,FALSE),"NA")</f>
        <v>Corrections.</v>
      </c>
      <c r="I45" s="19"/>
      <c r="J45" s="20"/>
      <c r="K45" s="18"/>
      <c r="L45" s="22"/>
    </row>
    <row r="46" spans="1:12" x14ac:dyDescent="0.3">
      <c r="A46" s="33">
        <v>27</v>
      </c>
      <c r="B46" s="33" t="s">
        <v>2172</v>
      </c>
      <c r="C46" s="34" t="s">
        <v>587</v>
      </c>
      <c r="D46" s="51" t="s">
        <v>71</v>
      </c>
      <c r="E46" s="61" t="str">
        <f>IFERROR(VLOOKUP(D46,'Master List'!D:H,2,FALSE),"NA")</f>
        <v>430107</v>
      </c>
      <c r="F46" s="62" t="str">
        <f>IFERROR(VLOOKUP(D46,'Master List'!D:H,3,FALSE),"NA")</f>
        <v>430107</v>
      </c>
      <c r="G46" s="58" t="str">
        <f>IFERROR(VLOOKUP(D46,'Master List'!D:H,4,FALSE),"NA")</f>
        <v>430107</v>
      </c>
      <c r="H46" s="39" t="str">
        <f>IFERROR(VLOOKUP(D46,'Master List'!D:H,5,FALSE),"NA")</f>
        <v>Criminal Justice/Police Science.</v>
      </c>
      <c r="I46" s="19"/>
      <c r="J46" s="20"/>
      <c r="K46" s="18"/>
      <c r="L46" s="22"/>
    </row>
    <row r="47" spans="1:12" x14ac:dyDescent="0.3">
      <c r="A47" s="33">
        <v>27</v>
      </c>
      <c r="B47" s="33" t="s">
        <v>2172</v>
      </c>
      <c r="C47" s="34" t="s">
        <v>587</v>
      </c>
      <c r="D47" s="51" t="s">
        <v>74</v>
      </c>
      <c r="E47" s="61" t="str">
        <f>IFERROR(VLOOKUP(D47,'Master List'!D:H,2,FALSE),"NA")</f>
        <v>430107</v>
      </c>
      <c r="F47" s="62" t="str">
        <f>IFERROR(VLOOKUP(D47,'Master List'!D:H,3,FALSE),"NA")</f>
        <v>430107</v>
      </c>
      <c r="G47" s="58" t="str">
        <f>IFERROR(VLOOKUP(D47,'Master List'!D:H,4,FALSE),"NA")</f>
        <v>430107</v>
      </c>
      <c r="H47" s="39" t="str">
        <f>IFERROR(VLOOKUP(D47,'Master List'!D:H,5,FALSE),"NA")</f>
        <v>Criminal Justice/Police Science.</v>
      </c>
      <c r="I47" s="19"/>
      <c r="J47" s="20"/>
      <c r="K47" s="18"/>
      <c r="L47" s="22"/>
    </row>
    <row r="48" spans="1:12" x14ac:dyDescent="0.3">
      <c r="A48" s="33">
        <v>27</v>
      </c>
      <c r="B48" s="33" t="s">
        <v>2172</v>
      </c>
      <c r="C48" s="34" t="s">
        <v>587</v>
      </c>
      <c r="D48" s="51" t="s">
        <v>596</v>
      </c>
      <c r="E48" s="61" t="str">
        <f>IFERROR(VLOOKUP(D48,'Master List'!D:H,2,FALSE),"NA")</f>
        <v>430107</v>
      </c>
      <c r="F48" s="62" t="str">
        <f>IFERROR(VLOOKUP(D48,'Master List'!D:H,3,FALSE),"NA")</f>
        <v>430107</v>
      </c>
      <c r="G48" s="58" t="str">
        <f>IFERROR(VLOOKUP(D48,'Master List'!D:H,4,FALSE),"NA")</f>
        <v>430107</v>
      </c>
      <c r="H48" s="39" t="str">
        <f>IFERROR(VLOOKUP(D48,'Master List'!D:H,5,FALSE),"NA")</f>
        <v>Criminal Justice/Police Science.</v>
      </c>
      <c r="I48" s="19"/>
      <c r="J48" s="20"/>
      <c r="K48" s="18"/>
      <c r="L48" s="22"/>
    </row>
    <row r="49" spans="1:12" x14ac:dyDescent="0.3">
      <c r="A49" s="33">
        <v>27</v>
      </c>
      <c r="B49" s="33" t="s">
        <v>2172</v>
      </c>
      <c r="C49" s="34" t="s">
        <v>587</v>
      </c>
      <c r="D49" s="51" t="s">
        <v>318</v>
      </c>
      <c r="E49" s="61" t="str">
        <f>IFERROR(VLOOKUP(D49,'Master List'!D:H,2,FALSE),"NA")</f>
        <v>430203</v>
      </c>
      <c r="F49" s="62" t="str">
        <f>IFERROR(VLOOKUP(D49,'Master List'!D:H,3,FALSE),"NA")</f>
        <v>430203</v>
      </c>
      <c r="G49" s="58" t="str">
        <f>IFERROR(VLOOKUP(D49,'Master List'!D:H,4,FALSE),"NA")</f>
        <v>430203</v>
      </c>
      <c r="H49" s="39" t="str">
        <f>IFERROR(VLOOKUP(D49,'Master List'!D:H,5,FALSE),"NA")</f>
        <v>Fire Science/Fire-fighting.</v>
      </c>
      <c r="I49" s="19"/>
      <c r="J49" s="20"/>
      <c r="K49" s="18"/>
      <c r="L49" s="22"/>
    </row>
    <row r="50" spans="1:12" x14ac:dyDescent="0.3">
      <c r="A50" s="33">
        <v>27</v>
      </c>
      <c r="B50" s="33" t="s">
        <v>2172</v>
      </c>
      <c r="C50" s="34" t="s">
        <v>587</v>
      </c>
      <c r="D50" s="51" t="s">
        <v>82</v>
      </c>
      <c r="E50" s="61" t="str">
        <f>IFERROR(VLOOKUP(D50,'Master List'!D:H,2,FALSE),"NA")</f>
        <v>510000</v>
      </c>
      <c r="F50" s="62" t="str">
        <f>IFERROR(VLOOKUP(D50,'Master List'!D:H,3,FALSE),"NA")</f>
        <v>510000</v>
      </c>
      <c r="G50" s="58">
        <f>IFERROR(VLOOKUP(D50,'Master List'!D:H,4,FALSE),"NA")</f>
        <v>510909</v>
      </c>
      <c r="H50" s="39" t="str">
        <f>IFERROR(VLOOKUP(D50,'Master List'!D:H,5,FALSE),"NA")</f>
        <v>Surgical Technology/Technologist</v>
      </c>
      <c r="I50" s="19"/>
      <c r="J50" s="20"/>
      <c r="K50" s="18"/>
      <c r="L50" s="22"/>
    </row>
    <row r="51" spans="1:12" x14ac:dyDescent="0.3">
      <c r="A51" s="33">
        <v>27</v>
      </c>
      <c r="B51" s="33" t="s">
        <v>2172</v>
      </c>
      <c r="C51" s="34" t="s">
        <v>587</v>
      </c>
      <c r="D51" s="51" t="s">
        <v>84</v>
      </c>
      <c r="E51" s="61" t="str">
        <f>IFERROR(VLOOKUP(D51,'Master List'!D:H,2,FALSE),"NA")</f>
        <v>510602</v>
      </c>
      <c r="F51" s="62" t="str">
        <f>IFERROR(VLOOKUP(D51,'Master List'!D:H,3,FALSE),"NA")</f>
        <v>510602</v>
      </c>
      <c r="G51" s="58" t="str">
        <f>IFERROR(VLOOKUP(D51,'Master List'!D:H,4,FALSE),"NA")</f>
        <v>510602</v>
      </c>
      <c r="H51" s="39" t="str">
        <f>IFERROR(VLOOKUP(D51,'Master List'!D:H,5,FALSE),"NA")</f>
        <v>Dental Hygiene/Hygienist.</v>
      </c>
      <c r="I51" s="19"/>
      <c r="J51" s="20"/>
      <c r="K51" s="18"/>
      <c r="L51" s="22"/>
    </row>
    <row r="52" spans="1:12" x14ac:dyDescent="0.3">
      <c r="A52" s="33">
        <v>27</v>
      </c>
      <c r="B52" s="33" t="s">
        <v>2172</v>
      </c>
      <c r="C52" s="34" t="s">
        <v>587</v>
      </c>
      <c r="D52" s="51" t="s">
        <v>325</v>
      </c>
      <c r="E52" s="61" t="str">
        <f>IFERROR(VLOOKUP(D52,'Master List'!D:H,2,FALSE),"NA")</f>
        <v>510707</v>
      </c>
      <c r="F52" s="62" t="str">
        <f>IFERROR(VLOOKUP(D52,'Master List'!D:H,3,FALSE),"NA")</f>
        <v>510707</v>
      </c>
      <c r="G52" s="58" t="str">
        <f>IFERROR(VLOOKUP(D52,'Master List'!D:H,4,FALSE),"NA")</f>
        <v>510707</v>
      </c>
      <c r="H52" s="39" t="str">
        <f>IFERROR(VLOOKUP(D52,'Master List'!D:H,5,FALSE),"NA")</f>
        <v>Health Information/Medical Records Technology/Technician.</v>
      </c>
      <c r="I52" s="19"/>
      <c r="J52" s="20"/>
      <c r="K52" s="18"/>
      <c r="L52" s="22"/>
    </row>
    <row r="53" spans="1:12" x14ac:dyDescent="0.3">
      <c r="A53" s="33">
        <v>27</v>
      </c>
      <c r="B53" s="33" t="s">
        <v>2172</v>
      </c>
      <c r="C53" s="34" t="s">
        <v>587</v>
      </c>
      <c r="D53" s="51" t="s">
        <v>597</v>
      </c>
      <c r="E53" s="61" t="str">
        <f>IFERROR(VLOOKUP(D53,'Master List'!D:H,2,FALSE),"NA")</f>
        <v>510805</v>
      </c>
      <c r="F53" s="62" t="str">
        <f>IFERROR(VLOOKUP(D53,'Master List'!D:H,3,FALSE),"NA")</f>
        <v>510805</v>
      </c>
      <c r="G53" s="58" t="str">
        <f>IFERROR(VLOOKUP(D53,'Master List'!D:H,4,FALSE),"NA")</f>
        <v>510805</v>
      </c>
      <c r="H53" s="39" t="str">
        <f>IFERROR(VLOOKUP(D53,'Master List'!D:H,5,FALSE),"NA")</f>
        <v>Pharmacy Technician/Assistant.</v>
      </c>
      <c r="I53" s="19"/>
      <c r="J53" s="20"/>
      <c r="K53" s="18"/>
      <c r="L53" s="22"/>
    </row>
    <row r="54" spans="1:12" x14ac:dyDescent="0.3">
      <c r="A54" s="33">
        <v>27</v>
      </c>
      <c r="B54" s="33" t="s">
        <v>2172</v>
      </c>
      <c r="C54" s="34" t="s">
        <v>587</v>
      </c>
      <c r="D54" s="51" t="s">
        <v>90</v>
      </c>
      <c r="E54" s="61" t="str">
        <f>IFERROR(VLOOKUP(D54,'Master List'!D:H,2,FALSE),"NA")</f>
        <v>510904</v>
      </c>
      <c r="F54" s="62" t="str">
        <f>IFERROR(VLOOKUP(D54,'Master List'!D:H,3,FALSE),"NA")</f>
        <v>510904</v>
      </c>
      <c r="G54" s="58" t="str">
        <f>IFERROR(VLOOKUP(D54,'Master List'!D:H,4,FALSE),"NA")</f>
        <v>510904</v>
      </c>
      <c r="H54" s="39" t="str">
        <f>IFERROR(VLOOKUP(D54,'Master List'!D:H,5,FALSE),"NA")</f>
        <v>Emergency Medical Technology/Technician (EMT Paramedic).</v>
      </c>
      <c r="I54" s="19"/>
      <c r="J54" s="20"/>
      <c r="K54" s="18"/>
      <c r="L54" s="22"/>
    </row>
    <row r="55" spans="1:12" x14ac:dyDescent="0.3">
      <c r="A55" s="33">
        <v>27</v>
      </c>
      <c r="B55" s="33" t="s">
        <v>2172</v>
      </c>
      <c r="C55" s="34" t="s">
        <v>587</v>
      </c>
      <c r="D55" s="51" t="s">
        <v>91</v>
      </c>
      <c r="E55" s="61" t="str">
        <f>IFERROR(VLOOKUP(D55,'Master List'!D:H,2,FALSE),"NA")</f>
        <v>510907</v>
      </c>
      <c r="F55" s="62" t="str">
        <f>IFERROR(VLOOKUP(D55,'Master List'!D:H,3,FALSE),"NA")</f>
        <v>510907</v>
      </c>
      <c r="G55" s="58">
        <f>IFERROR(VLOOKUP(D55,'Master List'!D:H,4,FALSE),"NA")</f>
        <v>510911</v>
      </c>
      <c r="H55" s="39" t="str">
        <f>IFERROR(VLOOKUP(D55,'Master List'!D:H,5,FALSE),"NA")</f>
        <v>Radiologic Technology/Science - Radiographer</v>
      </c>
      <c r="I55" s="19"/>
      <c r="J55" s="20"/>
      <c r="K55" s="18"/>
      <c r="L55" s="22"/>
    </row>
    <row r="56" spans="1:12" x14ac:dyDescent="0.3">
      <c r="A56" s="33">
        <v>27</v>
      </c>
      <c r="B56" s="33" t="s">
        <v>2172</v>
      </c>
      <c r="C56" s="34" t="s">
        <v>587</v>
      </c>
      <c r="D56" s="51" t="s">
        <v>94</v>
      </c>
      <c r="E56" s="61" t="str">
        <f>IFERROR(VLOOKUP(D56,'Master List'!D:H,2,FALSE),"NA")</f>
        <v>510908</v>
      </c>
      <c r="F56" s="62" t="str">
        <f>IFERROR(VLOOKUP(D56,'Master List'!D:H,3,FALSE),"NA")</f>
        <v>510908</v>
      </c>
      <c r="G56" s="58" t="str">
        <f>IFERROR(VLOOKUP(D56,'Master List'!D:H,4,FALSE),"NA")</f>
        <v>510908</v>
      </c>
      <c r="H56" s="39" t="str">
        <f>IFERROR(VLOOKUP(D56,'Master List'!D:H,5,FALSE),"NA")</f>
        <v>Respiratory Care Therapy/Therapist.</v>
      </c>
      <c r="I56" s="19"/>
      <c r="J56" s="20"/>
      <c r="K56" s="18"/>
      <c r="L56" s="22"/>
    </row>
    <row r="57" spans="1:12" x14ac:dyDescent="0.3">
      <c r="A57" s="33">
        <v>27</v>
      </c>
      <c r="B57" s="33" t="s">
        <v>2172</v>
      </c>
      <c r="C57" s="34" t="s">
        <v>587</v>
      </c>
      <c r="D57" s="51" t="s">
        <v>101</v>
      </c>
      <c r="E57" s="61" t="str">
        <f>IFERROR(VLOOKUP(D57,'Master List'!D:H,2,FALSE),"NA")</f>
        <v>513801</v>
      </c>
      <c r="F57" s="62" t="str">
        <f>IFERROR(VLOOKUP(D57,'Master List'!D:H,3,FALSE),"NA")</f>
        <v>513801</v>
      </c>
      <c r="G57" s="58" t="str">
        <f>IFERROR(VLOOKUP(D57,'Master List'!D:H,4,FALSE),"NA")</f>
        <v>513801</v>
      </c>
      <c r="H57" s="39" t="str">
        <f>IFERROR(VLOOKUP(D57,'Master List'!D:H,5,FALSE),"NA")</f>
        <v>Registered Nursing/Registered Nurse.</v>
      </c>
      <c r="I57" s="19"/>
      <c r="J57" s="20"/>
      <c r="K57" s="18"/>
      <c r="L57" s="22"/>
    </row>
    <row r="58" spans="1:12" x14ac:dyDescent="0.3">
      <c r="A58" s="33">
        <v>27</v>
      </c>
      <c r="B58" s="33" t="s">
        <v>2172</v>
      </c>
      <c r="C58" s="34" t="s">
        <v>587</v>
      </c>
      <c r="D58" s="51" t="s">
        <v>400</v>
      </c>
      <c r="E58" s="61" t="str">
        <f>IFERROR(VLOOKUP(D58,'Master List'!D:H,2,FALSE),"NA")</f>
        <v>131210</v>
      </c>
      <c r="F58" s="62" t="str">
        <f>IFERROR(VLOOKUP(D58,'Master List'!D:H,3,FALSE),"NA")</f>
        <v>131210</v>
      </c>
      <c r="G58" s="58" t="str">
        <f>IFERROR(VLOOKUP(D58,'Master List'!D:H,4,FALSE),"NA")</f>
        <v>131210</v>
      </c>
      <c r="H58" s="39" t="str">
        <f>IFERROR(VLOOKUP(D58,'Master List'!D:H,5,FALSE),"NA")</f>
        <v>Early Childhood Education and Teaching.</v>
      </c>
      <c r="I58" s="19"/>
      <c r="J58" s="20"/>
      <c r="K58" s="18"/>
      <c r="L58" s="22"/>
    </row>
    <row r="59" spans="1:12" x14ac:dyDescent="0.3">
      <c r="A59" s="33">
        <v>27</v>
      </c>
      <c r="B59" s="33" t="s">
        <v>2172</v>
      </c>
      <c r="C59" s="34" t="s">
        <v>587</v>
      </c>
      <c r="D59" s="51" t="s">
        <v>348</v>
      </c>
      <c r="E59" s="61" t="str">
        <f>IFERROR(VLOOKUP(D59,'Master List'!D:H,2,FALSE),"NA")</f>
        <v>NA</v>
      </c>
      <c r="F59" s="62" t="str">
        <f>IFERROR(VLOOKUP(D59,'Master List'!D:H,3,FALSE),"NA")</f>
        <v>NA</v>
      </c>
      <c r="G59" s="58" t="str">
        <f>IFERROR(VLOOKUP(D59,'Master List'!D:H,4,FALSE),"NA")</f>
        <v>NA</v>
      </c>
      <c r="H59" s="39" t="str">
        <f>IFERROR(VLOOKUP(D59,'Master List'!D:H,5,FALSE),"NA")</f>
        <v>NA</v>
      </c>
      <c r="I59" s="19"/>
      <c r="J59" s="20"/>
      <c r="K59" s="18"/>
      <c r="L59" s="22"/>
    </row>
    <row r="60" spans="1:12" x14ac:dyDescent="0.3">
      <c r="A60" s="33">
        <v>27</v>
      </c>
      <c r="B60" s="33" t="s">
        <v>2172</v>
      </c>
      <c r="C60" s="34" t="s">
        <v>587</v>
      </c>
      <c r="D60" s="51" t="s">
        <v>170</v>
      </c>
      <c r="E60" s="61" t="str">
        <f>IFERROR(VLOOKUP(D60,'Master List'!D:H,2,FALSE),"NA")</f>
        <v>110201</v>
      </c>
      <c r="F60" s="62" t="str">
        <f>IFERROR(VLOOKUP(D60,'Master List'!D:H,3,FALSE),"NA")</f>
        <v>110201</v>
      </c>
      <c r="G60" s="58" t="str">
        <f>IFERROR(VLOOKUP(D60,'Master List'!D:H,4,FALSE),"NA")</f>
        <v>110201</v>
      </c>
      <c r="H60" s="39" t="str">
        <f>IFERROR(VLOOKUP(D60,'Master List'!D:H,5,FALSE),"NA")</f>
        <v>Computer Programming/Programmer, General.</v>
      </c>
      <c r="I60" s="19"/>
      <c r="J60" s="20"/>
      <c r="K60" s="18"/>
      <c r="L60" s="22"/>
    </row>
    <row r="61" spans="1:12" x14ac:dyDescent="0.3">
      <c r="A61" s="33">
        <v>27</v>
      </c>
      <c r="B61" s="33" t="s">
        <v>2172</v>
      </c>
      <c r="C61" s="34" t="s">
        <v>587</v>
      </c>
      <c r="D61" s="51" t="s">
        <v>404</v>
      </c>
      <c r="E61" s="61" t="str">
        <f>IFERROR(VLOOKUP(D61,'Master List'!D:H,2,FALSE),"NA")</f>
        <v>110801</v>
      </c>
      <c r="F61" s="62" t="str">
        <f>IFERROR(VLOOKUP(D61,'Master List'!D:H,3,FALSE),"NA")</f>
        <v>110801</v>
      </c>
      <c r="G61" s="58" t="str">
        <f>IFERROR(VLOOKUP(D61,'Master List'!D:H,4,FALSE),"NA")</f>
        <v>110801</v>
      </c>
      <c r="H61" s="39" t="str">
        <f>IFERROR(VLOOKUP(D61,'Master List'!D:H,5,FALSE),"NA")</f>
        <v>Web Page, Digital/Multimedia and Information Resources Design.</v>
      </c>
      <c r="I61" s="19"/>
      <c r="J61" s="20"/>
      <c r="K61" s="18"/>
      <c r="L61" s="22"/>
    </row>
    <row r="62" spans="1:12" x14ac:dyDescent="0.3">
      <c r="A62" s="33">
        <v>27</v>
      </c>
      <c r="B62" s="33" t="s">
        <v>2172</v>
      </c>
      <c r="C62" s="34" t="s">
        <v>587</v>
      </c>
      <c r="D62" s="51" t="s">
        <v>106</v>
      </c>
      <c r="E62" s="61" t="str">
        <f>IFERROR(VLOOKUP(D62,'Master List'!D:H,2,FALSE),"NA")</f>
        <v>111001</v>
      </c>
      <c r="F62" s="62" t="str">
        <f>IFERROR(VLOOKUP(D62,'Master List'!D:H,3,FALSE),"NA")</f>
        <v>111001</v>
      </c>
      <c r="G62" s="58" t="str">
        <f>IFERROR(VLOOKUP(D62,'Master List'!D:H,4,FALSE),"NA")</f>
        <v>111001</v>
      </c>
      <c r="H62" s="39" t="str">
        <f>IFERROR(VLOOKUP(D62,'Master List'!D:H,5,FALSE),"NA")</f>
        <v>Network and System Administration/Administrator.</v>
      </c>
      <c r="I62" s="19"/>
      <c r="J62" s="20"/>
      <c r="K62" s="18"/>
      <c r="L62" s="22"/>
    </row>
    <row r="63" spans="1:12" x14ac:dyDescent="0.3">
      <c r="A63" s="33">
        <v>27</v>
      </c>
      <c r="B63" s="33" t="s">
        <v>2172</v>
      </c>
      <c r="C63" s="34" t="s">
        <v>587</v>
      </c>
      <c r="D63" s="51" t="s">
        <v>107</v>
      </c>
      <c r="E63" s="61" t="str">
        <f>IFERROR(VLOOKUP(D63,'Master List'!D:H,2,FALSE),"NA")</f>
        <v>520201</v>
      </c>
      <c r="F63" s="62" t="str">
        <f>IFERROR(VLOOKUP(D63,'Master List'!D:H,3,FALSE),"NA")</f>
        <v>520201</v>
      </c>
      <c r="G63" s="58" t="str">
        <f>IFERROR(VLOOKUP(D63,'Master List'!D:H,4,FALSE),"NA")</f>
        <v>520201</v>
      </c>
      <c r="H63" s="39" t="str">
        <f>IFERROR(VLOOKUP(D63,'Master List'!D:H,5,FALSE),"NA")</f>
        <v>Business Administration and Management, General.</v>
      </c>
      <c r="I63" s="19"/>
      <c r="J63" s="20"/>
      <c r="K63" s="18"/>
      <c r="L63" s="22"/>
    </row>
    <row r="64" spans="1:12" x14ac:dyDescent="0.3">
      <c r="A64" s="33">
        <v>27</v>
      </c>
      <c r="B64" s="33" t="s">
        <v>2172</v>
      </c>
      <c r="C64" s="34" t="s">
        <v>587</v>
      </c>
      <c r="D64" s="51" t="s">
        <v>598</v>
      </c>
      <c r="E64" s="61" t="str">
        <f>IFERROR(VLOOKUP(D64,'Master List'!D:H,2,FALSE),"NA")</f>
        <v>NA</v>
      </c>
      <c r="F64" s="62" t="str">
        <f>IFERROR(VLOOKUP(D64,'Master List'!D:H,3,FALSE),"NA")</f>
        <v>NA</v>
      </c>
      <c r="G64" s="58" t="str">
        <f>IFERROR(VLOOKUP(D64,'Master List'!D:H,4,FALSE),"NA")</f>
        <v>NA</v>
      </c>
      <c r="H64" s="39" t="str">
        <f>IFERROR(VLOOKUP(D64,'Master List'!D:H,5,FALSE),"NA")</f>
        <v>NA</v>
      </c>
      <c r="I64" s="19"/>
      <c r="J64" s="20"/>
      <c r="K64" s="18"/>
      <c r="L64" s="22"/>
    </row>
    <row r="65" spans="1:12" x14ac:dyDescent="0.3">
      <c r="A65" s="33">
        <v>27</v>
      </c>
      <c r="B65" s="33" t="s">
        <v>2172</v>
      </c>
      <c r="C65" s="34" t="s">
        <v>587</v>
      </c>
      <c r="D65" s="51" t="s">
        <v>114</v>
      </c>
      <c r="E65" s="61" t="str">
        <f>IFERROR(VLOOKUP(D65,'Master List'!D:H,2,FALSE),"NA")</f>
        <v>110801</v>
      </c>
      <c r="F65" s="62" t="str">
        <f>IFERROR(VLOOKUP(D65,'Master List'!D:H,3,FALSE),"NA")</f>
        <v>110801</v>
      </c>
      <c r="G65" s="58" t="str">
        <f>IFERROR(VLOOKUP(D65,'Master List'!D:H,4,FALSE),"NA")</f>
        <v>110801</v>
      </c>
      <c r="H65" s="39" t="str">
        <f>IFERROR(VLOOKUP(D65,'Master List'!D:H,5,FALSE),"NA")</f>
        <v>Web Page, Digital/Multimedia and Information Resources Design.</v>
      </c>
      <c r="I65" s="19"/>
      <c r="J65" s="20"/>
      <c r="K65" s="18"/>
      <c r="L65" s="22"/>
    </row>
    <row r="66" spans="1:12" x14ac:dyDescent="0.3">
      <c r="A66" s="33">
        <v>27</v>
      </c>
      <c r="B66" s="33" t="s">
        <v>2172</v>
      </c>
      <c r="C66" s="34" t="s">
        <v>587</v>
      </c>
      <c r="D66" s="51" t="s">
        <v>583</v>
      </c>
      <c r="E66" s="61" t="str">
        <f>IFERROR(VLOOKUP(D66,'Master List'!D:H,2,FALSE),"NA")</f>
        <v>110803</v>
      </c>
      <c r="F66" s="62" t="str">
        <f>IFERROR(VLOOKUP(D66,'Master List'!D:H,3,FALSE),"NA")</f>
        <v>110803</v>
      </c>
      <c r="G66" s="58" t="str">
        <f>IFERROR(VLOOKUP(D66,'Master List'!D:H,4,FALSE),"NA")</f>
        <v>110803</v>
      </c>
      <c r="H66" s="39" t="str">
        <f>IFERROR(VLOOKUP(D66,'Master List'!D:H,5,FALSE),"NA")</f>
        <v>Computer Graphics.</v>
      </c>
      <c r="I66" s="19"/>
      <c r="J66" s="20"/>
      <c r="K66" s="18"/>
      <c r="L66" s="22"/>
    </row>
    <row r="67" spans="1:12" x14ac:dyDescent="0.3">
      <c r="A67" s="33">
        <v>27</v>
      </c>
      <c r="B67" s="33" t="s">
        <v>2172</v>
      </c>
      <c r="C67" s="34" t="s">
        <v>587</v>
      </c>
      <c r="D67" s="51" t="s">
        <v>120</v>
      </c>
      <c r="E67" s="61" t="str">
        <f>IFERROR(VLOOKUP(D67,'Master List'!D:H,2,FALSE),"NA")</f>
        <v>150000</v>
      </c>
      <c r="F67" s="62" t="str">
        <f>IFERROR(VLOOKUP(D67,'Master List'!D:H,3,FALSE),"NA")</f>
        <v>150000</v>
      </c>
      <c r="G67" s="58" t="str">
        <f>IFERROR(VLOOKUP(D67,'Master List'!D:H,4,FALSE),"NA")</f>
        <v>150000</v>
      </c>
      <c r="H67" s="39" t="str">
        <f>IFERROR(VLOOKUP(D67,'Master List'!D:H,5,FALSE),"NA")</f>
        <v>Engineering Technologies/Technicians, General.</v>
      </c>
      <c r="I67" s="19"/>
      <c r="J67" s="20"/>
      <c r="K67" s="18"/>
      <c r="L67" s="22"/>
    </row>
    <row r="68" spans="1:12" x14ac:dyDescent="0.3">
      <c r="A68" s="33">
        <v>27</v>
      </c>
      <c r="B68" s="33" t="s">
        <v>2172</v>
      </c>
      <c r="C68" s="34" t="s">
        <v>587</v>
      </c>
      <c r="D68" s="51" t="s">
        <v>358</v>
      </c>
      <c r="E68" s="61" t="str">
        <f>IFERROR(VLOOKUP(D68,'Master List'!D:H,2,FALSE),"NA")</f>
        <v>151001</v>
      </c>
      <c r="F68" s="62" t="str">
        <f>IFERROR(VLOOKUP(D68,'Master List'!D:H,3,FALSE),"NA")</f>
        <v>151001</v>
      </c>
      <c r="G68" s="58" t="str">
        <f>IFERROR(VLOOKUP(D68,'Master List'!D:H,4,FALSE),"NA")</f>
        <v>151001</v>
      </c>
      <c r="H68" s="39" t="str">
        <f>IFERROR(VLOOKUP(D68,'Master List'!D:H,5,FALSE),"NA")</f>
        <v>Construction Engineering Technology/Technician.</v>
      </c>
      <c r="I68" s="19"/>
      <c r="J68" s="20"/>
      <c r="K68" s="18"/>
      <c r="L68" s="22"/>
    </row>
    <row r="69" spans="1:12" x14ac:dyDescent="0.3">
      <c r="A69" s="33">
        <v>27</v>
      </c>
      <c r="B69" s="33" t="s">
        <v>2172</v>
      </c>
      <c r="C69" s="34" t="s">
        <v>587</v>
      </c>
      <c r="D69" s="51" t="s">
        <v>405</v>
      </c>
      <c r="E69" s="61" t="str">
        <f>IFERROR(VLOOKUP(D69,'Master List'!D:H,2,FALSE),"NA")</f>
        <v>151301</v>
      </c>
      <c r="F69" s="62" t="str">
        <f>IFERROR(VLOOKUP(D69,'Master List'!D:H,3,FALSE),"NA")</f>
        <v>151301</v>
      </c>
      <c r="G69" s="58">
        <f>IFERROR(VLOOKUP(D69,'Master List'!D:H,4,FALSE),"NA")</f>
        <v>151302</v>
      </c>
      <c r="H69" s="39" t="str">
        <f>IFERROR(VLOOKUP(D69,'Master List'!D:H,5,FALSE),"NA")</f>
        <v>CAD/CADD Drafting and/or Design Technology/Technician</v>
      </c>
      <c r="I69" s="19"/>
      <c r="J69" s="20"/>
      <c r="K69" s="18"/>
      <c r="L69" s="22"/>
    </row>
    <row r="70" spans="1:12" x14ac:dyDescent="0.3">
      <c r="A70" s="33">
        <v>27</v>
      </c>
      <c r="B70" s="33" t="s">
        <v>2172</v>
      </c>
      <c r="C70" s="34" t="s">
        <v>587</v>
      </c>
      <c r="D70" s="51" t="s">
        <v>372</v>
      </c>
      <c r="E70" s="61" t="str">
        <f>IFERROR(VLOOKUP(D70,'Master List'!D:H,2,FALSE),"NA")</f>
        <v>030104</v>
      </c>
      <c r="F70" s="62" t="str">
        <f>IFERROR(VLOOKUP(D70,'Master List'!D:H,3,FALSE),"NA")</f>
        <v>030104</v>
      </c>
      <c r="G70" s="58" t="str">
        <f>IFERROR(VLOOKUP(D70,'Master List'!D:H,4,FALSE),"NA")</f>
        <v>030104</v>
      </c>
      <c r="H70" s="39" t="str">
        <f>IFERROR(VLOOKUP(D70,'Master List'!D:H,5,FALSE),"NA")</f>
        <v>Environmental Science.</v>
      </c>
      <c r="I70" s="19"/>
      <c r="J70" s="20"/>
      <c r="K70" s="18"/>
      <c r="L70" s="22"/>
    </row>
    <row r="71" spans="1:12" x14ac:dyDescent="0.3">
      <c r="A71" s="33">
        <v>27</v>
      </c>
      <c r="B71" s="33" t="s">
        <v>2172</v>
      </c>
      <c r="C71" s="34" t="s">
        <v>587</v>
      </c>
      <c r="D71" s="51" t="s">
        <v>125</v>
      </c>
      <c r="E71" s="61" t="str">
        <f>IFERROR(VLOOKUP(D71,'Master List'!D:H,2,FALSE),"NA")</f>
        <v>220302</v>
      </c>
      <c r="F71" s="62" t="str">
        <f>IFERROR(VLOOKUP(D71,'Master List'!D:H,3,FALSE),"NA")</f>
        <v>220302</v>
      </c>
      <c r="G71" s="58" t="str">
        <f>IFERROR(VLOOKUP(D71,'Master List'!D:H,4,FALSE),"NA")</f>
        <v>220302</v>
      </c>
      <c r="H71" s="39" t="str">
        <f>IFERROR(VLOOKUP(D71,'Master List'!D:H,5,FALSE),"NA")</f>
        <v>Legal Assistant/Paralegal.</v>
      </c>
      <c r="I71" s="19"/>
      <c r="J71" s="20"/>
      <c r="K71" s="18"/>
      <c r="L71" s="22"/>
    </row>
    <row r="72" spans="1:12" x14ac:dyDescent="0.3">
      <c r="A72" s="33">
        <v>27</v>
      </c>
      <c r="B72" s="33" t="s">
        <v>2172</v>
      </c>
      <c r="C72" s="34" t="s">
        <v>587</v>
      </c>
      <c r="D72" s="51" t="s">
        <v>486</v>
      </c>
      <c r="E72" s="61" t="str">
        <f>IFERROR(VLOOKUP(D72,'Master List'!D:H,2,FALSE),"NA")</f>
        <v>310507</v>
      </c>
      <c r="F72" s="62" t="str">
        <f>IFERROR(VLOOKUP(D72,'Master List'!D:H,3,FALSE),"NA")</f>
        <v>310507</v>
      </c>
      <c r="G72" s="58" t="str">
        <f>IFERROR(VLOOKUP(D72,'Master List'!D:H,4,FALSE),"NA")</f>
        <v>310507</v>
      </c>
      <c r="H72" s="39" t="str">
        <f>IFERROR(VLOOKUP(D72,'Master List'!D:H,5,FALSE),"NA")</f>
        <v>Physical Fitness Technician.</v>
      </c>
      <c r="I72" s="19"/>
      <c r="J72" s="20"/>
      <c r="K72" s="18"/>
      <c r="L72" s="22"/>
    </row>
    <row r="73" spans="1:12" x14ac:dyDescent="0.3">
      <c r="A73" s="33">
        <v>27</v>
      </c>
      <c r="B73" s="33" t="s">
        <v>2172</v>
      </c>
      <c r="C73" s="34" t="s">
        <v>587</v>
      </c>
      <c r="D73" s="51" t="s">
        <v>374</v>
      </c>
      <c r="E73" s="61" t="str">
        <f>IFERROR(VLOOKUP(D73,'Master List'!D:H,2,FALSE),"NA")</f>
        <v>NA</v>
      </c>
      <c r="F73" s="62" t="str">
        <f>IFERROR(VLOOKUP(D73,'Master List'!D:H,3,FALSE),"NA")</f>
        <v>NA</v>
      </c>
      <c r="G73" s="58" t="str">
        <f>IFERROR(VLOOKUP(D73,'Master List'!D:H,4,FALSE),"NA")</f>
        <v>NA</v>
      </c>
      <c r="H73" s="39" t="str">
        <f>IFERROR(VLOOKUP(D73,'Master List'!D:H,5,FALSE),"NA")</f>
        <v>NA</v>
      </c>
      <c r="I73" s="19"/>
      <c r="J73" s="20"/>
      <c r="K73" s="18"/>
      <c r="L73" s="22"/>
    </row>
    <row r="74" spans="1:12" x14ac:dyDescent="0.3">
      <c r="A74" s="33">
        <v>27</v>
      </c>
      <c r="B74" s="33" t="s">
        <v>2172</v>
      </c>
      <c r="C74" s="34" t="s">
        <v>587</v>
      </c>
      <c r="D74" s="51" t="s">
        <v>128</v>
      </c>
      <c r="E74" s="61" t="str">
        <f>IFERROR(VLOOKUP(D74,'Master List'!D:H,2,FALSE),"NA")</f>
        <v>430103</v>
      </c>
      <c r="F74" s="62" t="str">
        <f>IFERROR(VLOOKUP(D74,'Master List'!D:H,3,FALSE),"NA")</f>
        <v>430103</v>
      </c>
      <c r="G74" s="58" t="str">
        <f>IFERROR(VLOOKUP(D74,'Master List'!D:H,4,FALSE),"NA")</f>
        <v>430103</v>
      </c>
      <c r="H74" s="39" t="str">
        <f>IFERROR(VLOOKUP(D74,'Master List'!D:H,5,FALSE),"NA")</f>
        <v>Criminal Justice/Law Enforcement Administration.</v>
      </c>
      <c r="I74" s="19"/>
      <c r="J74" s="20"/>
      <c r="K74" s="18"/>
      <c r="L74" s="22"/>
    </row>
  </sheetData>
  <sheetProtection algorithmName="SHA-512" hashValue="Mg6GhAlpVR3KGlJWtJnh8PL2Fk1sHTQVV/AUdxAS6bM9R8zYN05x4d0KuOjPvCuGEcxJX4rDEdDUtdBQDzsOfw==" saltValue="ATjJMWLn+vX0o1ee4Lc5iA==" spinCount="100000" sheet="1" objects="1" scenarios="1" sort="0" autoFilter="0"/>
  <autoFilter ref="A2:L74"/>
  <mergeCells count="3">
    <mergeCell ref="A1:D1"/>
    <mergeCell ref="E1:H1"/>
    <mergeCell ref="I1:L1"/>
  </mergeCells>
  <dataValidations count="1">
    <dataValidation type="list" allowBlank="1" showInputMessage="1" showErrorMessage="1" sqref="I3:I74">
      <formula1>"Agree,Disagree"</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5.6640625" style="17" customWidth="1"/>
    <col min="5" max="5" width="13.109375" style="54" customWidth="1"/>
    <col min="6" max="6" width="12.5546875" style="54" customWidth="1"/>
    <col min="7" max="7" width="13.5546875" style="54" customWidth="1"/>
    <col min="8" max="8" width="76.6640625" style="25" bestFit="1" customWidth="1"/>
    <col min="9" max="10" width="27" style="17" customWidth="1"/>
    <col min="11" max="11" width="34.88671875" style="17" customWidth="1"/>
    <col min="12" max="12" width="35.6640625" style="17" customWidth="1"/>
    <col min="13" max="16384" width="8.88671875" style="17"/>
  </cols>
  <sheetData>
    <row r="1" spans="1:12" s="27" customFormat="1" ht="85.95"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2169</v>
      </c>
      <c r="I2" s="15" t="s">
        <v>2151</v>
      </c>
      <c r="J2" s="15" t="s">
        <v>2152</v>
      </c>
      <c r="K2" s="15" t="s">
        <v>5</v>
      </c>
      <c r="L2" s="15" t="s">
        <v>2153</v>
      </c>
    </row>
    <row r="3" spans="1:12" x14ac:dyDescent="0.3">
      <c r="A3" s="33">
        <v>28</v>
      </c>
      <c r="B3" s="33" t="s">
        <v>2173</v>
      </c>
      <c r="C3" s="34" t="s">
        <v>529</v>
      </c>
      <c r="D3" s="51" t="s">
        <v>530</v>
      </c>
      <c r="E3" s="61" t="str">
        <f>IFERROR(VLOOKUP(D3,'Master List'!D:H,2,FALSE),"NA")</f>
        <v>010605</v>
      </c>
      <c r="F3" s="62" t="str">
        <f>IFERROR(VLOOKUP(D3,'Master List'!D:H,3,FALSE),"NA")</f>
        <v>010605</v>
      </c>
      <c r="G3" s="58" t="str">
        <f>IFERROR(VLOOKUP(D3,'Master List'!D:H,4,FALSE),"NA")</f>
        <v>010605</v>
      </c>
      <c r="H3" s="39" t="str">
        <f>IFERROR(VLOOKUP(D3,'Master List'!D:H,5,FALSE),"NA")</f>
        <v>Landscaping and Groundskeeping.</v>
      </c>
      <c r="I3" s="19"/>
      <c r="J3" s="20"/>
      <c r="K3" s="18"/>
      <c r="L3" s="22"/>
    </row>
    <row r="4" spans="1:12" x14ac:dyDescent="0.3">
      <c r="A4" s="33">
        <v>28</v>
      </c>
      <c r="B4" s="33" t="s">
        <v>2173</v>
      </c>
      <c r="C4" s="34" t="s">
        <v>529</v>
      </c>
      <c r="D4" s="51" t="s">
        <v>533</v>
      </c>
      <c r="E4" s="61" t="str">
        <f>IFERROR(VLOOKUP(D4,'Master List'!D:H,2,FALSE),"NA")</f>
        <v>010605</v>
      </c>
      <c r="F4" s="62" t="str">
        <f>IFERROR(VLOOKUP(D4,'Master List'!D:H,3,FALSE),"NA")</f>
        <v>010605</v>
      </c>
      <c r="G4" s="58" t="str">
        <f>IFERROR(VLOOKUP(D4,'Master List'!D:H,4,FALSE),"NA")</f>
        <v>010605</v>
      </c>
      <c r="H4" s="39" t="str">
        <f>IFERROR(VLOOKUP(D4,'Master List'!D:H,5,FALSE),"NA")</f>
        <v>Landscaping and Groundskeeping.</v>
      </c>
      <c r="I4" s="19"/>
      <c r="J4" s="20"/>
      <c r="K4" s="18"/>
      <c r="L4" s="22"/>
    </row>
    <row r="5" spans="1:12" x14ac:dyDescent="0.3">
      <c r="A5" s="33">
        <v>28</v>
      </c>
      <c r="B5" s="33" t="s">
        <v>2173</v>
      </c>
      <c r="C5" s="34" t="s">
        <v>529</v>
      </c>
      <c r="D5" s="51" t="s">
        <v>534</v>
      </c>
      <c r="E5" s="61" t="str">
        <f>IFERROR(VLOOKUP(D5,'Master List'!D:H,2,FALSE),"NA")</f>
        <v>010605</v>
      </c>
      <c r="F5" s="62" t="str">
        <f>IFERROR(VLOOKUP(D5,'Master List'!D:H,3,FALSE),"NA")</f>
        <v>010605</v>
      </c>
      <c r="G5" s="58" t="str">
        <f>IFERROR(VLOOKUP(D5,'Master List'!D:H,4,FALSE),"NA")</f>
        <v>010605</v>
      </c>
      <c r="H5" s="39" t="str">
        <f>IFERROR(VLOOKUP(D5,'Master List'!D:H,5,FALSE),"NA")</f>
        <v>Landscaping and Groundskeeping.</v>
      </c>
      <c r="I5" s="19"/>
      <c r="J5" s="20"/>
      <c r="K5" s="18"/>
      <c r="L5" s="22"/>
    </row>
    <row r="6" spans="1:12" x14ac:dyDescent="0.3">
      <c r="A6" s="33">
        <v>28</v>
      </c>
      <c r="B6" s="33" t="s">
        <v>2173</v>
      </c>
      <c r="C6" s="34" t="s">
        <v>529</v>
      </c>
      <c r="D6" s="51" t="s">
        <v>146</v>
      </c>
      <c r="E6" s="61" t="str">
        <f>IFERROR(VLOOKUP(D6,'Master List'!D:H,2,FALSE),"NA")</f>
        <v>520904</v>
      </c>
      <c r="F6" s="62" t="str">
        <f>IFERROR(VLOOKUP(D6,'Master List'!D:H,3,FALSE),"NA")</f>
        <v>520904</v>
      </c>
      <c r="G6" s="58" t="str">
        <f>IFERROR(VLOOKUP(D6,'Master List'!D:H,4,FALSE),"NA")</f>
        <v>520904</v>
      </c>
      <c r="H6" s="39" t="str">
        <f>IFERROR(VLOOKUP(D6,'Master List'!D:H,5,FALSE),"NA")</f>
        <v>Hotel/Motel Administration/Management.</v>
      </c>
      <c r="I6" s="19"/>
      <c r="J6" s="20"/>
      <c r="K6" s="18"/>
      <c r="L6" s="22"/>
    </row>
    <row r="7" spans="1:12" x14ac:dyDescent="0.3">
      <c r="A7" s="33">
        <v>28</v>
      </c>
      <c r="B7" s="33" t="s">
        <v>2173</v>
      </c>
      <c r="C7" s="34" t="s">
        <v>529</v>
      </c>
      <c r="D7" s="51" t="s">
        <v>149</v>
      </c>
      <c r="E7" s="61" t="str">
        <f>IFERROR(VLOOKUP(D7,'Master List'!D:H,2,FALSE),"NA")</f>
        <v>520904</v>
      </c>
      <c r="F7" s="62" t="str">
        <f>IFERROR(VLOOKUP(D7,'Master List'!D:H,3,FALSE),"NA")</f>
        <v>520904</v>
      </c>
      <c r="G7" s="58" t="str">
        <f>IFERROR(VLOOKUP(D7,'Master List'!D:H,4,FALSE),"NA")</f>
        <v>520904</v>
      </c>
      <c r="H7" s="39" t="str">
        <f>IFERROR(VLOOKUP(D7,'Master List'!D:H,5,FALSE),"NA")</f>
        <v>Hotel/Motel Administration/Management.</v>
      </c>
      <c r="I7" s="19"/>
      <c r="J7" s="20"/>
      <c r="K7" s="18"/>
      <c r="L7" s="22"/>
    </row>
    <row r="8" spans="1:12" x14ac:dyDescent="0.3">
      <c r="A8" s="33">
        <v>28</v>
      </c>
      <c r="B8" s="33" t="s">
        <v>2173</v>
      </c>
      <c r="C8" s="34" t="s">
        <v>529</v>
      </c>
      <c r="D8" s="51" t="s">
        <v>176</v>
      </c>
      <c r="E8" s="61" t="str">
        <f>IFERROR(VLOOKUP(D8,'Master List'!D:H,2,FALSE),"NA")</f>
        <v>520905</v>
      </c>
      <c r="F8" s="62" t="str">
        <f>IFERROR(VLOOKUP(D8,'Master List'!D:H,3,FALSE),"NA")</f>
        <v>520905</v>
      </c>
      <c r="G8" s="58" t="str">
        <f>IFERROR(VLOOKUP(D8,'Master List'!D:H,4,FALSE),"NA")</f>
        <v>520905</v>
      </c>
      <c r="H8" s="39" t="str">
        <f>IFERROR(VLOOKUP(D8,'Master List'!D:H,5,FALSE),"NA")</f>
        <v>Restaurant/Food Services Management.</v>
      </c>
      <c r="I8" s="19"/>
      <c r="J8" s="20"/>
      <c r="K8" s="18"/>
      <c r="L8" s="22"/>
    </row>
    <row r="9" spans="1:12" x14ac:dyDescent="0.3">
      <c r="A9" s="33">
        <v>28</v>
      </c>
      <c r="B9" s="33" t="s">
        <v>2173</v>
      </c>
      <c r="C9" s="34" t="s">
        <v>529</v>
      </c>
      <c r="D9" s="51" t="s">
        <v>535</v>
      </c>
      <c r="E9" s="61" t="str">
        <f>IFERROR(VLOOKUP(D9,'Master List'!D:H,2,FALSE),"NA")</f>
        <v>520905</v>
      </c>
      <c r="F9" s="62" t="str">
        <f>IFERROR(VLOOKUP(D9,'Master List'!D:H,3,FALSE),"NA")</f>
        <v>520905</v>
      </c>
      <c r="G9" s="58" t="str">
        <f>IFERROR(VLOOKUP(D9,'Master List'!D:H,4,FALSE),"NA")</f>
        <v>520905</v>
      </c>
      <c r="H9" s="39" t="str">
        <f>IFERROR(VLOOKUP(D9,'Master List'!D:H,5,FALSE),"NA")</f>
        <v>Restaurant/Food Services Management.</v>
      </c>
      <c r="I9" s="19"/>
      <c r="J9" s="20"/>
      <c r="K9" s="18"/>
      <c r="L9" s="22"/>
    </row>
    <row r="10" spans="1:12" x14ac:dyDescent="0.3">
      <c r="A10" s="33">
        <v>28</v>
      </c>
      <c r="B10" s="33" t="s">
        <v>2173</v>
      </c>
      <c r="C10" s="34" t="s">
        <v>529</v>
      </c>
      <c r="D10" s="51" t="s">
        <v>536</v>
      </c>
      <c r="E10" s="61" t="str">
        <f>IFERROR(VLOOKUP(D10,'Master List'!D:H,2,FALSE),"NA")</f>
        <v>520909</v>
      </c>
      <c r="F10" s="62" t="str">
        <f>IFERROR(VLOOKUP(D10,'Master List'!D:H,3,FALSE),"NA")</f>
        <v>520909</v>
      </c>
      <c r="G10" s="58" t="str">
        <f>IFERROR(VLOOKUP(D10,'Master List'!D:H,4,FALSE),"NA")</f>
        <v>520909</v>
      </c>
      <c r="H10" s="39" t="str">
        <f>IFERROR(VLOOKUP(D10,'Master List'!D:H,5,FALSE),"NA")</f>
        <v>Hotel, Motel, and Restaurant Management.</v>
      </c>
      <c r="I10" s="19"/>
      <c r="J10" s="20"/>
      <c r="K10" s="18"/>
      <c r="L10" s="22"/>
    </row>
    <row r="11" spans="1:12" x14ac:dyDescent="0.3">
      <c r="A11" s="33">
        <v>28</v>
      </c>
      <c r="B11" s="33" t="s">
        <v>2173</v>
      </c>
      <c r="C11" s="34" t="s">
        <v>529</v>
      </c>
      <c r="D11" s="51" t="s">
        <v>192</v>
      </c>
      <c r="E11" s="61" t="str">
        <f>IFERROR(VLOOKUP(D11,'Master List'!D:H,2,FALSE),"NA")</f>
        <v>410101</v>
      </c>
      <c r="F11" s="62" t="str">
        <f>IFERROR(VLOOKUP(D11,'Master List'!D:H,3,FALSE),"NA")</f>
        <v>410101</v>
      </c>
      <c r="G11" s="58" t="str">
        <f>IFERROR(VLOOKUP(D11,'Master List'!D:H,4,FALSE),"NA")</f>
        <v>410101</v>
      </c>
      <c r="H11" s="39" t="str">
        <f>IFERROR(VLOOKUP(D11,'Master List'!D:H,5,FALSE),"NA")</f>
        <v>Biology/Biotechnology Technology/Technician.</v>
      </c>
      <c r="I11" s="19"/>
      <c r="J11" s="20"/>
      <c r="K11" s="18"/>
      <c r="L11" s="22"/>
    </row>
    <row r="12" spans="1:12" x14ac:dyDescent="0.3">
      <c r="A12" s="33">
        <v>28</v>
      </c>
      <c r="B12" s="33" t="s">
        <v>2173</v>
      </c>
      <c r="C12" s="34" t="s">
        <v>529</v>
      </c>
      <c r="D12" s="51" t="s">
        <v>198</v>
      </c>
      <c r="E12" s="61" t="str">
        <f>IFERROR(VLOOKUP(D12,'Master List'!D:H,2,FALSE),"NA")</f>
        <v>510707</v>
      </c>
      <c r="F12" s="62" t="str">
        <f>IFERROR(VLOOKUP(D12,'Master List'!D:H,3,FALSE),"NA")</f>
        <v>510707</v>
      </c>
      <c r="G12" s="58">
        <f>IFERROR(VLOOKUP(D12,'Master List'!D:H,4,FALSE),"NA")</f>
        <v>510714</v>
      </c>
      <c r="H12" s="39" t="str">
        <f>IFERROR(VLOOKUP(D12,'Master List'!D:H,5,FALSE),"NA")</f>
        <v>Medical Insurance Specialist/Medical Biller</v>
      </c>
      <c r="I12" s="19"/>
      <c r="J12" s="20"/>
      <c r="K12" s="18"/>
      <c r="L12" s="22"/>
    </row>
    <row r="13" spans="1:12" x14ac:dyDescent="0.3">
      <c r="A13" s="33">
        <v>28</v>
      </c>
      <c r="B13" s="33" t="s">
        <v>2173</v>
      </c>
      <c r="C13" s="34" t="s">
        <v>529</v>
      </c>
      <c r="D13" s="51" t="s">
        <v>14</v>
      </c>
      <c r="E13" s="61" t="str">
        <f>IFERROR(VLOOKUP(D13,'Master List'!D:H,2,FALSE),"NA")</f>
        <v>510904</v>
      </c>
      <c r="F13" s="62" t="str">
        <f>IFERROR(VLOOKUP(D13,'Master List'!D:H,3,FALSE),"NA")</f>
        <v>510904</v>
      </c>
      <c r="G13" s="58" t="str">
        <f>IFERROR(VLOOKUP(D13,'Master List'!D:H,4,FALSE),"NA")</f>
        <v>510904</v>
      </c>
      <c r="H13" s="39" t="str">
        <f>IFERROR(VLOOKUP(D13,'Master List'!D:H,5,FALSE),"NA")</f>
        <v>Emergency Medical Technology/Technician (EMT Paramedic).</v>
      </c>
      <c r="I13" s="19"/>
      <c r="J13" s="20"/>
      <c r="K13" s="18"/>
      <c r="L13" s="22"/>
    </row>
    <row r="14" spans="1:12" x14ac:dyDescent="0.3">
      <c r="A14" s="33">
        <v>28</v>
      </c>
      <c r="B14" s="33" t="s">
        <v>2173</v>
      </c>
      <c r="C14" s="34" t="s">
        <v>529</v>
      </c>
      <c r="D14" s="51" t="s">
        <v>204</v>
      </c>
      <c r="E14" s="61" t="str">
        <f>IFERROR(VLOOKUP(D14,'Master List'!D:H,2,FALSE),"NA")</f>
        <v>510904</v>
      </c>
      <c r="F14" s="62" t="str">
        <f>IFERROR(VLOOKUP(D14,'Master List'!D:H,3,FALSE),"NA")</f>
        <v>510904</v>
      </c>
      <c r="G14" s="58" t="str">
        <f>IFERROR(VLOOKUP(D14,'Master List'!D:H,4,FALSE),"NA")</f>
        <v>510904</v>
      </c>
      <c r="H14" s="39" t="str">
        <f>IFERROR(VLOOKUP(D14,'Master List'!D:H,5,FALSE),"NA")</f>
        <v>Emergency Medical Technology/Technician (EMT Paramedic).</v>
      </c>
      <c r="I14" s="19"/>
      <c r="J14" s="20"/>
      <c r="K14" s="18"/>
      <c r="L14" s="22"/>
    </row>
    <row r="15" spans="1:12" x14ac:dyDescent="0.3">
      <c r="A15" s="33">
        <v>28</v>
      </c>
      <c r="B15" s="33" t="s">
        <v>2173</v>
      </c>
      <c r="C15" s="34" t="s">
        <v>529</v>
      </c>
      <c r="D15" s="51" t="s">
        <v>217</v>
      </c>
      <c r="E15" s="61" t="str">
        <f>IFERROR(VLOOKUP(D15,'Master List'!D:H,2,FALSE),"NA")</f>
        <v>110103</v>
      </c>
      <c r="F15" s="62" t="str">
        <f>IFERROR(VLOOKUP(D15,'Master List'!D:H,3,FALSE),"NA")</f>
        <v>110103</v>
      </c>
      <c r="G15" s="58" t="str">
        <f>IFERROR(VLOOKUP(D15,'Master List'!D:H,4,FALSE),"NA")</f>
        <v>110103</v>
      </c>
      <c r="H15" s="39" t="str">
        <f>IFERROR(VLOOKUP(D15,'Master List'!D:H,5,FALSE),"NA")</f>
        <v>Information Technology.</v>
      </c>
      <c r="I15" s="19"/>
      <c r="J15" s="20"/>
      <c r="K15" s="18"/>
      <c r="L15" s="22"/>
    </row>
    <row r="16" spans="1:12" x14ac:dyDescent="0.3">
      <c r="A16" s="33">
        <v>28</v>
      </c>
      <c r="B16" s="33" t="s">
        <v>2173</v>
      </c>
      <c r="C16" s="34" t="s">
        <v>529</v>
      </c>
      <c r="D16" s="51" t="s">
        <v>218</v>
      </c>
      <c r="E16" s="61" t="str">
        <f>IFERROR(VLOOKUP(D16,'Master List'!D:H,2,FALSE),"NA")</f>
        <v>110103</v>
      </c>
      <c r="F16" s="62" t="str">
        <f>IFERROR(VLOOKUP(D16,'Master List'!D:H,3,FALSE),"NA")</f>
        <v>110103</v>
      </c>
      <c r="G16" s="58" t="str">
        <f>IFERROR(VLOOKUP(D16,'Master List'!D:H,4,FALSE),"NA")</f>
        <v>110103</v>
      </c>
      <c r="H16" s="39" t="str">
        <f>IFERROR(VLOOKUP(D16,'Master List'!D:H,5,FALSE),"NA")</f>
        <v>Information Technology.</v>
      </c>
      <c r="I16" s="19"/>
      <c r="J16" s="20"/>
      <c r="K16" s="18"/>
      <c r="L16" s="22"/>
    </row>
    <row r="17" spans="1:12" x14ac:dyDescent="0.3">
      <c r="A17" s="33">
        <v>28</v>
      </c>
      <c r="B17" s="33" t="s">
        <v>2173</v>
      </c>
      <c r="C17" s="34" t="s">
        <v>529</v>
      </c>
      <c r="D17" s="51" t="s">
        <v>389</v>
      </c>
      <c r="E17" s="61" t="str">
        <f>IFERROR(VLOOKUP(D17,'Master List'!D:H,2,FALSE),"NA")</f>
        <v>110201</v>
      </c>
      <c r="F17" s="62" t="str">
        <f>IFERROR(VLOOKUP(D17,'Master List'!D:H,3,FALSE),"NA")</f>
        <v>110201</v>
      </c>
      <c r="G17" s="58" t="str">
        <f>IFERROR(VLOOKUP(D17,'Master List'!D:H,4,FALSE),"NA")</f>
        <v>110201</v>
      </c>
      <c r="H17" s="39" t="str">
        <f>IFERROR(VLOOKUP(D17,'Master List'!D:H,5,FALSE),"NA")</f>
        <v>Computer Programming/Programmer, General.</v>
      </c>
      <c r="I17" s="19"/>
      <c r="J17" s="20"/>
      <c r="K17" s="18"/>
      <c r="L17" s="22"/>
    </row>
    <row r="18" spans="1:12" x14ac:dyDescent="0.3">
      <c r="A18" s="33">
        <v>28</v>
      </c>
      <c r="B18" s="33" t="s">
        <v>2173</v>
      </c>
      <c r="C18" s="34" t="s">
        <v>529</v>
      </c>
      <c r="D18" s="51" t="s">
        <v>390</v>
      </c>
      <c r="E18" s="61" t="str">
        <f>IFERROR(VLOOKUP(D18,'Master List'!D:H,2,FALSE),"NA")</f>
        <v>110202</v>
      </c>
      <c r="F18" s="62" t="str">
        <f>IFERROR(VLOOKUP(D18,'Master List'!D:H,3,FALSE),"NA")</f>
        <v>110202</v>
      </c>
      <c r="G18" s="58" t="str">
        <f>IFERROR(VLOOKUP(D18,'Master List'!D:H,4,FALSE),"NA")</f>
        <v>110202</v>
      </c>
      <c r="H18" s="39" t="str">
        <f>IFERROR(VLOOKUP(D18,'Master List'!D:H,5,FALSE),"NA")</f>
        <v>Computer Programming, Specific Applications.</v>
      </c>
      <c r="I18" s="19"/>
      <c r="J18" s="20"/>
      <c r="K18" s="18"/>
      <c r="L18" s="22"/>
    </row>
    <row r="19" spans="1:12" x14ac:dyDescent="0.3">
      <c r="A19" s="33">
        <v>28</v>
      </c>
      <c r="B19" s="33" t="s">
        <v>2173</v>
      </c>
      <c r="C19" s="34" t="s">
        <v>529</v>
      </c>
      <c r="D19" s="51" t="s">
        <v>31</v>
      </c>
      <c r="E19" s="61" t="str">
        <f>IFERROR(VLOOKUP(D19,'Master List'!D:H,2,FALSE),"NA")</f>
        <v>111001</v>
      </c>
      <c r="F19" s="62" t="str">
        <f>IFERROR(VLOOKUP(D19,'Master List'!D:H,3,FALSE),"NA")</f>
        <v>111001</v>
      </c>
      <c r="G19" s="58" t="str">
        <f>IFERROR(VLOOKUP(D19,'Master List'!D:H,4,FALSE),"NA")</f>
        <v>111001</v>
      </c>
      <c r="H19" s="39" t="str">
        <f>IFERROR(VLOOKUP(D19,'Master List'!D:H,5,FALSE),"NA")</f>
        <v>Network and System Administration/Administrator.</v>
      </c>
      <c r="I19" s="19"/>
      <c r="J19" s="20"/>
      <c r="K19" s="18"/>
      <c r="L19" s="22"/>
    </row>
    <row r="20" spans="1:12" x14ac:dyDescent="0.3">
      <c r="A20" s="33">
        <v>28</v>
      </c>
      <c r="B20" s="33" t="s">
        <v>2173</v>
      </c>
      <c r="C20" s="34" t="s">
        <v>529</v>
      </c>
      <c r="D20" s="51" t="s">
        <v>219</v>
      </c>
      <c r="E20" s="61" t="str">
        <f>IFERROR(VLOOKUP(D20,'Master List'!D:H,2,FALSE),"NA")</f>
        <v>111001</v>
      </c>
      <c r="F20" s="62" t="str">
        <f>IFERROR(VLOOKUP(D20,'Master List'!D:H,3,FALSE),"NA")</f>
        <v>111001</v>
      </c>
      <c r="G20" s="58" t="str">
        <f>IFERROR(VLOOKUP(D20,'Master List'!D:H,4,FALSE),"NA")</f>
        <v>111001</v>
      </c>
      <c r="H20" s="39" t="str">
        <f>IFERROR(VLOOKUP(D20,'Master List'!D:H,5,FALSE),"NA")</f>
        <v>Network and System Administration/Administrator.</v>
      </c>
      <c r="I20" s="19"/>
      <c r="J20" s="20"/>
      <c r="K20" s="18"/>
      <c r="L20" s="22"/>
    </row>
    <row r="21" spans="1:12" x14ac:dyDescent="0.3">
      <c r="A21" s="33">
        <v>28</v>
      </c>
      <c r="B21" s="33" t="s">
        <v>2173</v>
      </c>
      <c r="C21" s="34" t="s">
        <v>529</v>
      </c>
      <c r="D21" s="51" t="s">
        <v>34</v>
      </c>
      <c r="E21" s="61" t="str">
        <f>IFERROR(VLOOKUP(D21,'Master List'!D:H,2,FALSE),"NA")</f>
        <v>111001</v>
      </c>
      <c r="F21" s="62" t="str">
        <f>IFERROR(VLOOKUP(D21,'Master List'!D:H,3,FALSE),"NA")</f>
        <v>111001</v>
      </c>
      <c r="G21" s="58" t="str">
        <f>IFERROR(VLOOKUP(D21,'Master List'!D:H,4,FALSE),"NA")</f>
        <v>111001</v>
      </c>
      <c r="H21" s="39" t="str">
        <f>IFERROR(VLOOKUP(D21,'Master List'!D:H,5,FALSE),"NA")</f>
        <v>Network and System Administration/Administrator.</v>
      </c>
      <c r="I21" s="19"/>
      <c r="J21" s="20"/>
      <c r="K21" s="18"/>
      <c r="L21" s="22"/>
    </row>
    <row r="22" spans="1:12" x14ac:dyDescent="0.3">
      <c r="A22" s="33">
        <v>28</v>
      </c>
      <c r="B22" s="33" t="s">
        <v>2173</v>
      </c>
      <c r="C22" s="34" t="s">
        <v>529</v>
      </c>
      <c r="D22" s="51" t="s">
        <v>541</v>
      </c>
      <c r="E22" s="61" t="str">
        <f>IFERROR(VLOOKUP(D22,'Master List'!D:H,2,FALSE),"NA")</f>
        <v>111001</v>
      </c>
      <c r="F22" s="62" t="str">
        <f>IFERROR(VLOOKUP(D22,'Master List'!D:H,3,FALSE),"NA")</f>
        <v>111001</v>
      </c>
      <c r="G22" s="58" t="str">
        <f>IFERROR(VLOOKUP(D22,'Master List'!D:H,4,FALSE),"NA")</f>
        <v>111001</v>
      </c>
      <c r="H22" s="39" t="str">
        <f>IFERROR(VLOOKUP(D22,'Master List'!D:H,5,FALSE),"NA")</f>
        <v>Network and System Administration/Administrator.</v>
      </c>
      <c r="I22" s="19"/>
      <c r="J22" s="20"/>
      <c r="K22" s="18"/>
      <c r="L22" s="22"/>
    </row>
    <row r="23" spans="1:12" x14ac:dyDescent="0.3">
      <c r="A23" s="33">
        <v>28</v>
      </c>
      <c r="B23" s="33" t="s">
        <v>2173</v>
      </c>
      <c r="C23" s="34" t="s">
        <v>529</v>
      </c>
      <c r="D23" s="51" t="s">
        <v>542</v>
      </c>
      <c r="E23" s="61" t="str">
        <f>IFERROR(VLOOKUP(D23,'Master List'!D:H,2,FALSE),"NA")</f>
        <v>111001</v>
      </c>
      <c r="F23" s="62" t="str">
        <f>IFERROR(VLOOKUP(D23,'Master List'!D:H,3,FALSE),"NA")</f>
        <v>111001</v>
      </c>
      <c r="G23" s="58" t="str">
        <f>IFERROR(VLOOKUP(D23,'Master List'!D:H,4,FALSE),"NA")</f>
        <v>111001</v>
      </c>
      <c r="H23" s="39" t="str">
        <f>IFERROR(VLOOKUP(D23,'Master List'!D:H,5,FALSE),"NA")</f>
        <v>Network and System Administration/Administrator.</v>
      </c>
      <c r="I23" s="19"/>
      <c r="J23" s="20"/>
      <c r="K23" s="18"/>
      <c r="L23" s="22"/>
    </row>
    <row r="24" spans="1:12" x14ac:dyDescent="0.3">
      <c r="A24" s="33">
        <v>28</v>
      </c>
      <c r="B24" s="33" t="s">
        <v>2173</v>
      </c>
      <c r="C24" s="34" t="s">
        <v>529</v>
      </c>
      <c r="D24" s="51" t="s">
        <v>35</v>
      </c>
      <c r="E24" s="61" t="str">
        <f>IFERROR(VLOOKUP(D24,'Master List'!D:H,2,FALSE),"NA")</f>
        <v>111001</v>
      </c>
      <c r="F24" s="62" t="str">
        <f>IFERROR(VLOOKUP(D24,'Master List'!D:H,3,FALSE),"NA")</f>
        <v>111001</v>
      </c>
      <c r="G24" s="58" t="str">
        <f>IFERROR(VLOOKUP(D24,'Master List'!D:H,4,FALSE),"NA")</f>
        <v>111001</v>
      </c>
      <c r="H24" s="39" t="str">
        <f>IFERROR(VLOOKUP(D24,'Master List'!D:H,5,FALSE),"NA")</f>
        <v>Network and System Administration/Administrator.</v>
      </c>
      <c r="I24" s="19"/>
      <c r="J24" s="20"/>
      <c r="K24" s="18"/>
      <c r="L24" s="22"/>
    </row>
    <row r="25" spans="1:12" x14ac:dyDescent="0.3">
      <c r="A25" s="33">
        <v>28</v>
      </c>
      <c r="B25" s="33" t="s">
        <v>2173</v>
      </c>
      <c r="C25" s="34" t="s">
        <v>529</v>
      </c>
      <c r="D25" s="51" t="s">
        <v>221</v>
      </c>
      <c r="E25" s="61" t="str">
        <f>IFERROR(VLOOKUP(D25,'Master List'!D:H,2,FALSE),"NA")</f>
        <v>111001</v>
      </c>
      <c r="F25" s="62" t="str">
        <f>IFERROR(VLOOKUP(D25,'Master List'!D:H,3,FALSE),"NA")</f>
        <v>111001</v>
      </c>
      <c r="G25" s="58" t="str">
        <f>IFERROR(VLOOKUP(D25,'Master List'!D:H,4,FALSE),"NA")</f>
        <v>111001</v>
      </c>
      <c r="H25" s="39" t="str">
        <f>IFERROR(VLOOKUP(D25,'Master List'!D:H,5,FALSE),"NA")</f>
        <v>Network and System Administration/Administrator.</v>
      </c>
      <c r="I25" s="19"/>
      <c r="J25" s="20"/>
      <c r="K25" s="18"/>
      <c r="L25" s="22"/>
    </row>
    <row r="26" spans="1:12" x14ac:dyDescent="0.3">
      <c r="A26" s="33">
        <v>28</v>
      </c>
      <c r="B26" s="33" t="s">
        <v>2173</v>
      </c>
      <c r="C26" s="34" t="s">
        <v>529</v>
      </c>
      <c r="D26" s="51" t="s">
        <v>36</v>
      </c>
      <c r="E26" s="61" t="str">
        <f>IFERROR(VLOOKUP(D26,'Master List'!D:H,2,FALSE),"NA")</f>
        <v>111001</v>
      </c>
      <c r="F26" s="62" t="str">
        <f>IFERROR(VLOOKUP(D26,'Master List'!D:H,3,FALSE),"NA")</f>
        <v>111001</v>
      </c>
      <c r="G26" s="58" t="str">
        <f>IFERROR(VLOOKUP(D26,'Master List'!D:H,4,FALSE),"NA")</f>
        <v>111001</v>
      </c>
      <c r="H26" s="39" t="str">
        <f>IFERROR(VLOOKUP(D26,'Master List'!D:H,5,FALSE),"NA")</f>
        <v>Network and System Administration/Administrator.</v>
      </c>
      <c r="I26" s="19"/>
      <c r="J26" s="20"/>
      <c r="K26" s="18"/>
      <c r="L26" s="22"/>
    </row>
    <row r="27" spans="1:12" x14ac:dyDescent="0.3">
      <c r="A27" s="33">
        <v>28</v>
      </c>
      <c r="B27" s="33" t="s">
        <v>2173</v>
      </c>
      <c r="C27" s="34" t="s">
        <v>529</v>
      </c>
      <c r="D27" s="51" t="s">
        <v>543</v>
      </c>
      <c r="E27" s="61" t="str">
        <f>IFERROR(VLOOKUP(D27,'Master List'!D:H,2,FALSE),"NA")</f>
        <v>111001</v>
      </c>
      <c r="F27" s="62" t="str">
        <f>IFERROR(VLOOKUP(D27,'Master List'!D:H,3,FALSE),"NA")</f>
        <v>111001</v>
      </c>
      <c r="G27" s="58" t="str">
        <f>IFERROR(VLOOKUP(D27,'Master List'!D:H,4,FALSE),"NA")</f>
        <v>111001</v>
      </c>
      <c r="H27" s="39" t="str">
        <f>IFERROR(VLOOKUP(D27,'Master List'!D:H,5,FALSE),"NA")</f>
        <v>Network and System Administration/Administrator.</v>
      </c>
      <c r="I27" s="19"/>
      <c r="J27" s="20"/>
      <c r="K27" s="18"/>
      <c r="L27" s="22"/>
    </row>
    <row r="28" spans="1:12" x14ac:dyDescent="0.3">
      <c r="A28" s="33">
        <v>28</v>
      </c>
      <c r="B28" s="33" t="s">
        <v>2173</v>
      </c>
      <c r="C28" s="34" t="s">
        <v>529</v>
      </c>
      <c r="D28" s="51" t="s">
        <v>422</v>
      </c>
      <c r="E28" s="61" t="str">
        <f>IFERROR(VLOOKUP(D28,'Master List'!D:H,2,FALSE),"NA")</f>
        <v>510716</v>
      </c>
      <c r="F28" s="62" t="str">
        <f>IFERROR(VLOOKUP(D28,'Master List'!D:H,3,FALSE),"NA")</f>
        <v>510716</v>
      </c>
      <c r="G28" s="58">
        <f>IFERROR(VLOOKUP(D28,'Master List'!D:H,4,FALSE),"NA")</f>
        <v>510705</v>
      </c>
      <c r="H28" s="39" t="str">
        <f>IFERROR(VLOOKUP(D28,'Master List'!D:H,5,FALSE),"NA")</f>
        <v>Medical Office Management/Administration</v>
      </c>
      <c r="I28" s="19"/>
      <c r="J28" s="20"/>
      <c r="K28" s="18"/>
      <c r="L28" s="22"/>
    </row>
    <row r="29" spans="1:12" x14ac:dyDescent="0.3">
      <c r="A29" s="33">
        <v>28</v>
      </c>
      <c r="B29" s="33" t="s">
        <v>2173</v>
      </c>
      <c r="C29" s="34" t="s">
        <v>529</v>
      </c>
      <c r="D29" s="51" t="s">
        <v>153</v>
      </c>
      <c r="E29" s="61" t="str">
        <f>IFERROR(VLOOKUP(D29,'Master List'!D:H,2,FALSE),"NA")</f>
        <v>520201</v>
      </c>
      <c r="F29" s="62" t="str">
        <f>IFERROR(VLOOKUP(D29,'Master List'!D:H,3,FALSE),"NA")</f>
        <v>520201</v>
      </c>
      <c r="G29" s="58" t="str">
        <f>IFERROR(VLOOKUP(D29,'Master List'!D:H,4,FALSE),"NA")</f>
        <v>520201</v>
      </c>
      <c r="H29" s="39" t="str">
        <f>IFERROR(VLOOKUP(D29,'Master List'!D:H,5,FALSE),"NA")</f>
        <v>Business Administration and Management, General.</v>
      </c>
      <c r="I29" s="19"/>
      <c r="J29" s="20"/>
      <c r="K29" s="18"/>
      <c r="L29" s="22"/>
    </row>
    <row r="30" spans="1:12" x14ac:dyDescent="0.3">
      <c r="A30" s="33">
        <v>28</v>
      </c>
      <c r="B30" s="33" t="s">
        <v>2173</v>
      </c>
      <c r="C30" s="34" t="s">
        <v>529</v>
      </c>
      <c r="D30" s="51" t="s">
        <v>154</v>
      </c>
      <c r="E30" s="61" t="str">
        <f>IFERROR(VLOOKUP(D30,'Master List'!D:H,2,FALSE),"NA")</f>
        <v>520201</v>
      </c>
      <c r="F30" s="62" t="str">
        <f>IFERROR(VLOOKUP(D30,'Master List'!D:H,3,FALSE),"NA")</f>
        <v>520201</v>
      </c>
      <c r="G30" s="58" t="str">
        <f>IFERROR(VLOOKUP(D30,'Master List'!D:H,4,FALSE),"NA")</f>
        <v>520201</v>
      </c>
      <c r="H30" s="39" t="str">
        <f>IFERROR(VLOOKUP(D30,'Master List'!D:H,5,FALSE),"NA")</f>
        <v>Business Administration and Management, General.</v>
      </c>
      <c r="I30" s="19"/>
      <c r="J30" s="20"/>
      <c r="K30" s="18"/>
      <c r="L30" s="22"/>
    </row>
    <row r="31" spans="1:12" x14ac:dyDescent="0.3">
      <c r="A31" s="33">
        <v>28</v>
      </c>
      <c r="B31" s="33" t="s">
        <v>2173</v>
      </c>
      <c r="C31" s="34" t="s">
        <v>529</v>
      </c>
      <c r="D31" s="51" t="s">
        <v>37</v>
      </c>
      <c r="E31" s="61" t="str">
        <f>IFERROR(VLOOKUP(D31,'Master List'!D:H,2,FALSE),"NA")</f>
        <v>520204</v>
      </c>
      <c r="F31" s="62" t="str">
        <f>IFERROR(VLOOKUP(D31,'Master List'!D:H,3,FALSE),"NA")</f>
        <v>520204</v>
      </c>
      <c r="G31" s="58" t="str">
        <f>IFERROR(VLOOKUP(D31,'Master List'!D:H,4,FALSE),"NA")</f>
        <v>520204</v>
      </c>
      <c r="H31" s="39" t="str">
        <f>IFERROR(VLOOKUP(D31,'Master List'!D:H,5,FALSE),"NA")</f>
        <v>Office Management and Supervision.</v>
      </c>
      <c r="I31" s="19"/>
      <c r="J31" s="20"/>
      <c r="K31" s="18"/>
      <c r="L31" s="22"/>
    </row>
    <row r="32" spans="1:12" x14ac:dyDescent="0.3">
      <c r="A32" s="33">
        <v>28</v>
      </c>
      <c r="B32" s="33" t="s">
        <v>2173</v>
      </c>
      <c r="C32" s="34" t="s">
        <v>529</v>
      </c>
      <c r="D32" s="51" t="s">
        <v>226</v>
      </c>
      <c r="E32" s="61" t="str">
        <f>IFERROR(VLOOKUP(D32,'Master List'!D:H,2,FALSE),"NA")</f>
        <v>520204</v>
      </c>
      <c r="F32" s="62" t="str">
        <f>IFERROR(VLOOKUP(D32,'Master List'!D:H,3,FALSE),"NA")</f>
        <v>520204</v>
      </c>
      <c r="G32" s="58" t="str">
        <f>IFERROR(VLOOKUP(D32,'Master List'!D:H,4,FALSE),"NA")</f>
        <v>520204</v>
      </c>
      <c r="H32" s="39" t="str">
        <f>IFERROR(VLOOKUP(D32,'Master List'!D:H,5,FALSE),"NA")</f>
        <v>Office Management and Supervision.</v>
      </c>
      <c r="I32" s="19"/>
      <c r="J32" s="20"/>
      <c r="K32" s="18"/>
      <c r="L32" s="22"/>
    </row>
    <row r="33" spans="1:12" x14ac:dyDescent="0.3">
      <c r="A33" s="33">
        <v>28</v>
      </c>
      <c r="B33" s="33" t="s">
        <v>2173</v>
      </c>
      <c r="C33" s="34" t="s">
        <v>529</v>
      </c>
      <c r="D33" s="51" t="s">
        <v>227</v>
      </c>
      <c r="E33" s="61" t="str">
        <f>IFERROR(VLOOKUP(D33,'Master List'!D:H,2,FALSE),"NA")</f>
        <v>520302</v>
      </c>
      <c r="F33" s="62" t="str">
        <f>IFERROR(VLOOKUP(D33,'Master List'!D:H,3,FALSE),"NA")</f>
        <v>520302</v>
      </c>
      <c r="G33" s="58" t="str">
        <f>IFERROR(VLOOKUP(D33,'Master List'!D:H,4,FALSE),"NA")</f>
        <v>520302</v>
      </c>
      <c r="H33" s="39" t="str">
        <f>IFERROR(VLOOKUP(D33,'Master List'!D:H,5,FALSE),"NA")</f>
        <v>Accounting Technology/Technician and Bookkeeping.</v>
      </c>
      <c r="I33" s="19"/>
      <c r="J33" s="20"/>
      <c r="K33" s="18"/>
      <c r="L33" s="22"/>
    </row>
    <row r="34" spans="1:12" x14ac:dyDescent="0.3">
      <c r="A34" s="33">
        <v>28</v>
      </c>
      <c r="B34" s="33" t="s">
        <v>2173</v>
      </c>
      <c r="C34" s="34" t="s">
        <v>529</v>
      </c>
      <c r="D34" s="51" t="s">
        <v>228</v>
      </c>
      <c r="E34" s="61" t="str">
        <f>IFERROR(VLOOKUP(D34,'Master List'!D:H,2,FALSE),"NA")</f>
        <v>520302</v>
      </c>
      <c r="F34" s="62" t="str">
        <f>IFERROR(VLOOKUP(D34,'Master List'!D:H,3,FALSE),"NA")</f>
        <v>520302</v>
      </c>
      <c r="G34" s="58" t="str">
        <f>IFERROR(VLOOKUP(D34,'Master List'!D:H,4,FALSE),"NA")</f>
        <v>520302</v>
      </c>
      <c r="H34" s="39" t="str">
        <f>IFERROR(VLOOKUP(D34,'Master List'!D:H,5,FALSE),"NA")</f>
        <v>Accounting Technology/Technician and Bookkeeping.</v>
      </c>
      <c r="I34" s="19"/>
      <c r="J34" s="20"/>
      <c r="K34" s="18"/>
      <c r="L34" s="22"/>
    </row>
    <row r="35" spans="1:12" x14ac:dyDescent="0.3">
      <c r="A35" s="33">
        <v>28</v>
      </c>
      <c r="B35" s="33" t="s">
        <v>2173</v>
      </c>
      <c r="C35" s="34" t="s">
        <v>529</v>
      </c>
      <c r="D35" s="51" t="s">
        <v>40</v>
      </c>
      <c r="E35" s="61" t="str">
        <f>IFERROR(VLOOKUP(D35,'Master List'!D:H,2,FALSE),"NA")</f>
        <v>520302</v>
      </c>
      <c r="F35" s="62" t="str">
        <f>IFERROR(VLOOKUP(D35,'Master List'!D:H,3,FALSE),"NA")</f>
        <v>520302</v>
      </c>
      <c r="G35" s="58" t="str">
        <f>IFERROR(VLOOKUP(D35,'Master List'!D:H,4,FALSE),"NA")</f>
        <v>520302</v>
      </c>
      <c r="H35" s="39" t="str">
        <f>IFERROR(VLOOKUP(D35,'Master List'!D:H,5,FALSE),"NA")</f>
        <v>Accounting Technology/Technician and Bookkeeping.</v>
      </c>
      <c r="I35" s="19"/>
      <c r="J35" s="20"/>
      <c r="K35" s="18"/>
      <c r="L35" s="22"/>
    </row>
    <row r="36" spans="1:12" x14ac:dyDescent="0.3">
      <c r="A36" s="33">
        <v>28</v>
      </c>
      <c r="B36" s="33" t="s">
        <v>2173</v>
      </c>
      <c r="C36" s="34" t="s">
        <v>529</v>
      </c>
      <c r="D36" s="51" t="s">
        <v>229</v>
      </c>
      <c r="E36" s="61" t="str">
        <f>IFERROR(VLOOKUP(D36,'Master List'!D:H,2,FALSE),"NA")</f>
        <v>520407</v>
      </c>
      <c r="F36" s="62" t="str">
        <f>IFERROR(VLOOKUP(D36,'Master List'!D:H,3,FALSE),"NA")</f>
        <v>520407</v>
      </c>
      <c r="G36" s="58" t="str">
        <f>IFERROR(VLOOKUP(D36,'Master List'!D:H,4,FALSE),"NA")</f>
        <v>520407</v>
      </c>
      <c r="H36" s="39" t="str">
        <f>IFERROR(VLOOKUP(D36,'Master List'!D:H,5,FALSE),"NA")</f>
        <v>Business/Office Automation/Technology/Data Entry.</v>
      </c>
      <c r="I36" s="19"/>
      <c r="J36" s="20"/>
      <c r="K36" s="18"/>
      <c r="L36" s="22"/>
    </row>
    <row r="37" spans="1:12" x14ac:dyDescent="0.3">
      <c r="A37" s="33">
        <v>28</v>
      </c>
      <c r="B37" s="33" t="s">
        <v>2173</v>
      </c>
      <c r="C37" s="34" t="s">
        <v>529</v>
      </c>
      <c r="D37" s="51" t="s">
        <v>232</v>
      </c>
      <c r="E37" s="61" t="str">
        <f>IFERROR(VLOOKUP(D37,'Master List'!D:H,2,FALSE),"NA")</f>
        <v>520701</v>
      </c>
      <c r="F37" s="62" t="str">
        <f>IFERROR(VLOOKUP(D37,'Master List'!D:H,3,FALSE),"NA")</f>
        <v>520701</v>
      </c>
      <c r="G37" s="58" t="str">
        <f>IFERROR(VLOOKUP(D37,'Master List'!D:H,4,FALSE),"NA")</f>
        <v>520701</v>
      </c>
      <c r="H37" s="39" t="str">
        <f>IFERROR(VLOOKUP(D37,'Master List'!D:H,5,FALSE),"NA")</f>
        <v>Entrepreneurship/Entrepreneurial Studies.</v>
      </c>
      <c r="I37" s="19"/>
      <c r="J37" s="20"/>
      <c r="K37" s="18"/>
      <c r="L37" s="22"/>
    </row>
    <row r="38" spans="1:12" x14ac:dyDescent="0.3">
      <c r="A38" s="33">
        <v>28</v>
      </c>
      <c r="B38" s="33" t="s">
        <v>2173</v>
      </c>
      <c r="C38" s="34" t="s">
        <v>529</v>
      </c>
      <c r="D38" s="51" t="s">
        <v>233</v>
      </c>
      <c r="E38" s="61" t="str">
        <f>IFERROR(VLOOKUP(D38,'Master List'!D:H,2,FALSE),"NA")</f>
        <v>520703</v>
      </c>
      <c r="F38" s="62" t="str">
        <f>IFERROR(VLOOKUP(D38,'Master List'!D:H,3,FALSE),"NA")</f>
        <v>520703</v>
      </c>
      <c r="G38" s="58" t="str">
        <f>IFERROR(VLOOKUP(D38,'Master List'!D:H,4,FALSE),"NA")</f>
        <v>520703</v>
      </c>
      <c r="H38" s="39" t="str">
        <f>IFERROR(VLOOKUP(D38,'Master List'!D:H,5,FALSE),"NA")</f>
        <v>Small Business Administration/Management.</v>
      </c>
      <c r="I38" s="19"/>
      <c r="J38" s="20"/>
      <c r="K38" s="18"/>
      <c r="L38" s="22"/>
    </row>
    <row r="39" spans="1:12" x14ac:dyDescent="0.3">
      <c r="A39" s="33">
        <v>28</v>
      </c>
      <c r="B39" s="33" t="s">
        <v>2173</v>
      </c>
      <c r="C39" s="34" t="s">
        <v>529</v>
      </c>
      <c r="D39" s="51" t="s">
        <v>544</v>
      </c>
      <c r="E39" s="61" t="str">
        <f>IFERROR(VLOOKUP(D39,'Master List'!D:H,2,FALSE),"NA")</f>
        <v>090402</v>
      </c>
      <c r="F39" s="62" t="str">
        <f>IFERROR(VLOOKUP(D39,'Master List'!D:H,3,FALSE),"NA")</f>
        <v>090402</v>
      </c>
      <c r="G39" s="58" t="str">
        <f>IFERROR(VLOOKUP(D39,'Master List'!D:H,4,FALSE),"NA")</f>
        <v>090402</v>
      </c>
      <c r="H39" s="39" t="str">
        <f>IFERROR(VLOOKUP(D39,'Master List'!D:H,5,FALSE),"NA")</f>
        <v>Broadcast Journalism.</v>
      </c>
      <c r="I39" s="19"/>
      <c r="J39" s="20"/>
      <c r="K39" s="18"/>
      <c r="L39" s="22"/>
    </row>
    <row r="40" spans="1:12" x14ac:dyDescent="0.3">
      <c r="A40" s="33">
        <v>28</v>
      </c>
      <c r="B40" s="33" t="s">
        <v>2173</v>
      </c>
      <c r="C40" s="34" t="s">
        <v>529</v>
      </c>
      <c r="D40" s="51" t="s">
        <v>547</v>
      </c>
      <c r="E40" s="61" t="str">
        <f>IFERROR(VLOOKUP(D40,'Master List'!D:H,2,FALSE),"NA")</f>
        <v>090499</v>
      </c>
      <c r="F40" s="62" t="str">
        <f>IFERROR(VLOOKUP(D40,'Master List'!D:H,3,FALSE),"NA")</f>
        <v>090499</v>
      </c>
      <c r="G40" s="58" t="str">
        <f>IFERROR(VLOOKUP(D40,'Master List'!D:H,4,FALSE),"NA")</f>
        <v>090499</v>
      </c>
      <c r="H40" s="39" t="str">
        <f>IFERROR(VLOOKUP(D40,'Master List'!D:H,5,FALSE),"NA")</f>
        <v>Journalism, Other.</v>
      </c>
      <c r="I40" s="19"/>
      <c r="J40" s="20"/>
      <c r="K40" s="18"/>
      <c r="L40" s="22"/>
    </row>
    <row r="41" spans="1:12" x14ac:dyDescent="0.3">
      <c r="A41" s="33">
        <v>28</v>
      </c>
      <c r="B41" s="33" t="s">
        <v>2173</v>
      </c>
      <c r="C41" s="34" t="s">
        <v>529</v>
      </c>
      <c r="D41" s="51" t="s">
        <v>511</v>
      </c>
      <c r="E41" s="61" t="str">
        <f>IFERROR(VLOOKUP(D41,'Master List'!D:H,2,FALSE),"NA")</f>
        <v>090702</v>
      </c>
      <c r="F41" s="62" t="str">
        <f>IFERROR(VLOOKUP(D41,'Master List'!D:H,3,FALSE),"NA")</f>
        <v>090702</v>
      </c>
      <c r="G41" s="58" t="str">
        <f>IFERROR(VLOOKUP(D41,'Master List'!D:H,4,FALSE),"NA")</f>
        <v>090702</v>
      </c>
      <c r="H41" s="39" t="str">
        <f>IFERROR(VLOOKUP(D41,'Master List'!D:H,5,FALSE),"NA")</f>
        <v>Digital Communication and Media/Multimedia.</v>
      </c>
      <c r="I41" s="19"/>
      <c r="J41" s="20"/>
      <c r="K41" s="18"/>
      <c r="L41" s="22"/>
    </row>
    <row r="42" spans="1:12" x14ac:dyDescent="0.3">
      <c r="A42" s="33">
        <v>28</v>
      </c>
      <c r="B42" s="33" t="s">
        <v>2173</v>
      </c>
      <c r="C42" s="34" t="s">
        <v>529</v>
      </c>
      <c r="D42" s="51" t="s">
        <v>234</v>
      </c>
      <c r="E42" s="61" t="str">
        <f>IFERROR(VLOOKUP(D42,'Master List'!D:H,2,FALSE),"NA")</f>
        <v>090702</v>
      </c>
      <c r="F42" s="62" t="str">
        <f>IFERROR(VLOOKUP(D42,'Master List'!D:H,3,FALSE),"NA")</f>
        <v>090702</v>
      </c>
      <c r="G42" s="58" t="str">
        <f>IFERROR(VLOOKUP(D42,'Master List'!D:H,4,FALSE),"NA")</f>
        <v>090702</v>
      </c>
      <c r="H42" s="39" t="str">
        <f>IFERROR(VLOOKUP(D42,'Master List'!D:H,5,FALSE),"NA")</f>
        <v>Digital Communication and Media/Multimedia.</v>
      </c>
      <c r="I42" s="19"/>
      <c r="J42" s="20"/>
      <c r="K42" s="18"/>
      <c r="L42" s="22"/>
    </row>
    <row r="43" spans="1:12" x14ac:dyDescent="0.3">
      <c r="A43" s="33">
        <v>28</v>
      </c>
      <c r="B43" s="33" t="s">
        <v>2173</v>
      </c>
      <c r="C43" s="34" t="s">
        <v>529</v>
      </c>
      <c r="D43" s="51" t="s">
        <v>43</v>
      </c>
      <c r="E43" s="61" t="str">
        <f>IFERROR(VLOOKUP(D43,'Master List'!D:H,2,FALSE),"NA")</f>
        <v>100105</v>
      </c>
      <c r="F43" s="62" t="str">
        <f>IFERROR(VLOOKUP(D43,'Master List'!D:H,3,FALSE),"NA")</f>
        <v>100105</v>
      </c>
      <c r="G43" s="58" t="str">
        <f>IFERROR(VLOOKUP(D43,'Master List'!D:H,4,FALSE),"NA")</f>
        <v>100105</v>
      </c>
      <c r="H43" s="39" t="str">
        <f>IFERROR(VLOOKUP(D43,'Master List'!D:H,5,FALSE),"NA")</f>
        <v>Communications Technology/Technician.</v>
      </c>
      <c r="I43" s="19"/>
      <c r="J43" s="20"/>
      <c r="K43" s="18"/>
      <c r="L43" s="22"/>
    </row>
    <row r="44" spans="1:12" x14ac:dyDescent="0.3">
      <c r="A44" s="33">
        <v>28</v>
      </c>
      <c r="B44" s="33" t="s">
        <v>2173</v>
      </c>
      <c r="C44" s="34" t="s">
        <v>529</v>
      </c>
      <c r="D44" s="51" t="s">
        <v>427</v>
      </c>
      <c r="E44" s="61" t="str">
        <f>IFERROR(VLOOKUP(D44,'Master List'!D:H,2,FALSE),"NA")</f>
        <v>100202</v>
      </c>
      <c r="F44" s="62" t="str">
        <f>IFERROR(VLOOKUP(D44,'Master List'!D:H,3,FALSE),"NA")</f>
        <v>100202</v>
      </c>
      <c r="G44" s="58" t="str">
        <f>IFERROR(VLOOKUP(D44,'Master List'!D:H,4,FALSE),"NA")</f>
        <v>100202</v>
      </c>
      <c r="H44" s="39" t="str">
        <f>IFERROR(VLOOKUP(D44,'Master List'!D:H,5,FALSE),"NA")</f>
        <v>Radio and Television Broadcasting Technology/Technician.</v>
      </c>
      <c r="I44" s="19"/>
      <c r="J44" s="20"/>
      <c r="K44" s="18"/>
      <c r="L44" s="22"/>
    </row>
    <row r="45" spans="1:12" x14ac:dyDescent="0.3">
      <c r="A45" s="33">
        <v>28</v>
      </c>
      <c r="B45" s="33" t="s">
        <v>2173</v>
      </c>
      <c r="C45" s="34" t="s">
        <v>529</v>
      </c>
      <c r="D45" s="51" t="s">
        <v>550</v>
      </c>
      <c r="E45" s="61" t="str">
        <f>IFERROR(VLOOKUP(D45,'Master List'!D:H,2,FALSE),"NA")</f>
        <v>100304</v>
      </c>
      <c r="F45" s="62" t="str">
        <f>IFERROR(VLOOKUP(D45,'Master List'!D:H,3,FALSE),"NA")</f>
        <v>100304</v>
      </c>
      <c r="G45" s="58">
        <f>IFERROR(VLOOKUP(D45,'Master List'!D:H,4,FALSE),"NA")</f>
        <v>100202</v>
      </c>
      <c r="H45" s="39" t="str">
        <f>IFERROR(VLOOKUP(D45,'Master List'!D:H,5,FALSE),"NA")</f>
        <v>Animation, Interactive Technology, Video Graphics, and Special Effects.</v>
      </c>
      <c r="I45" s="19"/>
      <c r="J45" s="20"/>
      <c r="K45" s="18"/>
      <c r="L45" s="22"/>
    </row>
    <row r="46" spans="1:12" x14ac:dyDescent="0.3">
      <c r="A46" s="33">
        <v>28</v>
      </c>
      <c r="B46" s="33" t="s">
        <v>2173</v>
      </c>
      <c r="C46" s="34" t="s">
        <v>529</v>
      </c>
      <c r="D46" s="51" t="s">
        <v>512</v>
      </c>
      <c r="E46" s="61" t="str">
        <f>IFERROR(VLOOKUP(D46,'Master List'!D:H,2,FALSE),"NA")</f>
        <v>110501</v>
      </c>
      <c r="F46" s="62" t="str">
        <f>IFERROR(VLOOKUP(D46,'Master List'!D:H,3,FALSE),"NA")</f>
        <v>110501</v>
      </c>
      <c r="G46" s="58" t="str">
        <f>IFERROR(VLOOKUP(D46,'Master List'!D:H,4,FALSE),"NA")</f>
        <v>110501</v>
      </c>
      <c r="H46" s="39" t="str">
        <f>IFERROR(VLOOKUP(D46,'Master List'!D:H,5,FALSE),"NA")</f>
        <v>Computer Systems Analysis/Analyst.</v>
      </c>
      <c r="I46" s="19"/>
      <c r="J46" s="20"/>
      <c r="K46" s="18"/>
      <c r="L46" s="22"/>
    </row>
    <row r="47" spans="1:12" x14ac:dyDescent="0.3">
      <c r="A47" s="33">
        <v>28</v>
      </c>
      <c r="B47" s="33" t="s">
        <v>2173</v>
      </c>
      <c r="C47" s="34" t="s">
        <v>529</v>
      </c>
      <c r="D47" s="51" t="s">
        <v>515</v>
      </c>
      <c r="E47" s="61" t="str">
        <f>IFERROR(VLOOKUP(D47,'Master List'!D:H,2,FALSE),"NA")</f>
        <v>110803</v>
      </c>
      <c r="F47" s="62" t="str">
        <f>IFERROR(VLOOKUP(D47,'Master List'!D:H,3,FALSE),"NA")</f>
        <v>110803</v>
      </c>
      <c r="G47" s="58" t="str">
        <f>IFERROR(VLOOKUP(D47,'Master List'!D:H,4,FALSE),"NA")</f>
        <v>110803</v>
      </c>
      <c r="H47" s="39" t="str">
        <f>IFERROR(VLOOKUP(D47,'Master List'!D:H,5,FALSE),"NA")</f>
        <v>Computer Graphics.</v>
      </c>
      <c r="I47" s="19"/>
      <c r="J47" s="20"/>
      <c r="K47" s="18"/>
      <c r="L47" s="22"/>
    </row>
    <row r="48" spans="1:12" x14ac:dyDescent="0.3">
      <c r="A48" s="33">
        <v>28</v>
      </c>
      <c r="B48" s="33" t="s">
        <v>2173</v>
      </c>
      <c r="C48" s="34" t="s">
        <v>529</v>
      </c>
      <c r="D48" s="51" t="s">
        <v>237</v>
      </c>
      <c r="E48" s="61" t="str">
        <f>IFERROR(VLOOKUP(D48,'Master List'!D:H,2,FALSE),"NA")</f>
        <v>110803</v>
      </c>
      <c r="F48" s="62" t="str">
        <f>IFERROR(VLOOKUP(D48,'Master List'!D:H,3,FALSE),"NA")</f>
        <v>110803</v>
      </c>
      <c r="G48" s="58" t="str">
        <f>IFERROR(VLOOKUP(D48,'Master List'!D:H,4,FALSE),"NA")</f>
        <v>110803</v>
      </c>
      <c r="H48" s="39" t="str">
        <f>IFERROR(VLOOKUP(D48,'Master List'!D:H,5,FALSE),"NA")</f>
        <v>Computer Graphics.</v>
      </c>
      <c r="I48" s="19"/>
      <c r="J48" s="20"/>
      <c r="K48" s="18"/>
      <c r="L48" s="22"/>
    </row>
    <row r="49" spans="1:12" x14ac:dyDescent="0.3">
      <c r="A49" s="33">
        <v>28</v>
      </c>
      <c r="B49" s="33" t="s">
        <v>2173</v>
      </c>
      <c r="C49" s="34" t="s">
        <v>529</v>
      </c>
      <c r="D49" s="51" t="s">
        <v>553</v>
      </c>
      <c r="E49" s="61" t="str">
        <f>IFERROR(VLOOKUP(D49,'Master List'!D:H,2,FALSE),"NA")</f>
        <v>110803</v>
      </c>
      <c r="F49" s="62" t="str">
        <f>IFERROR(VLOOKUP(D49,'Master List'!D:H,3,FALSE),"NA")</f>
        <v>110803</v>
      </c>
      <c r="G49" s="58" t="str">
        <f>IFERROR(VLOOKUP(D49,'Master List'!D:H,4,FALSE),"NA")</f>
        <v>110803</v>
      </c>
      <c r="H49" s="39" t="str">
        <f>IFERROR(VLOOKUP(D49,'Master List'!D:H,5,FALSE),"NA")</f>
        <v>Computer Graphics.</v>
      </c>
      <c r="I49" s="19"/>
      <c r="J49" s="20"/>
      <c r="K49" s="18"/>
      <c r="L49" s="22"/>
    </row>
    <row r="50" spans="1:12" x14ac:dyDescent="0.3">
      <c r="A50" s="33">
        <v>28</v>
      </c>
      <c r="B50" s="33" t="s">
        <v>2173</v>
      </c>
      <c r="C50" s="34" t="s">
        <v>529</v>
      </c>
      <c r="D50" s="51" t="s">
        <v>433</v>
      </c>
      <c r="E50" s="61" t="str">
        <f>IFERROR(VLOOKUP(D50,'Master List'!D:H,2,FALSE),"NA")</f>
        <v>120501</v>
      </c>
      <c r="F50" s="62" t="str">
        <f>IFERROR(VLOOKUP(D50,'Master List'!D:H,3,FALSE),"NA")</f>
        <v>120501</v>
      </c>
      <c r="G50" s="58" t="str">
        <f>IFERROR(VLOOKUP(D50,'Master List'!D:H,4,FALSE),"NA")</f>
        <v>120501</v>
      </c>
      <c r="H50" s="39" t="str">
        <f>IFERROR(VLOOKUP(D50,'Master List'!D:H,5,FALSE),"NA")</f>
        <v>Baking and Pastry Arts/Baker/Pastry Chef.</v>
      </c>
      <c r="I50" s="19"/>
      <c r="J50" s="20"/>
      <c r="K50" s="18"/>
      <c r="L50" s="22"/>
    </row>
    <row r="51" spans="1:12" x14ac:dyDescent="0.3">
      <c r="A51" s="33">
        <v>28</v>
      </c>
      <c r="B51" s="33" t="s">
        <v>2173</v>
      </c>
      <c r="C51" s="34" t="s">
        <v>529</v>
      </c>
      <c r="D51" s="51" t="s">
        <v>554</v>
      </c>
      <c r="E51" s="61" t="str">
        <f>IFERROR(VLOOKUP(D51,'Master List'!D:H,2,FALSE),"NA")</f>
        <v>120501</v>
      </c>
      <c r="F51" s="62" t="str">
        <f>IFERROR(VLOOKUP(D51,'Master List'!D:H,3,FALSE),"NA")</f>
        <v>120501</v>
      </c>
      <c r="G51" s="58" t="str">
        <f>IFERROR(VLOOKUP(D51,'Master List'!D:H,4,FALSE),"NA")</f>
        <v>120501</v>
      </c>
      <c r="H51" s="39" t="str">
        <f>IFERROR(VLOOKUP(D51,'Master List'!D:H,5,FALSE),"NA")</f>
        <v>Baking and Pastry Arts/Baker/Pastry Chef.</v>
      </c>
      <c r="I51" s="19"/>
      <c r="J51" s="20"/>
      <c r="K51" s="18"/>
      <c r="L51" s="22"/>
    </row>
    <row r="52" spans="1:12" x14ac:dyDescent="0.3">
      <c r="A52" s="33">
        <v>28</v>
      </c>
      <c r="B52" s="33" t="s">
        <v>2173</v>
      </c>
      <c r="C52" s="34" t="s">
        <v>529</v>
      </c>
      <c r="D52" s="51" t="s">
        <v>555</v>
      </c>
      <c r="E52" s="61" t="str">
        <f>IFERROR(VLOOKUP(D52,'Master List'!D:H,2,FALSE),"NA")</f>
        <v>120501</v>
      </c>
      <c r="F52" s="62" t="str">
        <f>IFERROR(VLOOKUP(D52,'Master List'!D:H,3,FALSE),"NA")</f>
        <v>120501</v>
      </c>
      <c r="G52" s="58" t="str">
        <f>IFERROR(VLOOKUP(D52,'Master List'!D:H,4,FALSE),"NA")</f>
        <v>120501</v>
      </c>
      <c r="H52" s="39" t="str">
        <f>IFERROR(VLOOKUP(D52,'Master List'!D:H,5,FALSE),"NA")</f>
        <v>Baking and Pastry Arts/Baker/Pastry Chef.</v>
      </c>
      <c r="I52" s="19"/>
      <c r="J52" s="20"/>
      <c r="K52" s="18"/>
      <c r="L52" s="22"/>
    </row>
    <row r="53" spans="1:12" x14ac:dyDescent="0.3">
      <c r="A53" s="33">
        <v>28</v>
      </c>
      <c r="B53" s="33" t="s">
        <v>2173</v>
      </c>
      <c r="C53" s="34" t="s">
        <v>529</v>
      </c>
      <c r="D53" s="51" t="s">
        <v>46</v>
      </c>
      <c r="E53" s="61" t="str">
        <f>IFERROR(VLOOKUP(D53,'Master List'!D:H,2,FALSE),"NA")</f>
        <v>120503</v>
      </c>
      <c r="F53" s="62" t="str">
        <f>IFERROR(VLOOKUP(D53,'Master List'!D:H,3,FALSE),"NA")</f>
        <v>120503</v>
      </c>
      <c r="G53" s="58" t="str">
        <f>IFERROR(VLOOKUP(D53,'Master List'!D:H,4,FALSE),"NA")</f>
        <v>120503</v>
      </c>
      <c r="H53" s="39" t="str">
        <f>IFERROR(VLOOKUP(D53,'Master List'!D:H,5,FALSE),"NA")</f>
        <v>Culinary Arts/Chef Training.</v>
      </c>
      <c r="I53" s="19"/>
      <c r="J53" s="20"/>
      <c r="K53" s="18"/>
      <c r="L53" s="22"/>
    </row>
    <row r="54" spans="1:12" x14ac:dyDescent="0.3">
      <c r="A54" s="33">
        <v>28</v>
      </c>
      <c r="B54" s="33" t="s">
        <v>2173</v>
      </c>
      <c r="C54" s="34" t="s">
        <v>529</v>
      </c>
      <c r="D54" s="51" t="s">
        <v>49</v>
      </c>
      <c r="E54" s="61" t="str">
        <f>IFERROR(VLOOKUP(D54,'Master List'!D:H,2,FALSE),"NA")</f>
        <v>120503</v>
      </c>
      <c r="F54" s="62" t="str">
        <f>IFERROR(VLOOKUP(D54,'Master List'!D:H,3,FALSE),"NA")</f>
        <v>120503</v>
      </c>
      <c r="G54" s="58" t="str">
        <f>IFERROR(VLOOKUP(D54,'Master List'!D:H,4,FALSE),"NA")</f>
        <v>120503</v>
      </c>
      <c r="H54" s="39" t="str">
        <f>IFERROR(VLOOKUP(D54,'Master List'!D:H,5,FALSE),"NA")</f>
        <v>Culinary Arts/Chef Training.</v>
      </c>
      <c r="I54" s="19"/>
      <c r="J54" s="20"/>
      <c r="K54" s="18"/>
      <c r="L54" s="22"/>
    </row>
    <row r="55" spans="1:12" x14ac:dyDescent="0.3">
      <c r="A55" s="33">
        <v>28</v>
      </c>
      <c r="B55" s="33" t="s">
        <v>2173</v>
      </c>
      <c r="C55" s="34" t="s">
        <v>529</v>
      </c>
      <c r="D55" s="51" t="s">
        <v>155</v>
      </c>
      <c r="E55" s="61" t="str">
        <f>IFERROR(VLOOKUP(D55,'Master List'!D:H,2,FALSE),"NA")</f>
        <v>120504</v>
      </c>
      <c r="F55" s="62" t="str">
        <f>IFERROR(VLOOKUP(D55,'Master List'!D:H,3,FALSE),"NA")</f>
        <v>120504</v>
      </c>
      <c r="G55" s="58" t="str">
        <f>IFERROR(VLOOKUP(D55,'Master List'!D:H,4,FALSE),"NA")</f>
        <v>120504</v>
      </c>
      <c r="H55" s="39" t="str">
        <f>IFERROR(VLOOKUP(D55,'Master List'!D:H,5,FALSE),"NA")</f>
        <v>Restaurant, Culinary, and Catering Management/Manager.</v>
      </c>
      <c r="I55" s="19"/>
      <c r="J55" s="20"/>
      <c r="K55" s="18"/>
      <c r="L55" s="22"/>
    </row>
    <row r="56" spans="1:12" x14ac:dyDescent="0.3">
      <c r="A56" s="33">
        <v>28</v>
      </c>
      <c r="B56" s="33" t="s">
        <v>2173</v>
      </c>
      <c r="C56" s="34" t="s">
        <v>529</v>
      </c>
      <c r="D56" s="51" t="s">
        <v>50</v>
      </c>
      <c r="E56" s="61" t="str">
        <f>IFERROR(VLOOKUP(D56,'Master List'!D:H,2,FALSE),"NA")</f>
        <v>150000</v>
      </c>
      <c r="F56" s="62" t="str">
        <f>IFERROR(VLOOKUP(D56,'Master List'!D:H,3,FALSE),"NA")</f>
        <v>150000</v>
      </c>
      <c r="G56" s="58" t="str">
        <f>IFERROR(VLOOKUP(D56,'Master List'!D:H,4,FALSE),"NA")</f>
        <v>150000</v>
      </c>
      <c r="H56" s="39" t="str">
        <f>IFERROR(VLOOKUP(D56,'Master List'!D:H,5,FALSE),"NA")</f>
        <v>Engineering Technologies/Technicians, General.</v>
      </c>
      <c r="I56" s="19"/>
      <c r="J56" s="20"/>
      <c r="K56" s="18"/>
      <c r="L56" s="22"/>
    </row>
    <row r="57" spans="1:12" x14ac:dyDescent="0.3">
      <c r="A57" s="33">
        <v>28</v>
      </c>
      <c r="B57" s="33" t="s">
        <v>2173</v>
      </c>
      <c r="C57" s="34" t="s">
        <v>529</v>
      </c>
      <c r="D57" s="51" t="s">
        <v>556</v>
      </c>
      <c r="E57" s="61" t="str">
        <f>IFERROR(VLOOKUP(D57,'Master List'!D:H,2,FALSE),"NA")</f>
        <v>150303</v>
      </c>
      <c r="F57" s="62" t="str">
        <f>IFERROR(VLOOKUP(D57,'Master List'!D:H,3,FALSE),"NA")</f>
        <v>150303</v>
      </c>
      <c r="G57" s="58" t="str">
        <f>IFERROR(VLOOKUP(D57,'Master List'!D:H,4,FALSE),"NA")</f>
        <v>150303</v>
      </c>
      <c r="H57" s="39" t="str">
        <f>IFERROR(VLOOKUP(D57,'Master List'!D:H,5,FALSE),"NA")</f>
        <v>Electrical, Electronic, and Communications Engineering Technology/Technician.</v>
      </c>
      <c r="I57" s="19"/>
      <c r="J57" s="20"/>
      <c r="K57" s="18"/>
      <c r="L57" s="22"/>
    </row>
    <row r="58" spans="1:12" x14ac:dyDescent="0.3">
      <c r="A58" s="33">
        <v>28</v>
      </c>
      <c r="B58" s="33" t="s">
        <v>2173</v>
      </c>
      <c r="C58" s="34" t="s">
        <v>529</v>
      </c>
      <c r="D58" s="51" t="s">
        <v>557</v>
      </c>
      <c r="E58" s="61" t="str">
        <f>IFERROR(VLOOKUP(D58,'Master List'!D:H,2,FALSE),"NA")</f>
        <v>150303</v>
      </c>
      <c r="F58" s="62" t="str">
        <f>IFERROR(VLOOKUP(D58,'Master List'!D:H,3,FALSE),"NA")</f>
        <v>150303</v>
      </c>
      <c r="G58" s="58" t="str">
        <f>IFERROR(VLOOKUP(D58,'Master List'!D:H,4,FALSE),"NA")</f>
        <v>150303</v>
      </c>
      <c r="H58" s="39" t="str">
        <f>IFERROR(VLOOKUP(D58,'Master List'!D:H,5,FALSE),"NA")</f>
        <v>Electrical, Electronic, and Communications Engineering Technology/Technician.</v>
      </c>
      <c r="I58" s="19"/>
      <c r="J58" s="20"/>
      <c r="K58" s="18"/>
      <c r="L58" s="22"/>
    </row>
    <row r="59" spans="1:12" x14ac:dyDescent="0.3">
      <c r="A59" s="33">
        <v>28</v>
      </c>
      <c r="B59" s="33" t="s">
        <v>2173</v>
      </c>
      <c r="C59" s="34" t="s">
        <v>529</v>
      </c>
      <c r="D59" s="51" t="s">
        <v>558</v>
      </c>
      <c r="E59" s="61" t="str">
        <f>IFERROR(VLOOKUP(D59,'Master List'!D:H,2,FALSE),"NA")</f>
        <v>150304</v>
      </c>
      <c r="F59" s="62" t="str">
        <f>IFERROR(VLOOKUP(D59,'Master List'!D:H,3,FALSE),"NA")</f>
        <v>150304</v>
      </c>
      <c r="G59" s="58" t="str">
        <f>IFERROR(VLOOKUP(D59,'Master List'!D:H,4,FALSE),"NA")</f>
        <v>150304</v>
      </c>
      <c r="H59" s="39" t="str">
        <f>IFERROR(VLOOKUP(D59,'Master List'!D:H,5,FALSE),"NA")</f>
        <v>Laser and Optical Technology/Technician.</v>
      </c>
      <c r="I59" s="19"/>
      <c r="J59" s="20"/>
      <c r="K59" s="18"/>
      <c r="L59" s="22"/>
    </row>
    <row r="60" spans="1:12" x14ac:dyDescent="0.3">
      <c r="A60" s="33">
        <v>28</v>
      </c>
      <c r="B60" s="33" t="s">
        <v>2173</v>
      </c>
      <c r="C60" s="34" t="s">
        <v>529</v>
      </c>
      <c r="D60" s="51" t="s">
        <v>561</v>
      </c>
      <c r="E60" s="61" t="str">
        <f>IFERROR(VLOOKUP(D60,'Master List'!D:H,2,FALSE),"NA")</f>
        <v>150405</v>
      </c>
      <c r="F60" s="62" t="str">
        <f>IFERROR(VLOOKUP(D60,'Master List'!D:H,3,FALSE),"NA")</f>
        <v>150405</v>
      </c>
      <c r="G60" s="58" t="str">
        <f>IFERROR(VLOOKUP(D60,'Master List'!D:H,4,FALSE),"NA")</f>
        <v>150405</v>
      </c>
      <c r="H60" s="39" t="str">
        <f>IFERROR(VLOOKUP(D60,'Master List'!D:H,5,FALSE),"NA")</f>
        <v>Robotics Technology/Technician.</v>
      </c>
      <c r="I60" s="19"/>
      <c r="J60" s="20"/>
      <c r="K60" s="18"/>
      <c r="L60" s="22"/>
    </row>
    <row r="61" spans="1:12" x14ac:dyDescent="0.3">
      <c r="A61" s="33">
        <v>28</v>
      </c>
      <c r="B61" s="33" t="s">
        <v>2173</v>
      </c>
      <c r="C61" s="34" t="s">
        <v>529</v>
      </c>
      <c r="D61" s="51" t="s">
        <v>564</v>
      </c>
      <c r="E61" s="61" t="str">
        <f>IFERROR(VLOOKUP(D61,'Master List'!D:H,2,FALSE),"NA")</f>
        <v>151001</v>
      </c>
      <c r="F61" s="62" t="str">
        <f>IFERROR(VLOOKUP(D61,'Master List'!D:H,3,FALSE),"NA")</f>
        <v>151001</v>
      </c>
      <c r="G61" s="58" t="str">
        <f>IFERROR(VLOOKUP(D61,'Master List'!D:H,4,FALSE),"NA")</f>
        <v>151001</v>
      </c>
      <c r="H61" s="39" t="str">
        <f>IFERROR(VLOOKUP(D61,'Master List'!D:H,5,FALSE),"NA")</f>
        <v>Construction Engineering Technology/Technician.</v>
      </c>
      <c r="I61" s="19"/>
      <c r="J61" s="20"/>
      <c r="K61" s="18"/>
      <c r="L61" s="22"/>
    </row>
    <row r="62" spans="1:12" x14ac:dyDescent="0.3">
      <c r="A62" s="33">
        <v>28</v>
      </c>
      <c r="B62" s="33" t="s">
        <v>2173</v>
      </c>
      <c r="C62" s="34" t="s">
        <v>529</v>
      </c>
      <c r="D62" s="51" t="s">
        <v>259</v>
      </c>
      <c r="E62" s="61" t="str">
        <f>IFERROR(VLOOKUP(D62,'Master List'!D:H,2,FALSE),"NA")</f>
        <v>151301</v>
      </c>
      <c r="F62" s="62" t="str">
        <f>IFERROR(VLOOKUP(D62,'Master List'!D:H,3,FALSE),"NA")</f>
        <v>151301</v>
      </c>
      <c r="G62" s="58">
        <f>IFERROR(VLOOKUP(D62,'Master List'!D:H,4,FALSE),"NA")</f>
        <v>151302</v>
      </c>
      <c r="H62" s="39" t="str">
        <f>IFERROR(VLOOKUP(D62,'Master List'!D:H,5,FALSE),"NA")</f>
        <v>CAD/CADD Drafting and/or Design Technology/Technician</v>
      </c>
      <c r="I62" s="19"/>
      <c r="J62" s="20"/>
      <c r="K62" s="18"/>
      <c r="L62" s="22"/>
    </row>
    <row r="63" spans="1:12" x14ac:dyDescent="0.3">
      <c r="A63" s="33">
        <v>28</v>
      </c>
      <c r="B63" s="33" t="s">
        <v>2173</v>
      </c>
      <c r="C63" s="34" t="s">
        <v>529</v>
      </c>
      <c r="D63" s="51" t="s">
        <v>262</v>
      </c>
      <c r="E63" s="61" t="str">
        <f>IFERROR(VLOOKUP(D63,'Master List'!D:H,2,FALSE),"NA")</f>
        <v>151302</v>
      </c>
      <c r="F63" s="62" t="str">
        <f>IFERROR(VLOOKUP(D63,'Master List'!D:H,3,FALSE),"NA")</f>
        <v>151302</v>
      </c>
      <c r="G63" s="58" t="str">
        <f>IFERROR(VLOOKUP(D63,'Master List'!D:H,4,FALSE),"NA")</f>
        <v>151302</v>
      </c>
      <c r="H63" s="39" t="str">
        <f>IFERROR(VLOOKUP(D63,'Master List'!D:H,5,FALSE),"NA")</f>
        <v>CAD/CADD Drafting and/or Design Technology/Technician.</v>
      </c>
      <c r="I63" s="19"/>
      <c r="J63" s="20"/>
      <c r="K63" s="18"/>
      <c r="L63" s="22"/>
    </row>
    <row r="64" spans="1:12" x14ac:dyDescent="0.3">
      <c r="A64" s="33">
        <v>28</v>
      </c>
      <c r="B64" s="33" t="s">
        <v>2173</v>
      </c>
      <c r="C64" s="34" t="s">
        <v>529</v>
      </c>
      <c r="D64" s="51" t="s">
        <v>265</v>
      </c>
      <c r="E64" s="61" t="str">
        <f>IFERROR(VLOOKUP(D64,'Master List'!D:H,2,FALSE),"NA")</f>
        <v>261201</v>
      </c>
      <c r="F64" s="62" t="str">
        <f>IFERROR(VLOOKUP(D64,'Master List'!D:H,3,FALSE),"NA")</f>
        <v>261201</v>
      </c>
      <c r="G64" s="58" t="str">
        <f>IFERROR(VLOOKUP(D64,'Master List'!D:H,4,FALSE),"NA")</f>
        <v>261201</v>
      </c>
      <c r="H64" s="39" t="str">
        <f>IFERROR(VLOOKUP(D64,'Master List'!D:H,5,FALSE),"NA")</f>
        <v>Biotechnology.</v>
      </c>
      <c r="I64" s="19"/>
      <c r="J64" s="20"/>
      <c r="K64" s="18"/>
      <c r="L64" s="22"/>
    </row>
    <row r="65" spans="1:12" x14ac:dyDescent="0.3">
      <c r="A65" s="33">
        <v>28</v>
      </c>
      <c r="B65" s="33" t="s">
        <v>2173</v>
      </c>
      <c r="C65" s="34" t="s">
        <v>529</v>
      </c>
      <c r="D65" s="51" t="s">
        <v>565</v>
      </c>
      <c r="E65" s="61" t="str">
        <f>IFERROR(VLOOKUP(D65,'Master List'!D:H,2,FALSE),"NA")</f>
        <v>500102</v>
      </c>
      <c r="F65" s="62" t="str">
        <f>IFERROR(VLOOKUP(D65,'Master List'!D:H,3,FALSE),"NA")</f>
        <v>500102</v>
      </c>
      <c r="G65" s="58">
        <f>IFERROR(VLOOKUP(D65,'Master List'!D:H,4,FALSE),"NA")</f>
        <v>110803</v>
      </c>
      <c r="H65" s="39" t="str">
        <f>IFERROR(VLOOKUP(D65,'Master List'!D:H,5,FALSE),"NA")</f>
        <v>Computer Graphics</v>
      </c>
      <c r="I65" s="19"/>
      <c r="J65" s="20"/>
      <c r="K65" s="18"/>
      <c r="L65" s="22"/>
    </row>
    <row r="66" spans="1:12" x14ac:dyDescent="0.3">
      <c r="A66" s="33">
        <v>28</v>
      </c>
      <c r="B66" s="33" t="s">
        <v>2173</v>
      </c>
      <c r="C66" s="34" t="s">
        <v>529</v>
      </c>
      <c r="D66" s="51" t="s">
        <v>59</v>
      </c>
      <c r="E66" s="61" t="str">
        <f>IFERROR(VLOOKUP(D66,'Master List'!D:H,2,FALSE),"NA")</f>
        <v>500102</v>
      </c>
      <c r="F66" s="62" t="str">
        <f>IFERROR(VLOOKUP(D66,'Master List'!D:H,3,FALSE),"NA")</f>
        <v>500102</v>
      </c>
      <c r="G66" s="58" t="str">
        <f>IFERROR(VLOOKUP(D66,'Master List'!D:H,4,FALSE),"NA")</f>
        <v>500102</v>
      </c>
      <c r="H66" s="39" t="str">
        <f>IFERROR(VLOOKUP(D66,'Master List'!D:H,5,FALSE),"NA")</f>
        <v>Digital Arts.</v>
      </c>
      <c r="I66" s="19"/>
      <c r="J66" s="20"/>
      <c r="K66" s="18"/>
      <c r="L66" s="22"/>
    </row>
    <row r="67" spans="1:12" x14ac:dyDescent="0.3">
      <c r="A67" s="33">
        <v>28</v>
      </c>
      <c r="B67" s="33" t="s">
        <v>2173</v>
      </c>
      <c r="C67" s="34" t="s">
        <v>529</v>
      </c>
      <c r="D67" s="51" t="s">
        <v>566</v>
      </c>
      <c r="E67" s="61" t="str">
        <f>IFERROR(VLOOKUP(D67,'Master List'!D:H,2,FALSE),"NA")</f>
        <v>500102</v>
      </c>
      <c r="F67" s="62" t="str">
        <f>IFERROR(VLOOKUP(D67,'Master List'!D:H,3,FALSE),"NA")</f>
        <v>500102</v>
      </c>
      <c r="G67" s="58" t="str">
        <f>IFERROR(VLOOKUP(D67,'Master List'!D:H,4,FALSE),"NA")</f>
        <v>500102</v>
      </c>
      <c r="H67" s="39" t="str">
        <f>IFERROR(VLOOKUP(D67,'Master List'!D:H,5,FALSE),"NA")</f>
        <v>Digital Arts.</v>
      </c>
      <c r="I67" s="19"/>
      <c r="J67" s="20"/>
      <c r="K67" s="18"/>
      <c r="L67" s="22"/>
    </row>
    <row r="68" spans="1:12" x14ac:dyDescent="0.3">
      <c r="A68" s="33">
        <v>28</v>
      </c>
      <c r="B68" s="33" t="s">
        <v>2173</v>
      </c>
      <c r="C68" s="34" t="s">
        <v>529</v>
      </c>
      <c r="D68" s="51" t="s">
        <v>307</v>
      </c>
      <c r="E68" s="61" t="str">
        <f>IFERROR(VLOOKUP(D68,'Master List'!D:H,2,FALSE),"NA")</f>
        <v>500502</v>
      </c>
      <c r="F68" s="62" t="str">
        <f>IFERROR(VLOOKUP(D68,'Master List'!D:H,3,FALSE),"NA")</f>
        <v>500502</v>
      </c>
      <c r="G68" s="58" t="str">
        <f>IFERROR(VLOOKUP(D68,'Master List'!D:H,4,FALSE),"NA")</f>
        <v>500502</v>
      </c>
      <c r="H68" s="39" t="str">
        <f>IFERROR(VLOOKUP(D68,'Master List'!D:H,5,FALSE),"NA")</f>
        <v>Technical Theatre/Theatre Design and Technology.</v>
      </c>
      <c r="I68" s="19"/>
      <c r="J68" s="20"/>
      <c r="K68" s="18"/>
      <c r="L68" s="22"/>
    </row>
    <row r="69" spans="1:12" x14ac:dyDescent="0.3">
      <c r="A69" s="33">
        <v>28</v>
      </c>
      <c r="B69" s="33" t="s">
        <v>2173</v>
      </c>
      <c r="C69" s="34" t="s">
        <v>529</v>
      </c>
      <c r="D69" s="51" t="s">
        <v>567</v>
      </c>
      <c r="E69" s="61" t="str">
        <f>IFERROR(VLOOKUP(D69,'Master List'!D:H,2,FALSE),"NA")</f>
        <v>500602</v>
      </c>
      <c r="F69" s="62" t="str">
        <f>IFERROR(VLOOKUP(D69,'Master List'!D:H,3,FALSE),"NA")</f>
        <v>500602</v>
      </c>
      <c r="G69" s="58" t="str">
        <f>IFERROR(VLOOKUP(D69,'Master List'!D:H,4,FALSE),"NA")</f>
        <v>500602</v>
      </c>
      <c r="H69" s="39" t="str">
        <f>IFERROR(VLOOKUP(D69,'Master List'!D:H,5,FALSE),"NA")</f>
        <v>Cinematography and Film/Video Production.</v>
      </c>
      <c r="I69" s="19"/>
      <c r="J69" s="20"/>
      <c r="K69" s="18"/>
      <c r="L69" s="22"/>
    </row>
    <row r="70" spans="1:12" x14ac:dyDescent="0.3">
      <c r="A70" s="33">
        <v>28</v>
      </c>
      <c r="B70" s="33" t="s">
        <v>2173</v>
      </c>
      <c r="C70" s="34" t="s">
        <v>529</v>
      </c>
      <c r="D70" s="51" t="s">
        <v>62</v>
      </c>
      <c r="E70" s="61" t="str">
        <f>IFERROR(VLOOKUP(D70,'Master List'!D:H,2,FALSE),"NA")</f>
        <v>500602</v>
      </c>
      <c r="F70" s="62" t="str">
        <f>IFERROR(VLOOKUP(D70,'Master List'!D:H,3,FALSE),"NA")</f>
        <v>500602</v>
      </c>
      <c r="G70" s="58">
        <f>IFERROR(VLOOKUP(D70,'Master List'!D:H,4,FALSE),"NA")</f>
        <v>100203</v>
      </c>
      <c r="H70" s="39" t="str">
        <f>IFERROR(VLOOKUP(D70,'Master List'!D:H,5,FALSE),"NA")</f>
        <v>Recording Arts Technology/Technician</v>
      </c>
      <c r="I70" s="19"/>
      <c r="J70" s="20"/>
      <c r="K70" s="18"/>
      <c r="L70" s="22"/>
    </row>
    <row r="71" spans="1:12" x14ac:dyDescent="0.3">
      <c r="A71" s="33">
        <v>28</v>
      </c>
      <c r="B71" s="33" t="s">
        <v>2173</v>
      </c>
      <c r="C71" s="34" t="s">
        <v>529</v>
      </c>
      <c r="D71" s="51" t="s">
        <v>568</v>
      </c>
      <c r="E71" s="61" t="str">
        <f>IFERROR(VLOOKUP(D71,'Master List'!D:H,2,FALSE),"NA")</f>
        <v>500913</v>
      </c>
      <c r="F71" s="62" t="str">
        <f>IFERROR(VLOOKUP(D71,'Master List'!D:H,3,FALSE),"NA")</f>
        <v>500913</v>
      </c>
      <c r="G71" s="58">
        <f>IFERROR(VLOOKUP(D71,'Master List'!D:H,4,FALSE),"NA")</f>
        <v>100203</v>
      </c>
      <c r="H71" s="39" t="str">
        <f>IFERROR(VLOOKUP(D71,'Master List'!D:H,5,FALSE),"NA")</f>
        <v>Recording Arts Technology/Technician</v>
      </c>
      <c r="I71" s="19"/>
      <c r="J71" s="20"/>
      <c r="K71" s="18"/>
      <c r="L71" s="22"/>
    </row>
    <row r="72" spans="1:12" x14ac:dyDescent="0.3">
      <c r="A72" s="33">
        <v>28</v>
      </c>
      <c r="B72" s="33" t="s">
        <v>2173</v>
      </c>
      <c r="C72" s="34" t="s">
        <v>529</v>
      </c>
      <c r="D72" s="51" t="s">
        <v>569</v>
      </c>
      <c r="E72" s="61" t="str">
        <f>IFERROR(VLOOKUP(D72,'Master List'!D:H,2,FALSE),"NA")</f>
        <v>500913</v>
      </c>
      <c r="F72" s="62" t="str">
        <f>IFERROR(VLOOKUP(D72,'Master List'!D:H,3,FALSE),"NA")</f>
        <v>500913</v>
      </c>
      <c r="G72" s="58">
        <f>IFERROR(VLOOKUP(D72,'Master List'!D:H,4,FALSE),"NA")</f>
        <v>100203</v>
      </c>
      <c r="H72" s="39" t="str">
        <f>IFERROR(VLOOKUP(D72,'Master List'!D:H,5,FALSE),"NA")</f>
        <v>Recording Arts Technology/Technician</v>
      </c>
      <c r="I72" s="19"/>
      <c r="J72" s="20"/>
      <c r="K72" s="18"/>
      <c r="L72" s="22"/>
    </row>
    <row r="73" spans="1:12" x14ac:dyDescent="0.3">
      <c r="A73" s="33">
        <v>28</v>
      </c>
      <c r="B73" s="33" t="s">
        <v>2173</v>
      </c>
      <c r="C73" s="34" t="s">
        <v>529</v>
      </c>
      <c r="D73" s="51" t="s">
        <v>570</v>
      </c>
      <c r="E73" s="61" t="str">
        <f>IFERROR(VLOOKUP(D73,'Master List'!D:H,2,FALSE),"NA")</f>
        <v>520205</v>
      </c>
      <c r="F73" s="62" t="str">
        <f>IFERROR(VLOOKUP(D73,'Master List'!D:H,3,FALSE),"NA")</f>
        <v>520205</v>
      </c>
      <c r="G73" s="58" t="str">
        <f>IFERROR(VLOOKUP(D73,'Master List'!D:H,4,FALSE),"NA")</f>
        <v>520205</v>
      </c>
      <c r="H73" s="39" t="str">
        <f>IFERROR(VLOOKUP(D73,'Master List'!D:H,5,FALSE),"NA")</f>
        <v>Operations Management and Supervision.</v>
      </c>
      <c r="I73" s="19"/>
      <c r="J73" s="20"/>
      <c r="K73" s="18"/>
      <c r="L73" s="22"/>
    </row>
    <row r="74" spans="1:12" x14ac:dyDescent="0.3">
      <c r="A74" s="33">
        <v>28</v>
      </c>
      <c r="B74" s="33" t="s">
        <v>2173</v>
      </c>
      <c r="C74" s="34" t="s">
        <v>529</v>
      </c>
      <c r="D74" s="51" t="s">
        <v>571</v>
      </c>
      <c r="E74" s="61" t="str">
        <f>IFERROR(VLOOKUP(D74,'Master List'!D:H,2,FALSE),"NA")</f>
        <v>150201</v>
      </c>
      <c r="F74" s="62" t="str">
        <f>IFERROR(VLOOKUP(D74,'Master List'!D:H,3,FALSE),"NA")</f>
        <v>150201</v>
      </c>
      <c r="G74" s="58" t="str">
        <f>IFERROR(VLOOKUP(D74,'Master List'!D:H,4,FALSE),"NA")</f>
        <v>150201</v>
      </c>
      <c r="H74" s="39" t="str">
        <f>IFERROR(VLOOKUP(D74,'Master List'!D:H,5,FALSE),"NA")</f>
        <v>Civil Engineering Technologies/Technicians.</v>
      </c>
      <c r="I74" s="19"/>
      <c r="J74" s="20"/>
      <c r="K74" s="18"/>
      <c r="L74" s="22"/>
    </row>
    <row r="75" spans="1:12" x14ac:dyDescent="0.3">
      <c r="A75" s="33">
        <v>28</v>
      </c>
      <c r="B75" s="33" t="s">
        <v>2173</v>
      </c>
      <c r="C75" s="34" t="s">
        <v>529</v>
      </c>
      <c r="D75" s="51" t="s">
        <v>68</v>
      </c>
      <c r="E75" s="61" t="str">
        <f>IFERROR(VLOOKUP(D75,'Master List'!D:H,2,FALSE),"NA")</f>
        <v>430102</v>
      </c>
      <c r="F75" s="62" t="str">
        <f>IFERROR(VLOOKUP(D75,'Master List'!D:H,3,FALSE),"NA")</f>
        <v>430102</v>
      </c>
      <c r="G75" s="58" t="str">
        <f>IFERROR(VLOOKUP(D75,'Master List'!D:H,4,FALSE),"NA")</f>
        <v>430102</v>
      </c>
      <c r="H75" s="39" t="str">
        <f>IFERROR(VLOOKUP(D75,'Master List'!D:H,5,FALSE),"NA")</f>
        <v>Corrections.</v>
      </c>
      <c r="I75" s="19"/>
      <c r="J75" s="20"/>
      <c r="K75" s="18"/>
      <c r="L75" s="22"/>
    </row>
    <row r="76" spans="1:12" x14ac:dyDescent="0.3">
      <c r="A76" s="33">
        <v>28</v>
      </c>
      <c r="B76" s="33" t="s">
        <v>2173</v>
      </c>
      <c r="C76" s="34" t="s">
        <v>529</v>
      </c>
      <c r="D76" s="51" t="s">
        <v>316</v>
      </c>
      <c r="E76" s="61" t="str">
        <f>IFERROR(VLOOKUP(D76,'Master List'!D:H,2,FALSE),"NA")</f>
        <v>430103</v>
      </c>
      <c r="F76" s="62" t="str">
        <f>IFERROR(VLOOKUP(D76,'Master List'!D:H,3,FALSE),"NA")</f>
        <v>430103</v>
      </c>
      <c r="G76" s="58" t="str">
        <f>IFERROR(VLOOKUP(D76,'Master List'!D:H,4,FALSE),"NA")</f>
        <v>430103</v>
      </c>
      <c r="H76" s="39" t="str">
        <f>IFERROR(VLOOKUP(D76,'Master List'!D:H,5,FALSE),"NA")</f>
        <v>Criminal Justice/Law Enforcement Administration.</v>
      </c>
      <c r="I76" s="19"/>
      <c r="J76" s="20"/>
      <c r="K76" s="18"/>
      <c r="L76" s="22"/>
    </row>
    <row r="77" spans="1:12" x14ac:dyDescent="0.3">
      <c r="A77" s="33">
        <v>28</v>
      </c>
      <c r="B77" s="33" t="s">
        <v>2173</v>
      </c>
      <c r="C77" s="34" t="s">
        <v>529</v>
      </c>
      <c r="D77" s="51" t="s">
        <v>574</v>
      </c>
      <c r="E77" s="61" t="str">
        <f>IFERROR(VLOOKUP(D77,'Master List'!D:H,2,FALSE),"NA")</f>
        <v>430103</v>
      </c>
      <c r="F77" s="62" t="str">
        <f>IFERROR(VLOOKUP(D77,'Master List'!D:H,3,FALSE),"NA")</f>
        <v>430103</v>
      </c>
      <c r="G77" s="58" t="str">
        <f>IFERROR(VLOOKUP(D77,'Master List'!D:H,4,FALSE),"NA")</f>
        <v>430103</v>
      </c>
      <c r="H77" s="39" t="str">
        <f>IFERROR(VLOOKUP(D77,'Master List'!D:H,5,FALSE),"NA")</f>
        <v>Criminal Justice/Law Enforcement Administration.</v>
      </c>
      <c r="I77" s="19"/>
      <c r="J77" s="20"/>
      <c r="K77" s="18"/>
      <c r="L77" s="22"/>
    </row>
    <row r="78" spans="1:12" x14ac:dyDescent="0.3">
      <c r="A78" s="33">
        <v>28</v>
      </c>
      <c r="B78" s="33" t="s">
        <v>2173</v>
      </c>
      <c r="C78" s="34" t="s">
        <v>529</v>
      </c>
      <c r="D78" s="51" t="s">
        <v>71</v>
      </c>
      <c r="E78" s="61" t="str">
        <f>IFERROR(VLOOKUP(D78,'Master List'!D:H,2,FALSE),"NA")</f>
        <v>430107</v>
      </c>
      <c r="F78" s="62" t="str">
        <f>IFERROR(VLOOKUP(D78,'Master List'!D:H,3,FALSE),"NA")</f>
        <v>430107</v>
      </c>
      <c r="G78" s="58" t="str">
        <f>IFERROR(VLOOKUP(D78,'Master List'!D:H,4,FALSE),"NA")</f>
        <v>430107</v>
      </c>
      <c r="H78" s="39" t="str">
        <f>IFERROR(VLOOKUP(D78,'Master List'!D:H,5,FALSE),"NA")</f>
        <v>Criminal Justice/Police Science.</v>
      </c>
      <c r="I78" s="19"/>
      <c r="J78" s="20"/>
      <c r="K78" s="18"/>
      <c r="L78" s="22"/>
    </row>
    <row r="79" spans="1:12" x14ac:dyDescent="0.3">
      <c r="A79" s="33">
        <v>28</v>
      </c>
      <c r="B79" s="33" t="s">
        <v>2173</v>
      </c>
      <c r="C79" s="34" t="s">
        <v>529</v>
      </c>
      <c r="D79" s="51" t="s">
        <v>74</v>
      </c>
      <c r="E79" s="61" t="str">
        <f>IFERROR(VLOOKUP(D79,'Master List'!D:H,2,FALSE),"NA")</f>
        <v>430107</v>
      </c>
      <c r="F79" s="62" t="str">
        <f>IFERROR(VLOOKUP(D79,'Master List'!D:H,3,FALSE),"NA")</f>
        <v>430107</v>
      </c>
      <c r="G79" s="58" t="str">
        <f>IFERROR(VLOOKUP(D79,'Master List'!D:H,4,FALSE),"NA")</f>
        <v>430107</v>
      </c>
      <c r="H79" s="39" t="str">
        <f>IFERROR(VLOOKUP(D79,'Master List'!D:H,5,FALSE),"NA")</f>
        <v>Criminal Justice/Police Science.</v>
      </c>
      <c r="I79" s="19"/>
      <c r="J79" s="20"/>
      <c r="K79" s="18"/>
      <c r="L79" s="22"/>
    </row>
    <row r="80" spans="1:12" x14ac:dyDescent="0.3">
      <c r="A80" s="33">
        <v>28</v>
      </c>
      <c r="B80" s="33" t="s">
        <v>2173</v>
      </c>
      <c r="C80" s="34" t="s">
        <v>529</v>
      </c>
      <c r="D80" s="51" t="s">
        <v>575</v>
      </c>
      <c r="E80" s="61" t="str">
        <f>IFERROR(VLOOKUP(D80,'Master List'!D:H,2,FALSE),"NA")</f>
        <v>430112</v>
      </c>
      <c r="F80" s="62" t="str">
        <f>IFERROR(VLOOKUP(D80,'Master List'!D:H,3,FALSE),"NA")</f>
        <v>430112</v>
      </c>
      <c r="G80" s="58" t="str">
        <f>IFERROR(VLOOKUP(D80,'Master List'!D:H,4,FALSE),"NA")</f>
        <v>430112</v>
      </c>
      <c r="H80" s="39" t="str">
        <f>IFERROR(VLOOKUP(D80,'Master List'!D:H,5,FALSE),"NA")</f>
        <v>Securities Services Administration/Management.</v>
      </c>
      <c r="I80" s="19"/>
      <c r="J80" s="20"/>
      <c r="K80" s="18"/>
      <c r="L80" s="22"/>
    </row>
    <row r="81" spans="1:12" x14ac:dyDescent="0.3">
      <c r="A81" s="33">
        <v>28</v>
      </c>
      <c r="B81" s="33" t="s">
        <v>2173</v>
      </c>
      <c r="C81" s="34" t="s">
        <v>529</v>
      </c>
      <c r="D81" s="51" t="s">
        <v>578</v>
      </c>
      <c r="E81" s="61" t="str">
        <f>IFERROR(VLOOKUP(D81,'Master List'!D:H,2,FALSE),"NA")</f>
        <v>430201</v>
      </c>
      <c r="F81" s="62" t="str">
        <f>IFERROR(VLOOKUP(D81,'Master List'!D:H,3,FALSE),"NA")</f>
        <v>430201</v>
      </c>
      <c r="G81" s="58" t="str">
        <f>IFERROR(VLOOKUP(D81,'Master List'!D:H,4,FALSE),"NA")</f>
        <v>430201</v>
      </c>
      <c r="H81" s="39" t="str">
        <f>IFERROR(VLOOKUP(D81,'Master List'!D:H,5,FALSE),"NA")</f>
        <v>Fire Prevention and Safety Technology/Technician.</v>
      </c>
      <c r="I81" s="19"/>
      <c r="J81" s="20"/>
      <c r="K81" s="18"/>
      <c r="L81" s="22"/>
    </row>
    <row r="82" spans="1:12" x14ac:dyDescent="0.3">
      <c r="A82" s="33">
        <v>28</v>
      </c>
      <c r="B82" s="33" t="s">
        <v>2173</v>
      </c>
      <c r="C82" s="34" t="s">
        <v>529</v>
      </c>
      <c r="D82" s="51" t="s">
        <v>318</v>
      </c>
      <c r="E82" s="61" t="str">
        <f>IFERROR(VLOOKUP(D82,'Master List'!D:H,2,FALSE),"NA")</f>
        <v>430203</v>
      </c>
      <c r="F82" s="62" t="str">
        <f>IFERROR(VLOOKUP(D82,'Master List'!D:H,3,FALSE),"NA")</f>
        <v>430203</v>
      </c>
      <c r="G82" s="58" t="str">
        <f>IFERROR(VLOOKUP(D82,'Master List'!D:H,4,FALSE),"NA")</f>
        <v>430203</v>
      </c>
      <c r="H82" s="39" t="str">
        <f>IFERROR(VLOOKUP(D82,'Master List'!D:H,5,FALSE),"NA")</f>
        <v>Fire Science/Fire-fighting.</v>
      </c>
      <c r="I82" s="19"/>
      <c r="J82" s="20"/>
      <c r="K82" s="18"/>
      <c r="L82" s="22"/>
    </row>
    <row r="83" spans="1:12" x14ac:dyDescent="0.3">
      <c r="A83" s="33">
        <v>28</v>
      </c>
      <c r="B83" s="33" t="s">
        <v>2173</v>
      </c>
      <c r="C83" s="34" t="s">
        <v>529</v>
      </c>
      <c r="D83" s="51" t="s">
        <v>485</v>
      </c>
      <c r="E83" s="61" t="str">
        <f>IFERROR(VLOOKUP(D83,'Master List'!D:H,2,FALSE),"NA")</f>
        <v>430203</v>
      </c>
      <c r="F83" s="62" t="str">
        <f>IFERROR(VLOOKUP(D83,'Master List'!D:H,3,FALSE),"NA")</f>
        <v>430203</v>
      </c>
      <c r="G83" s="58" t="str">
        <f>IFERROR(VLOOKUP(D83,'Master List'!D:H,4,FALSE),"NA")</f>
        <v>430203</v>
      </c>
      <c r="H83" s="39" t="str">
        <f>IFERROR(VLOOKUP(D83,'Master List'!D:H,5,FALSE),"NA")</f>
        <v>Fire Science/Fire-fighting.</v>
      </c>
      <c r="I83" s="19"/>
      <c r="J83" s="20"/>
      <c r="K83" s="18"/>
      <c r="L83" s="22"/>
    </row>
    <row r="84" spans="1:12" x14ac:dyDescent="0.3">
      <c r="A84" s="33">
        <v>28</v>
      </c>
      <c r="B84" s="33" t="s">
        <v>2173</v>
      </c>
      <c r="C84" s="34" t="s">
        <v>529</v>
      </c>
      <c r="D84" s="51" t="s">
        <v>579</v>
      </c>
      <c r="E84" s="61" t="str">
        <f>IFERROR(VLOOKUP(D84,'Master List'!D:H,2,FALSE),"NA")</f>
        <v>010605</v>
      </c>
      <c r="F84" s="62" t="str">
        <f>IFERROR(VLOOKUP(D84,'Master List'!D:H,3,FALSE),"NA")</f>
        <v>010605</v>
      </c>
      <c r="G84" s="58" t="str">
        <f>IFERROR(VLOOKUP(D84,'Master List'!D:H,4,FALSE),"NA")</f>
        <v>010605</v>
      </c>
      <c r="H84" s="39" t="str">
        <f>IFERROR(VLOOKUP(D84,'Master List'!D:H,5,FALSE),"NA")</f>
        <v>Landscaping and Groundskeeping.</v>
      </c>
      <c r="I84" s="19"/>
      <c r="J84" s="20"/>
      <c r="K84" s="18"/>
      <c r="L84" s="22"/>
    </row>
    <row r="85" spans="1:12" x14ac:dyDescent="0.3">
      <c r="A85" s="33">
        <v>28</v>
      </c>
      <c r="B85" s="33" t="s">
        <v>2173</v>
      </c>
      <c r="C85" s="34" t="s">
        <v>529</v>
      </c>
      <c r="D85" s="51" t="s">
        <v>166</v>
      </c>
      <c r="E85" s="61" t="str">
        <f>IFERROR(VLOOKUP(D85,'Master List'!D:H,2,FALSE),"NA")</f>
        <v>NA</v>
      </c>
      <c r="F85" s="62" t="str">
        <f>IFERROR(VLOOKUP(D85,'Master List'!D:H,3,FALSE),"NA")</f>
        <v>NA</v>
      </c>
      <c r="G85" s="58" t="str">
        <f>IFERROR(VLOOKUP(D85,'Master List'!D:H,4,FALSE),"NA")</f>
        <v>NA</v>
      </c>
      <c r="H85" s="39" t="str">
        <f>IFERROR(VLOOKUP(D85,'Master List'!D:H,5,FALSE),"NA")</f>
        <v>NA</v>
      </c>
      <c r="I85" s="19"/>
      <c r="J85" s="20"/>
      <c r="K85" s="18"/>
      <c r="L85" s="22"/>
    </row>
    <row r="86" spans="1:12" x14ac:dyDescent="0.3">
      <c r="A86" s="33">
        <v>28</v>
      </c>
      <c r="B86" s="33" t="s">
        <v>2173</v>
      </c>
      <c r="C86" s="34" t="s">
        <v>529</v>
      </c>
      <c r="D86" s="51" t="s">
        <v>79</v>
      </c>
      <c r="E86" s="61" t="str">
        <f>IFERROR(VLOOKUP(D86,'Master List'!D:H,2,FALSE),"NA")</f>
        <v>520901</v>
      </c>
      <c r="F86" s="62" t="str">
        <f>IFERROR(VLOOKUP(D86,'Master List'!D:H,3,FALSE),"NA")</f>
        <v>520901</v>
      </c>
      <c r="G86" s="58" t="str">
        <f>IFERROR(VLOOKUP(D86,'Master List'!D:H,4,FALSE),"NA")</f>
        <v>520901</v>
      </c>
      <c r="H86" s="39" t="str">
        <f>IFERROR(VLOOKUP(D86,'Master List'!D:H,5,FALSE),"NA")</f>
        <v>Hospitality Administration/Management, General.</v>
      </c>
      <c r="I86" s="19"/>
      <c r="J86" s="20"/>
      <c r="K86" s="18"/>
      <c r="L86" s="22"/>
    </row>
    <row r="87" spans="1:12" x14ac:dyDescent="0.3">
      <c r="A87" s="33">
        <v>28</v>
      </c>
      <c r="B87" s="33" t="s">
        <v>2173</v>
      </c>
      <c r="C87" s="34" t="s">
        <v>529</v>
      </c>
      <c r="D87" s="51" t="s">
        <v>580</v>
      </c>
      <c r="E87" s="61" t="str">
        <f>IFERROR(VLOOKUP(D87,'Master List'!D:H,2,FALSE),"NA")</f>
        <v>NA</v>
      </c>
      <c r="F87" s="62" t="str">
        <f>IFERROR(VLOOKUP(D87,'Master List'!D:H,3,FALSE),"NA")</f>
        <v>NA</v>
      </c>
      <c r="G87" s="58" t="str">
        <f>IFERROR(VLOOKUP(D87,'Master List'!D:H,4,FALSE),"NA")</f>
        <v>NA</v>
      </c>
      <c r="H87" s="39" t="str">
        <f>IFERROR(VLOOKUP(D87,'Master List'!D:H,5,FALSE),"NA")</f>
        <v>NA</v>
      </c>
      <c r="I87" s="19"/>
      <c r="J87" s="20"/>
      <c r="K87" s="18"/>
      <c r="L87" s="22"/>
    </row>
    <row r="88" spans="1:12" x14ac:dyDescent="0.3">
      <c r="A88" s="33">
        <v>28</v>
      </c>
      <c r="B88" s="33" t="s">
        <v>2173</v>
      </c>
      <c r="C88" s="34" t="s">
        <v>529</v>
      </c>
      <c r="D88" s="51" t="s">
        <v>324</v>
      </c>
      <c r="E88" s="61" t="str">
        <f>IFERROR(VLOOKUP(D88,'Master List'!D:H,2,FALSE),"NA")</f>
        <v>410101</v>
      </c>
      <c r="F88" s="62" t="str">
        <f>IFERROR(VLOOKUP(D88,'Master List'!D:H,3,FALSE),"NA")</f>
        <v>410101</v>
      </c>
      <c r="G88" s="58" t="str">
        <f>IFERROR(VLOOKUP(D88,'Master List'!D:H,4,FALSE),"NA")</f>
        <v>410101</v>
      </c>
      <c r="H88" s="39" t="str">
        <f>IFERROR(VLOOKUP(D88,'Master List'!D:H,5,FALSE),"NA")</f>
        <v>Biology/Biotechnology Technology/Technician.</v>
      </c>
      <c r="I88" s="19"/>
      <c r="J88" s="20"/>
      <c r="K88" s="18"/>
      <c r="L88" s="22"/>
    </row>
    <row r="89" spans="1:12" x14ac:dyDescent="0.3">
      <c r="A89" s="33">
        <v>28</v>
      </c>
      <c r="B89" s="33" t="s">
        <v>2173</v>
      </c>
      <c r="C89" s="34" t="s">
        <v>529</v>
      </c>
      <c r="D89" s="51" t="s">
        <v>84</v>
      </c>
      <c r="E89" s="61" t="str">
        <f>IFERROR(VLOOKUP(D89,'Master List'!D:H,2,FALSE),"NA")</f>
        <v>510602</v>
      </c>
      <c r="F89" s="62" t="str">
        <f>IFERROR(VLOOKUP(D89,'Master List'!D:H,3,FALSE),"NA")</f>
        <v>510602</v>
      </c>
      <c r="G89" s="58" t="str">
        <f>IFERROR(VLOOKUP(D89,'Master List'!D:H,4,FALSE),"NA")</f>
        <v>510602</v>
      </c>
      <c r="H89" s="39" t="str">
        <f>IFERROR(VLOOKUP(D89,'Master List'!D:H,5,FALSE),"NA")</f>
        <v>Dental Hygiene/Hygienist.</v>
      </c>
      <c r="I89" s="19"/>
      <c r="J89" s="20"/>
      <c r="K89" s="18"/>
      <c r="L89" s="22"/>
    </row>
    <row r="90" spans="1:12" x14ac:dyDescent="0.3">
      <c r="A90" s="33">
        <v>28</v>
      </c>
      <c r="B90" s="33" t="s">
        <v>2173</v>
      </c>
      <c r="C90" s="34" t="s">
        <v>529</v>
      </c>
      <c r="D90" s="51" t="s">
        <v>325</v>
      </c>
      <c r="E90" s="61" t="str">
        <f>IFERROR(VLOOKUP(D90,'Master List'!D:H,2,FALSE),"NA")</f>
        <v>510707</v>
      </c>
      <c r="F90" s="62" t="str">
        <f>IFERROR(VLOOKUP(D90,'Master List'!D:H,3,FALSE),"NA")</f>
        <v>510707</v>
      </c>
      <c r="G90" s="58" t="str">
        <f>IFERROR(VLOOKUP(D90,'Master List'!D:H,4,FALSE),"NA")</f>
        <v>510707</v>
      </c>
      <c r="H90" s="39" t="str">
        <f>IFERROR(VLOOKUP(D90,'Master List'!D:H,5,FALSE),"NA")</f>
        <v>Health Information/Medical Records Technology/Technician.</v>
      </c>
      <c r="I90" s="19"/>
      <c r="J90" s="20"/>
      <c r="K90" s="18"/>
      <c r="L90" s="22"/>
    </row>
    <row r="91" spans="1:12" x14ac:dyDescent="0.3">
      <c r="A91" s="33">
        <v>28</v>
      </c>
      <c r="B91" s="33" t="s">
        <v>2173</v>
      </c>
      <c r="C91" s="34" t="s">
        <v>529</v>
      </c>
      <c r="D91" s="51" t="s">
        <v>328</v>
      </c>
      <c r="E91" s="61" t="str">
        <f>IFERROR(VLOOKUP(D91,'Master List'!D:H,2,FALSE),"NA")</f>
        <v>510901</v>
      </c>
      <c r="F91" s="62" t="str">
        <f>IFERROR(VLOOKUP(D91,'Master List'!D:H,3,FALSE),"NA")</f>
        <v>510901</v>
      </c>
      <c r="G91" s="58" t="str">
        <f>IFERROR(VLOOKUP(D91,'Master List'!D:H,4,FALSE),"NA")</f>
        <v>510901</v>
      </c>
      <c r="H91" s="39" t="str">
        <f>IFERROR(VLOOKUP(D91,'Master List'!D:H,5,FALSE),"NA")</f>
        <v>Cardiovascular Technology/Technologist.</v>
      </c>
      <c r="I91" s="19"/>
      <c r="J91" s="20"/>
      <c r="K91" s="18"/>
      <c r="L91" s="22"/>
    </row>
    <row r="92" spans="1:12" x14ac:dyDescent="0.3">
      <c r="A92" s="33">
        <v>28</v>
      </c>
      <c r="B92" s="33" t="s">
        <v>2173</v>
      </c>
      <c r="C92" s="34" t="s">
        <v>529</v>
      </c>
      <c r="D92" s="51" t="s">
        <v>90</v>
      </c>
      <c r="E92" s="61" t="str">
        <f>IFERROR(VLOOKUP(D92,'Master List'!D:H,2,FALSE),"NA")</f>
        <v>510904</v>
      </c>
      <c r="F92" s="62" t="str">
        <f>IFERROR(VLOOKUP(D92,'Master List'!D:H,3,FALSE),"NA")</f>
        <v>510904</v>
      </c>
      <c r="G92" s="58" t="str">
        <f>IFERROR(VLOOKUP(D92,'Master List'!D:H,4,FALSE),"NA")</f>
        <v>510904</v>
      </c>
      <c r="H92" s="39" t="str">
        <f>IFERROR(VLOOKUP(D92,'Master List'!D:H,5,FALSE),"NA")</f>
        <v>Emergency Medical Technology/Technician (EMT Paramedic).</v>
      </c>
      <c r="I92" s="19"/>
      <c r="J92" s="20"/>
      <c r="K92" s="18"/>
      <c r="L92" s="22"/>
    </row>
    <row r="93" spans="1:12" x14ac:dyDescent="0.3">
      <c r="A93" s="33">
        <v>28</v>
      </c>
      <c r="B93" s="33" t="s">
        <v>2173</v>
      </c>
      <c r="C93" s="34" t="s">
        <v>529</v>
      </c>
      <c r="D93" s="51" t="s">
        <v>91</v>
      </c>
      <c r="E93" s="61" t="str">
        <f>IFERROR(VLOOKUP(D93,'Master List'!D:H,2,FALSE),"NA")</f>
        <v>510907</v>
      </c>
      <c r="F93" s="62" t="str">
        <f>IFERROR(VLOOKUP(D93,'Master List'!D:H,3,FALSE),"NA")</f>
        <v>510907</v>
      </c>
      <c r="G93" s="58">
        <f>IFERROR(VLOOKUP(D93,'Master List'!D:H,4,FALSE),"NA")</f>
        <v>510911</v>
      </c>
      <c r="H93" s="39" t="str">
        <f>IFERROR(VLOOKUP(D93,'Master List'!D:H,5,FALSE),"NA")</f>
        <v>Radiologic Technology/Science - Radiographer</v>
      </c>
      <c r="I93" s="19"/>
      <c r="J93" s="20"/>
      <c r="K93" s="18"/>
      <c r="L93" s="22"/>
    </row>
    <row r="94" spans="1:12" x14ac:dyDescent="0.3">
      <c r="A94" s="33">
        <v>28</v>
      </c>
      <c r="B94" s="33" t="s">
        <v>2173</v>
      </c>
      <c r="C94" s="34" t="s">
        <v>529</v>
      </c>
      <c r="D94" s="51" t="s">
        <v>94</v>
      </c>
      <c r="E94" s="61" t="str">
        <f>IFERROR(VLOOKUP(D94,'Master List'!D:H,2,FALSE),"NA")</f>
        <v>510908</v>
      </c>
      <c r="F94" s="62" t="str">
        <f>IFERROR(VLOOKUP(D94,'Master List'!D:H,3,FALSE),"NA")</f>
        <v>510908</v>
      </c>
      <c r="G94" s="58" t="str">
        <f>IFERROR(VLOOKUP(D94,'Master List'!D:H,4,FALSE),"NA")</f>
        <v>510908</v>
      </c>
      <c r="H94" s="39" t="str">
        <f>IFERROR(VLOOKUP(D94,'Master List'!D:H,5,FALSE),"NA")</f>
        <v>Respiratory Care Therapy/Therapist.</v>
      </c>
      <c r="I94" s="19"/>
      <c r="J94" s="20"/>
      <c r="K94" s="18"/>
      <c r="L94" s="22"/>
    </row>
    <row r="95" spans="1:12" x14ac:dyDescent="0.3">
      <c r="A95" s="33">
        <v>28</v>
      </c>
      <c r="B95" s="33" t="s">
        <v>2173</v>
      </c>
      <c r="C95" s="34" t="s">
        <v>529</v>
      </c>
      <c r="D95" s="51" t="s">
        <v>98</v>
      </c>
      <c r="E95" s="61" t="str">
        <f>IFERROR(VLOOKUP(D95,'Master List'!D:H,2,FALSE),"NA")</f>
        <v>510910</v>
      </c>
      <c r="F95" s="62" t="str">
        <f>IFERROR(VLOOKUP(D95,'Master List'!D:H,3,FALSE),"NA")</f>
        <v>510910</v>
      </c>
      <c r="G95" s="58" t="str">
        <f>IFERROR(VLOOKUP(D95,'Master List'!D:H,4,FALSE),"NA")</f>
        <v>510910</v>
      </c>
      <c r="H95" s="39" t="str">
        <f>IFERROR(VLOOKUP(D95,'Master List'!D:H,5,FALSE),"NA")</f>
        <v>Diagnostic Medical Sonography/Sonographer and Ultrasound Technician.</v>
      </c>
      <c r="I95" s="19"/>
      <c r="J95" s="20"/>
      <c r="K95" s="18"/>
      <c r="L95" s="22"/>
    </row>
    <row r="96" spans="1:12" x14ac:dyDescent="0.3">
      <c r="A96" s="33">
        <v>28</v>
      </c>
      <c r="B96" s="33" t="s">
        <v>2173</v>
      </c>
      <c r="C96" s="34" t="s">
        <v>529</v>
      </c>
      <c r="D96" s="51" t="s">
        <v>101</v>
      </c>
      <c r="E96" s="61" t="str">
        <f>IFERROR(VLOOKUP(D96,'Master List'!D:H,2,FALSE),"NA")</f>
        <v>513801</v>
      </c>
      <c r="F96" s="62" t="str">
        <f>IFERROR(VLOOKUP(D96,'Master List'!D:H,3,FALSE),"NA")</f>
        <v>513801</v>
      </c>
      <c r="G96" s="58" t="str">
        <f>IFERROR(VLOOKUP(D96,'Master List'!D:H,4,FALSE),"NA")</f>
        <v>513801</v>
      </c>
      <c r="H96" s="39" t="str">
        <f>IFERROR(VLOOKUP(D96,'Master List'!D:H,5,FALSE),"NA")</f>
        <v>Registered Nursing/Registered Nurse.</v>
      </c>
      <c r="I96" s="19"/>
      <c r="J96" s="20"/>
      <c r="K96" s="18"/>
      <c r="L96" s="22"/>
    </row>
    <row r="97" spans="1:12" x14ac:dyDescent="0.3">
      <c r="A97" s="33">
        <v>28</v>
      </c>
      <c r="B97" s="33" t="s">
        <v>2173</v>
      </c>
      <c r="C97" s="34" t="s">
        <v>529</v>
      </c>
      <c r="D97" s="51" t="s">
        <v>167</v>
      </c>
      <c r="E97" s="61" t="str">
        <f>IFERROR(VLOOKUP(D97,'Master List'!D:H,2,FALSE),"NA")</f>
        <v>110103</v>
      </c>
      <c r="F97" s="62" t="str">
        <f>IFERROR(VLOOKUP(D97,'Master List'!D:H,3,FALSE),"NA")</f>
        <v>110103</v>
      </c>
      <c r="G97" s="58" t="str">
        <f>IFERROR(VLOOKUP(D97,'Master List'!D:H,4,FALSE),"NA")</f>
        <v>110103</v>
      </c>
      <c r="H97" s="39" t="str">
        <f>IFERROR(VLOOKUP(D97,'Master List'!D:H,5,FALSE),"NA")</f>
        <v>Information Technology.</v>
      </c>
      <c r="I97" s="19"/>
      <c r="J97" s="20"/>
      <c r="K97" s="18"/>
      <c r="L97" s="22"/>
    </row>
    <row r="98" spans="1:12" x14ac:dyDescent="0.3">
      <c r="A98" s="33">
        <v>28</v>
      </c>
      <c r="B98" s="33" t="s">
        <v>2173</v>
      </c>
      <c r="C98" s="34" t="s">
        <v>529</v>
      </c>
      <c r="D98" s="51" t="s">
        <v>170</v>
      </c>
      <c r="E98" s="61" t="str">
        <f>IFERROR(VLOOKUP(D98,'Master List'!D:H,2,FALSE),"NA")</f>
        <v>110201</v>
      </c>
      <c r="F98" s="62" t="str">
        <f>IFERROR(VLOOKUP(D98,'Master List'!D:H,3,FALSE),"NA")</f>
        <v>110201</v>
      </c>
      <c r="G98" s="58" t="str">
        <f>IFERROR(VLOOKUP(D98,'Master List'!D:H,4,FALSE),"NA")</f>
        <v>110201</v>
      </c>
      <c r="H98" s="39" t="str">
        <f>IFERROR(VLOOKUP(D98,'Master List'!D:H,5,FALSE),"NA")</f>
        <v>Computer Programming/Programmer, General.</v>
      </c>
      <c r="I98" s="19"/>
      <c r="J98" s="20"/>
      <c r="K98" s="18"/>
      <c r="L98" s="22"/>
    </row>
    <row r="99" spans="1:12" x14ac:dyDescent="0.3">
      <c r="A99" s="33">
        <v>28</v>
      </c>
      <c r="B99" s="33" t="s">
        <v>2173</v>
      </c>
      <c r="C99" s="34" t="s">
        <v>529</v>
      </c>
      <c r="D99" s="51" t="s">
        <v>106</v>
      </c>
      <c r="E99" s="61" t="str">
        <f>IFERROR(VLOOKUP(D99,'Master List'!D:H,2,FALSE),"NA")</f>
        <v>111001</v>
      </c>
      <c r="F99" s="62" t="str">
        <f>IFERROR(VLOOKUP(D99,'Master List'!D:H,3,FALSE),"NA")</f>
        <v>111001</v>
      </c>
      <c r="G99" s="58" t="str">
        <f>IFERROR(VLOOKUP(D99,'Master List'!D:H,4,FALSE),"NA")</f>
        <v>111001</v>
      </c>
      <c r="H99" s="39" t="str">
        <f>IFERROR(VLOOKUP(D99,'Master List'!D:H,5,FALSE),"NA")</f>
        <v>Network and System Administration/Administrator.</v>
      </c>
      <c r="I99" s="19"/>
      <c r="J99" s="20"/>
      <c r="K99" s="18"/>
      <c r="L99" s="22"/>
    </row>
    <row r="100" spans="1:12" x14ac:dyDescent="0.3">
      <c r="A100" s="33">
        <v>28</v>
      </c>
      <c r="B100" s="33" t="s">
        <v>2173</v>
      </c>
      <c r="C100" s="34" t="s">
        <v>529</v>
      </c>
      <c r="D100" s="51" t="s">
        <v>107</v>
      </c>
      <c r="E100" s="61" t="str">
        <f>IFERROR(VLOOKUP(D100,'Master List'!D:H,2,FALSE),"NA")</f>
        <v>520201</v>
      </c>
      <c r="F100" s="62" t="str">
        <f>IFERROR(VLOOKUP(D100,'Master List'!D:H,3,FALSE),"NA")</f>
        <v>520201</v>
      </c>
      <c r="G100" s="58" t="str">
        <f>IFERROR(VLOOKUP(D100,'Master List'!D:H,4,FALSE),"NA")</f>
        <v>520201</v>
      </c>
      <c r="H100" s="39" t="str">
        <f>IFERROR(VLOOKUP(D100,'Master List'!D:H,5,FALSE),"NA")</f>
        <v>Business Administration and Management, General.</v>
      </c>
      <c r="I100" s="19"/>
      <c r="J100" s="20"/>
      <c r="K100" s="18"/>
      <c r="L100" s="22"/>
    </row>
    <row r="101" spans="1:12" x14ac:dyDescent="0.3">
      <c r="A101" s="33">
        <v>28</v>
      </c>
      <c r="B101" s="33" t="s">
        <v>2173</v>
      </c>
      <c r="C101" s="34" t="s">
        <v>529</v>
      </c>
      <c r="D101" s="51" t="s">
        <v>351</v>
      </c>
      <c r="E101" s="61" t="str">
        <f>IFERROR(VLOOKUP(D101,'Master List'!D:H,2,FALSE),"NA")</f>
        <v>520204</v>
      </c>
      <c r="F101" s="62" t="str">
        <f>IFERROR(VLOOKUP(D101,'Master List'!D:H,3,FALSE),"NA")</f>
        <v>520204</v>
      </c>
      <c r="G101" s="58" t="str">
        <f>IFERROR(VLOOKUP(D101,'Master List'!D:H,4,FALSE),"NA")</f>
        <v>520204</v>
      </c>
      <c r="H101" s="39" t="str">
        <f>IFERROR(VLOOKUP(D101,'Master List'!D:H,5,FALSE),"NA")</f>
        <v>Office Management and Supervision.</v>
      </c>
      <c r="I101" s="19"/>
      <c r="J101" s="20"/>
      <c r="K101" s="18"/>
      <c r="L101" s="22"/>
    </row>
    <row r="102" spans="1:12" x14ac:dyDescent="0.3">
      <c r="A102" s="33">
        <v>28</v>
      </c>
      <c r="B102" s="33" t="s">
        <v>2173</v>
      </c>
      <c r="C102" s="34" t="s">
        <v>529</v>
      </c>
      <c r="D102" s="51" t="s">
        <v>528</v>
      </c>
      <c r="E102" s="61" t="str">
        <f>IFERROR(VLOOKUP(D102,'Master List'!D:H,2,FALSE),"NA")</f>
        <v>520204</v>
      </c>
      <c r="F102" s="62" t="str">
        <f>IFERROR(VLOOKUP(D102,'Master List'!D:H,3,FALSE),"NA")</f>
        <v>520204</v>
      </c>
      <c r="G102" s="58">
        <f>IFERROR(VLOOKUP(D102,'Master List'!D:H,4,FALSE),"NA")</f>
        <v>510705</v>
      </c>
      <c r="H102" s="39" t="str">
        <f>IFERROR(VLOOKUP(D102,'Master List'!D:H,5,FALSE),"NA")</f>
        <v>Medical Office Management/Administration</v>
      </c>
      <c r="I102" s="19"/>
      <c r="J102" s="20"/>
      <c r="K102" s="18"/>
      <c r="L102" s="22"/>
    </row>
    <row r="103" spans="1:12" x14ac:dyDescent="0.3">
      <c r="A103" s="33">
        <v>28</v>
      </c>
      <c r="B103" s="33" t="s">
        <v>2173</v>
      </c>
      <c r="C103" s="34" t="s">
        <v>529</v>
      </c>
      <c r="D103" s="51" t="s">
        <v>110</v>
      </c>
      <c r="E103" s="61" t="str">
        <f>IFERROR(VLOOKUP(D103,'Master List'!D:H,2,FALSE),"NA")</f>
        <v>520302</v>
      </c>
      <c r="F103" s="62" t="str">
        <f>IFERROR(VLOOKUP(D103,'Master List'!D:H,3,FALSE),"NA")</f>
        <v>520302</v>
      </c>
      <c r="G103" s="58" t="str">
        <f>IFERROR(VLOOKUP(D103,'Master List'!D:H,4,FALSE),"NA")</f>
        <v>520302</v>
      </c>
      <c r="H103" s="39" t="str">
        <f>IFERROR(VLOOKUP(D103,'Master List'!D:H,5,FALSE),"NA")</f>
        <v>Accounting Technology/Technician and Bookkeeping.</v>
      </c>
      <c r="I103" s="19"/>
      <c r="J103" s="20"/>
      <c r="K103" s="18"/>
      <c r="L103" s="22"/>
    </row>
    <row r="104" spans="1:12" x14ac:dyDescent="0.3">
      <c r="A104" s="33">
        <v>28</v>
      </c>
      <c r="B104" s="33" t="s">
        <v>2173</v>
      </c>
      <c r="C104" s="34" t="s">
        <v>529</v>
      </c>
      <c r="D104" s="51" t="s">
        <v>581</v>
      </c>
      <c r="E104" s="61" t="str">
        <f>IFERROR(VLOOKUP(D104,'Master List'!D:H,2,FALSE),"NA")</f>
        <v>521501</v>
      </c>
      <c r="F104" s="62" t="str">
        <f>IFERROR(VLOOKUP(D104,'Master List'!D:H,3,FALSE),"NA")</f>
        <v>521501</v>
      </c>
      <c r="G104" s="58" t="str">
        <f>IFERROR(VLOOKUP(D104,'Master List'!D:H,4,FALSE),"NA")</f>
        <v>521501</v>
      </c>
      <c r="H104" s="39" t="str">
        <f>IFERROR(VLOOKUP(D104,'Master List'!D:H,5,FALSE),"NA")</f>
        <v>Real Estate.</v>
      </c>
      <c r="I104" s="19"/>
      <c r="J104" s="20"/>
      <c r="K104" s="18"/>
      <c r="L104" s="22"/>
    </row>
    <row r="105" spans="1:12" x14ac:dyDescent="0.3">
      <c r="A105" s="33">
        <v>28</v>
      </c>
      <c r="B105" s="33" t="s">
        <v>2173</v>
      </c>
      <c r="C105" s="34" t="s">
        <v>529</v>
      </c>
      <c r="D105" s="51" t="s">
        <v>582</v>
      </c>
      <c r="E105" s="61" t="str">
        <f>IFERROR(VLOOKUP(D105,'Master List'!D:H,2,FALSE),"NA")</f>
        <v>090499</v>
      </c>
      <c r="F105" s="62" t="str">
        <f>IFERROR(VLOOKUP(D105,'Master List'!D:H,3,FALSE),"NA")</f>
        <v>090499</v>
      </c>
      <c r="G105" s="58" t="str">
        <f>IFERROR(VLOOKUP(D105,'Master List'!D:H,4,FALSE),"NA")</f>
        <v>090499</v>
      </c>
      <c r="H105" s="39" t="str">
        <f>IFERROR(VLOOKUP(D105,'Master List'!D:H,5,FALSE),"NA")</f>
        <v>Journalism, Other.</v>
      </c>
      <c r="I105" s="19"/>
      <c r="J105" s="20"/>
      <c r="K105" s="18"/>
      <c r="L105" s="22"/>
    </row>
    <row r="106" spans="1:12" x14ac:dyDescent="0.3">
      <c r="A106" s="33">
        <v>28</v>
      </c>
      <c r="B106" s="33" t="s">
        <v>2173</v>
      </c>
      <c r="C106" s="34" t="s">
        <v>529</v>
      </c>
      <c r="D106" s="51" t="s">
        <v>356</v>
      </c>
      <c r="E106" s="61" t="str">
        <f>IFERROR(VLOOKUP(D106,'Master List'!D:H,2,FALSE),"NA")</f>
        <v>NA</v>
      </c>
      <c r="F106" s="62" t="str">
        <f>IFERROR(VLOOKUP(D106,'Master List'!D:H,3,FALSE),"NA")</f>
        <v>NA</v>
      </c>
      <c r="G106" s="58" t="str">
        <f>IFERROR(VLOOKUP(D106,'Master List'!D:H,4,FALSE),"NA")</f>
        <v>NA</v>
      </c>
      <c r="H106" s="39" t="str">
        <f>IFERROR(VLOOKUP(D106,'Master List'!D:H,5,FALSE),"NA")</f>
        <v>NA</v>
      </c>
      <c r="I106" s="19"/>
      <c r="J106" s="20"/>
      <c r="K106" s="18"/>
      <c r="L106" s="22"/>
    </row>
    <row r="107" spans="1:12" x14ac:dyDescent="0.3">
      <c r="A107" s="33">
        <v>28</v>
      </c>
      <c r="B107" s="33" t="s">
        <v>2173</v>
      </c>
      <c r="C107" s="34" t="s">
        <v>529</v>
      </c>
      <c r="D107" s="51" t="s">
        <v>114</v>
      </c>
      <c r="E107" s="61" t="str">
        <f>IFERROR(VLOOKUP(D107,'Master List'!D:H,2,FALSE),"NA")</f>
        <v>110801</v>
      </c>
      <c r="F107" s="62" t="str">
        <f>IFERROR(VLOOKUP(D107,'Master List'!D:H,3,FALSE),"NA")</f>
        <v>110801</v>
      </c>
      <c r="G107" s="58" t="str">
        <f>IFERROR(VLOOKUP(D107,'Master List'!D:H,4,FALSE),"NA")</f>
        <v>110801</v>
      </c>
      <c r="H107" s="39" t="str">
        <f>IFERROR(VLOOKUP(D107,'Master List'!D:H,5,FALSE),"NA")</f>
        <v>Web Page, Digital/Multimedia and Information Resources Design.</v>
      </c>
      <c r="I107" s="19"/>
      <c r="J107" s="20"/>
      <c r="K107" s="18"/>
      <c r="L107" s="22"/>
    </row>
    <row r="108" spans="1:12" x14ac:dyDescent="0.3">
      <c r="A108" s="33">
        <v>28</v>
      </c>
      <c r="B108" s="33" t="s">
        <v>2173</v>
      </c>
      <c r="C108" s="34" t="s">
        <v>529</v>
      </c>
      <c r="D108" s="51" t="s">
        <v>583</v>
      </c>
      <c r="E108" s="61" t="str">
        <f>IFERROR(VLOOKUP(D108,'Master List'!D:H,2,FALSE),"NA")</f>
        <v>110803</v>
      </c>
      <c r="F108" s="62" t="str">
        <f>IFERROR(VLOOKUP(D108,'Master List'!D:H,3,FALSE),"NA")</f>
        <v>110803</v>
      </c>
      <c r="G108" s="58" t="str">
        <f>IFERROR(VLOOKUP(D108,'Master List'!D:H,4,FALSE),"NA")</f>
        <v>110803</v>
      </c>
      <c r="H108" s="39" t="str">
        <f>IFERROR(VLOOKUP(D108,'Master List'!D:H,5,FALSE),"NA")</f>
        <v>Computer Graphics.</v>
      </c>
      <c r="I108" s="19"/>
      <c r="J108" s="20"/>
      <c r="K108" s="18"/>
      <c r="L108" s="22"/>
    </row>
    <row r="109" spans="1:12" x14ac:dyDescent="0.3">
      <c r="A109" s="33">
        <v>28</v>
      </c>
      <c r="B109" s="33" t="s">
        <v>2173</v>
      </c>
      <c r="C109" s="34" t="s">
        <v>529</v>
      </c>
      <c r="D109" s="51" t="s">
        <v>584</v>
      </c>
      <c r="E109" s="61" t="str">
        <f>IFERROR(VLOOKUP(D109,'Master List'!D:H,2,FALSE),"NA")</f>
        <v>120501</v>
      </c>
      <c r="F109" s="62" t="str">
        <f>IFERROR(VLOOKUP(D109,'Master List'!D:H,3,FALSE),"NA")</f>
        <v>120501</v>
      </c>
      <c r="G109" s="58" t="str">
        <f>IFERROR(VLOOKUP(D109,'Master List'!D:H,4,FALSE),"NA")</f>
        <v>120501</v>
      </c>
      <c r="H109" s="39" t="str">
        <f>IFERROR(VLOOKUP(D109,'Master List'!D:H,5,FALSE),"NA")</f>
        <v>Baking and Pastry Arts/Baker/Pastry Chef.</v>
      </c>
      <c r="I109" s="19"/>
      <c r="J109" s="20"/>
      <c r="K109" s="18"/>
      <c r="L109" s="22"/>
    </row>
    <row r="110" spans="1:12" x14ac:dyDescent="0.3">
      <c r="A110" s="33">
        <v>28</v>
      </c>
      <c r="B110" s="33" t="s">
        <v>2173</v>
      </c>
      <c r="C110" s="34" t="s">
        <v>529</v>
      </c>
      <c r="D110" s="51" t="s">
        <v>173</v>
      </c>
      <c r="E110" s="61" t="str">
        <f>IFERROR(VLOOKUP(D110,'Master List'!D:H,2,FALSE),"NA")</f>
        <v>NA</v>
      </c>
      <c r="F110" s="62" t="str">
        <f>IFERROR(VLOOKUP(D110,'Master List'!D:H,3,FALSE),"NA")</f>
        <v>NA</v>
      </c>
      <c r="G110" s="58" t="str">
        <f>IFERROR(VLOOKUP(D110,'Master List'!D:H,4,FALSE),"NA")</f>
        <v>NA</v>
      </c>
      <c r="H110" s="39" t="str">
        <f>IFERROR(VLOOKUP(D110,'Master List'!D:H,5,FALSE),"NA")</f>
        <v>NA</v>
      </c>
      <c r="I110" s="19"/>
      <c r="J110" s="20"/>
      <c r="K110" s="18"/>
      <c r="L110" s="22"/>
    </row>
    <row r="111" spans="1:12" x14ac:dyDescent="0.3">
      <c r="A111" s="33">
        <v>28</v>
      </c>
      <c r="B111" s="33" t="s">
        <v>2173</v>
      </c>
      <c r="C111" s="34" t="s">
        <v>529</v>
      </c>
      <c r="D111" s="51" t="s">
        <v>117</v>
      </c>
      <c r="E111" s="61" t="str">
        <f>IFERROR(VLOOKUP(D111,'Master List'!D:H,2,FALSE),"NA")</f>
        <v>120504</v>
      </c>
      <c r="F111" s="62" t="str">
        <f>IFERROR(VLOOKUP(D111,'Master List'!D:H,3,FALSE),"NA")</f>
        <v>120504</v>
      </c>
      <c r="G111" s="58" t="str">
        <f>IFERROR(VLOOKUP(D111,'Master List'!D:H,4,FALSE),"NA")</f>
        <v>120504</v>
      </c>
      <c r="H111" s="39" t="str">
        <f>IFERROR(VLOOKUP(D111,'Master List'!D:H,5,FALSE),"NA")</f>
        <v>Restaurant, Culinary, and Catering Management/Manager.</v>
      </c>
      <c r="I111" s="19"/>
      <c r="J111" s="20"/>
      <c r="K111" s="18"/>
      <c r="L111" s="22"/>
    </row>
    <row r="112" spans="1:12" x14ac:dyDescent="0.3">
      <c r="A112" s="33">
        <v>28</v>
      </c>
      <c r="B112" s="33" t="s">
        <v>2173</v>
      </c>
      <c r="C112" s="34" t="s">
        <v>529</v>
      </c>
      <c r="D112" s="51" t="s">
        <v>468</v>
      </c>
      <c r="E112" s="61" t="str">
        <f>IFERROR(VLOOKUP(D112,'Master List'!D:H,2,FALSE),"NA")</f>
        <v>150303</v>
      </c>
      <c r="F112" s="62" t="str">
        <f>IFERROR(VLOOKUP(D112,'Master List'!D:H,3,FALSE),"NA")</f>
        <v>150303</v>
      </c>
      <c r="G112" s="58" t="str">
        <f>IFERROR(VLOOKUP(D112,'Master List'!D:H,4,FALSE),"NA")</f>
        <v>150303</v>
      </c>
      <c r="H112" s="39" t="str">
        <f>IFERROR(VLOOKUP(D112,'Master List'!D:H,5,FALSE),"NA")</f>
        <v>Electrical, Electronic, and Communications Engineering Technology/Technician.</v>
      </c>
      <c r="I112" s="19"/>
      <c r="J112" s="20"/>
      <c r="K112" s="18"/>
      <c r="L112" s="22"/>
    </row>
    <row r="113" spans="1:12" x14ac:dyDescent="0.3">
      <c r="A113" s="33">
        <v>28</v>
      </c>
      <c r="B113" s="33" t="s">
        <v>2173</v>
      </c>
      <c r="C113" s="34" t="s">
        <v>529</v>
      </c>
      <c r="D113" s="51" t="s">
        <v>585</v>
      </c>
      <c r="E113" s="61" t="str">
        <f>IFERROR(VLOOKUP(D113,'Master List'!D:H,2,FALSE),"NA")</f>
        <v>150303</v>
      </c>
      <c r="F113" s="62" t="str">
        <f>IFERROR(VLOOKUP(D113,'Master List'!D:H,3,FALSE),"NA")</f>
        <v>150303</v>
      </c>
      <c r="G113" s="58" t="str">
        <f>IFERROR(VLOOKUP(D113,'Master List'!D:H,4,FALSE),"NA")</f>
        <v>150303</v>
      </c>
      <c r="H113" s="39" t="str">
        <f>IFERROR(VLOOKUP(D113,'Master List'!D:H,5,FALSE),"NA")</f>
        <v>Electrical, Electronic, and Communications Engineering Technology/Technician.</v>
      </c>
      <c r="I113" s="19"/>
      <c r="J113" s="20"/>
      <c r="K113" s="18"/>
      <c r="L113" s="22"/>
    </row>
    <row r="114" spans="1:12" x14ac:dyDescent="0.3">
      <c r="A114" s="33">
        <v>28</v>
      </c>
      <c r="B114" s="33" t="s">
        <v>2173</v>
      </c>
      <c r="C114" s="34" t="s">
        <v>529</v>
      </c>
      <c r="D114" s="51" t="s">
        <v>358</v>
      </c>
      <c r="E114" s="61" t="str">
        <f>IFERROR(VLOOKUP(D114,'Master List'!D:H,2,FALSE),"NA")</f>
        <v>151001</v>
      </c>
      <c r="F114" s="62" t="str">
        <f>IFERROR(VLOOKUP(D114,'Master List'!D:H,3,FALSE),"NA")</f>
        <v>151001</v>
      </c>
      <c r="G114" s="58" t="str">
        <f>IFERROR(VLOOKUP(D114,'Master List'!D:H,4,FALSE),"NA")</f>
        <v>151001</v>
      </c>
      <c r="H114" s="39" t="str">
        <f>IFERROR(VLOOKUP(D114,'Master List'!D:H,5,FALSE),"NA")</f>
        <v>Construction Engineering Technology/Technician.</v>
      </c>
      <c r="I114" s="19"/>
      <c r="J114" s="20"/>
      <c r="K114" s="18"/>
      <c r="L114" s="22"/>
    </row>
    <row r="115" spans="1:12" x14ac:dyDescent="0.3">
      <c r="A115" s="33">
        <v>28</v>
      </c>
      <c r="B115" s="33" t="s">
        <v>2173</v>
      </c>
      <c r="C115" s="34" t="s">
        <v>529</v>
      </c>
      <c r="D115" s="51" t="s">
        <v>405</v>
      </c>
      <c r="E115" s="61" t="str">
        <f>IFERROR(VLOOKUP(D115,'Master List'!D:H,2,FALSE),"NA")</f>
        <v>151301</v>
      </c>
      <c r="F115" s="62" t="str">
        <f>IFERROR(VLOOKUP(D115,'Master List'!D:H,3,FALSE),"NA")</f>
        <v>151301</v>
      </c>
      <c r="G115" s="58">
        <f>IFERROR(VLOOKUP(D115,'Master List'!D:H,4,FALSE),"NA")</f>
        <v>151302</v>
      </c>
      <c r="H115" s="39" t="str">
        <f>IFERROR(VLOOKUP(D115,'Master List'!D:H,5,FALSE),"NA")</f>
        <v>CAD/CADD Drafting and/or Design Technology/Technician</v>
      </c>
      <c r="I115" s="19"/>
      <c r="J115" s="20"/>
      <c r="K115" s="18"/>
      <c r="L115" s="22"/>
    </row>
    <row r="116" spans="1:12" x14ac:dyDescent="0.3">
      <c r="A116" s="33">
        <v>28</v>
      </c>
      <c r="B116" s="33" t="s">
        <v>2173</v>
      </c>
      <c r="C116" s="34" t="s">
        <v>529</v>
      </c>
      <c r="D116" s="51" t="s">
        <v>121</v>
      </c>
      <c r="E116" s="61" t="str">
        <f>IFERROR(VLOOKUP(D116,'Master List'!D:H,2,FALSE),"NA")</f>
        <v>500502</v>
      </c>
      <c r="F116" s="62" t="str">
        <f>IFERROR(VLOOKUP(D116,'Master List'!D:H,3,FALSE),"NA")</f>
        <v>500502</v>
      </c>
      <c r="G116" s="58" t="str">
        <f>IFERROR(VLOOKUP(D116,'Master List'!D:H,4,FALSE),"NA")</f>
        <v>500502</v>
      </c>
      <c r="H116" s="39" t="str">
        <f>IFERROR(VLOOKUP(D116,'Master List'!D:H,5,FALSE),"NA")</f>
        <v>Technical Theatre/Theatre Design and Technology.</v>
      </c>
      <c r="I116" s="19"/>
      <c r="J116" s="20"/>
      <c r="K116" s="18"/>
      <c r="L116" s="22"/>
    </row>
    <row r="117" spans="1:12" x14ac:dyDescent="0.3">
      <c r="A117" s="33">
        <v>28</v>
      </c>
      <c r="B117" s="33" t="s">
        <v>2173</v>
      </c>
      <c r="C117" s="34" t="s">
        <v>529</v>
      </c>
      <c r="D117" s="51" t="s">
        <v>586</v>
      </c>
      <c r="E117" s="61" t="str">
        <f>IFERROR(VLOOKUP(D117,'Master List'!D:H,2,FALSE),"NA")</f>
        <v>500602</v>
      </c>
      <c r="F117" s="62" t="str">
        <f>IFERROR(VLOOKUP(D117,'Master List'!D:H,3,FALSE),"NA")</f>
        <v>500602</v>
      </c>
      <c r="G117" s="58" t="str">
        <f>IFERROR(VLOOKUP(D117,'Master List'!D:H,4,FALSE),"NA")</f>
        <v>500602</v>
      </c>
      <c r="H117" s="39" t="str">
        <f>IFERROR(VLOOKUP(D117,'Master List'!D:H,5,FALSE),"NA")</f>
        <v>Cinematography and Film/Video Production.</v>
      </c>
      <c r="I117" s="19"/>
      <c r="J117" s="20"/>
      <c r="K117" s="18"/>
      <c r="L117" s="22"/>
    </row>
    <row r="118" spans="1:12" x14ac:dyDescent="0.3">
      <c r="A118" s="33">
        <v>28</v>
      </c>
      <c r="B118" s="33" t="s">
        <v>2173</v>
      </c>
      <c r="C118" s="34" t="s">
        <v>529</v>
      </c>
      <c r="D118" s="51" t="s">
        <v>478</v>
      </c>
      <c r="E118" s="61" t="str">
        <f>IFERROR(VLOOKUP(D118,'Master List'!D:H,2,FALSE),"NA")</f>
        <v>500913</v>
      </c>
      <c r="F118" s="62" t="str">
        <f>IFERROR(VLOOKUP(D118,'Master List'!D:H,3,FALSE),"NA")</f>
        <v>500913</v>
      </c>
      <c r="G118" s="58" t="str">
        <f>IFERROR(VLOOKUP(D118,'Master List'!D:H,4,FALSE),"NA")</f>
        <v>500913</v>
      </c>
      <c r="H118" s="39" t="str">
        <f>IFERROR(VLOOKUP(D118,'Master List'!D:H,5,FALSE),"NA")</f>
        <v>Music Technology.</v>
      </c>
      <c r="I118" s="19"/>
      <c r="J118" s="20"/>
      <c r="K118" s="18"/>
      <c r="L118" s="22"/>
    </row>
    <row r="119" spans="1:12" x14ac:dyDescent="0.3">
      <c r="A119" s="33">
        <v>28</v>
      </c>
      <c r="B119" s="33" t="s">
        <v>2173</v>
      </c>
      <c r="C119" s="34" t="s">
        <v>529</v>
      </c>
      <c r="D119" s="51" t="s">
        <v>367</v>
      </c>
      <c r="E119" s="61" t="str">
        <f>IFERROR(VLOOKUP(D119,'Master List'!D:H,2,FALSE),"NA")</f>
        <v>520205</v>
      </c>
      <c r="F119" s="62" t="str">
        <f>IFERROR(VLOOKUP(D119,'Master List'!D:H,3,FALSE),"NA")</f>
        <v>520205</v>
      </c>
      <c r="G119" s="58" t="str">
        <f>IFERROR(VLOOKUP(D119,'Master List'!D:H,4,FALSE),"NA")</f>
        <v>520205</v>
      </c>
      <c r="H119" s="39" t="str">
        <f>IFERROR(VLOOKUP(D119,'Master List'!D:H,5,FALSE),"NA")</f>
        <v>Operations Management and Supervision.</v>
      </c>
      <c r="I119" s="19"/>
      <c r="J119" s="20"/>
      <c r="K119" s="18"/>
      <c r="L119" s="22"/>
    </row>
    <row r="120" spans="1:12" x14ac:dyDescent="0.3">
      <c r="A120" s="33">
        <v>28</v>
      </c>
      <c r="B120" s="33" t="s">
        <v>2173</v>
      </c>
      <c r="C120" s="34" t="s">
        <v>529</v>
      </c>
      <c r="D120" s="51" t="s">
        <v>124</v>
      </c>
      <c r="E120" s="61" t="str">
        <f>IFERROR(VLOOKUP(D120,'Master List'!D:H,2,FALSE),"NA")</f>
        <v>150201</v>
      </c>
      <c r="F120" s="62" t="str">
        <f>IFERROR(VLOOKUP(D120,'Master List'!D:H,3,FALSE),"NA")</f>
        <v>150201</v>
      </c>
      <c r="G120" s="58" t="str">
        <f>IFERROR(VLOOKUP(D120,'Master List'!D:H,4,FALSE),"NA")</f>
        <v>150201</v>
      </c>
      <c r="H120" s="39" t="str">
        <f>IFERROR(VLOOKUP(D120,'Master List'!D:H,5,FALSE),"NA")</f>
        <v>Civil Engineering Technologies/Technicians.</v>
      </c>
      <c r="I120" s="19"/>
      <c r="J120" s="20"/>
      <c r="K120" s="18"/>
      <c r="L120" s="22"/>
    </row>
    <row r="121" spans="1:12" x14ac:dyDescent="0.3">
      <c r="A121" s="33">
        <v>28</v>
      </c>
      <c r="B121" s="33" t="s">
        <v>2173</v>
      </c>
      <c r="C121" s="34" t="s">
        <v>529</v>
      </c>
      <c r="D121" s="51" t="s">
        <v>125</v>
      </c>
      <c r="E121" s="61" t="str">
        <f>IFERROR(VLOOKUP(D121,'Master List'!D:H,2,FALSE),"NA")</f>
        <v>220302</v>
      </c>
      <c r="F121" s="62" t="str">
        <f>IFERROR(VLOOKUP(D121,'Master List'!D:H,3,FALSE),"NA")</f>
        <v>220302</v>
      </c>
      <c r="G121" s="58" t="str">
        <f>IFERROR(VLOOKUP(D121,'Master List'!D:H,4,FALSE),"NA")</f>
        <v>220302</v>
      </c>
      <c r="H121" s="39" t="str">
        <f>IFERROR(VLOOKUP(D121,'Master List'!D:H,5,FALSE),"NA")</f>
        <v>Legal Assistant/Paralegal.</v>
      </c>
      <c r="I121" s="19"/>
      <c r="J121" s="20"/>
      <c r="K121" s="18"/>
      <c r="L121" s="22"/>
    </row>
    <row r="122" spans="1:12" x14ac:dyDescent="0.3">
      <c r="A122" s="33">
        <v>28</v>
      </c>
      <c r="B122" s="33" t="s">
        <v>2173</v>
      </c>
      <c r="C122" s="34" t="s">
        <v>529</v>
      </c>
      <c r="D122" s="51" t="s">
        <v>128</v>
      </c>
      <c r="E122" s="61" t="str">
        <f>IFERROR(VLOOKUP(D122,'Master List'!D:H,2,FALSE),"NA")</f>
        <v>430103</v>
      </c>
      <c r="F122" s="62" t="str">
        <f>IFERROR(VLOOKUP(D122,'Master List'!D:H,3,FALSE),"NA")</f>
        <v>430103</v>
      </c>
      <c r="G122" s="58" t="str">
        <f>IFERROR(VLOOKUP(D122,'Master List'!D:H,4,FALSE),"NA")</f>
        <v>430103</v>
      </c>
      <c r="H122" s="39" t="str">
        <f>IFERROR(VLOOKUP(D122,'Master List'!D:H,5,FALSE),"NA")</f>
        <v>Criminal Justice/Law Enforcement Administration.</v>
      </c>
      <c r="I122" s="19"/>
      <c r="J122" s="20"/>
      <c r="K122" s="18"/>
      <c r="L122" s="22"/>
    </row>
    <row r="123" spans="1:12" x14ac:dyDescent="0.3">
      <c r="A123" s="33">
        <v>28</v>
      </c>
      <c r="B123" s="33" t="s">
        <v>2173</v>
      </c>
      <c r="C123" s="34" t="s">
        <v>529</v>
      </c>
      <c r="D123" s="51" t="s">
        <v>375</v>
      </c>
      <c r="E123" s="61" t="str">
        <f>IFERROR(VLOOKUP(D123,'Master List'!D:H,2,FALSE),"NA")</f>
        <v>430201</v>
      </c>
      <c r="F123" s="62" t="str">
        <f>IFERROR(VLOOKUP(D123,'Master List'!D:H,3,FALSE),"NA")</f>
        <v>430201</v>
      </c>
      <c r="G123" s="58" t="str">
        <f>IFERROR(VLOOKUP(D123,'Master List'!D:H,4,FALSE),"NA")</f>
        <v>430201</v>
      </c>
      <c r="H123" s="39" t="str">
        <f>IFERROR(VLOOKUP(D123,'Master List'!D:H,5,FALSE),"NA")</f>
        <v>Fire Prevention and Safety Technology/Technician.</v>
      </c>
      <c r="I123" s="19"/>
      <c r="J123" s="20"/>
      <c r="K123" s="18"/>
      <c r="L123" s="22"/>
    </row>
  </sheetData>
  <sheetProtection algorithmName="SHA-512" hashValue="+DpbLx8ke7FvAjJQpJDFasmWUXbwswV0iQietOci5WgOmTPpldpPnkN84bQTjIv9ADMEhJNo8MkKhv7T8qWgkg==" saltValue="zlsqLu4K23uxImPBmP+oEw==" spinCount="100000" sheet="1" objects="1" scenarios="1" sort="0" autoFilter="0"/>
  <autoFilter ref="A2:L123"/>
  <mergeCells count="3">
    <mergeCell ref="A1:D1"/>
    <mergeCell ref="E1:H1"/>
    <mergeCell ref="I1:L1"/>
  </mergeCells>
  <dataValidations count="1">
    <dataValidation type="list" allowBlank="1" showInputMessage="1" showErrorMessage="1" sqref="I3:I123">
      <formula1>"Agree,Disagree"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4"/>
  <sheetViews>
    <sheetView workbookViewId="0"/>
  </sheetViews>
  <sheetFormatPr defaultRowHeight="14.4" x14ac:dyDescent="0.3"/>
  <cols>
    <col min="1" max="1" width="34.5546875" style="27" customWidth="1"/>
    <col min="2" max="2" width="47.6640625" style="27" customWidth="1"/>
    <col min="3" max="3" width="9" style="80" customWidth="1"/>
    <col min="4" max="4" width="11.6640625" style="82" customWidth="1"/>
    <col min="5" max="5" width="9.44140625" style="80" customWidth="1"/>
    <col min="6" max="6" width="8.6640625" style="80" customWidth="1"/>
    <col min="7" max="7" width="11.109375" style="81" customWidth="1"/>
    <col min="8" max="8" width="67.6640625" style="27" customWidth="1"/>
    <col min="9" max="9" width="13.6640625" style="80" customWidth="1"/>
    <col min="10" max="10" width="11.6640625" style="80" customWidth="1"/>
    <col min="11" max="11" width="12.6640625" style="80" customWidth="1"/>
    <col min="12" max="16384" width="8.88671875" style="27"/>
  </cols>
  <sheetData>
    <row r="1" spans="1:11" s="79" customFormat="1" ht="72.599999999999994" thickBot="1" x14ac:dyDescent="0.35">
      <c r="A1" s="1" t="s">
        <v>925</v>
      </c>
      <c r="B1" s="1" t="s">
        <v>1864</v>
      </c>
      <c r="C1" s="2" t="s">
        <v>926</v>
      </c>
      <c r="D1" s="3" t="s">
        <v>6145</v>
      </c>
      <c r="E1" s="10" t="s">
        <v>6146</v>
      </c>
      <c r="F1" s="11" t="s">
        <v>6147</v>
      </c>
      <c r="G1" s="12" t="s">
        <v>6148</v>
      </c>
      <c r="H1" s="2" t="s">
        <v>2144</v>
      </c>
      <c r="I1" s="13" t="s">
        <v>1865</v>
      </c>
      <c r="J1" s="14" t="s">
        <v>1866</v>
      </c>
      <c r="K1" s="14" t="s">
        <v>1867</v>
      </c>
    </row>
    <row r="2" spans="1:11" ht="15" thickBot="1" x14ac:dyDescent="0.35">
      <c r="A2" s="84" t="s">
        <v>930</v>
      </c>
      <c r="B2" s="84" t="s">
        <v>931</v>
      </c>
      <c r="C2" s="85" t="s">
        <v>932</v>
      </c>
      <c r="D2" s="86" t="s">
        <v>933</v>
      </c>
      <c r="E2" s="87" t="s">
        <v>876</v>
      </c>
      <c r="F2" s="88" t="s">
        <v>876</v>
      </c>
      <c r="G2" s="89">
        <v>10302</v>
      </c>
      <c r="H2" s="84" t="s">
        <v>1868</v>
      </c>
      <c r="I2" s="85" t="s">
        <v>1869</v>
      </c>
      <c r="J2" s="85" t="s">
        <v>1870</v>
      </c>
      <c r="K2" s="85" t="s">
        <v>1869</v>
      </c>
    </row>
    <row r="3" spans="1:11" ht="15" thickBot="1" x14ac:dyDescent="0.35">
      <c r="A3" s="84" t="s">
        <v>930</v>
      </c>
      <c r="B3" s="84" t="s">
        <v>934</v>
      </c>
      <c r="C3" s="85" t="s">
        <v>932</v>
      </c>
      <c r="D3" s="86" t="s">
        <v>491</v>
      </c>
      <c r="E3" s="87" t="s">
        <v>492</v>
      </c>
      <c r="F3" s="88" t="s">
        <v>492</v>
      </c>
      <c r="G3" s="89">
        <v>11103</v>
      </c>
      <c r="H3" s="84" t="s">
        <v>493</v>
      </c>
      <c r="I3" s="85" t="s">
        <v>1869</v>
      </c>
      <c r="J3" s="85" t="s">
        <v>1871</v>
      </c>
      <c r="K3" s="85" t="s">
        <v>1872</v>
      </c>
    </row>
    <row r="4" spans="1:11" ht="15" thickBot="1" x14ac:dyDescent="0.35">
      <c r="A4" s="84" t="s">
        <v>930</v>
      </c>
      <c r="B4" s="84" t="s">
        <v>935</v>
      </c>
      <c r="C4" s="85" t="s">
        <v>932</v>
      </c>
      <c r="D4" s="86" t="s">
        <v>859</v>
      </c>
      <c r="E4" s="87" t="s">
        <v>860</v>
      </c>
      <c r="F4" s="88" t="s">
        <v>860</v>
      </c>
      <c r="G4" s="89" t="s">
        <v>860</v>
      </c>
      <c r="H4" s="84" t="s">
        <v>861</v>
      </c>
      <c r="I4" s="85" t="s">
        <v>1869</v>
      </c>
      <c r="J4" s="85" t="s">
        <v>1870</v>
      </c>
      <c r="K4" s="85" t="s">
        <v>1869</v>
      </c>
    </row>
    <row r="5" spans="1:11" ht="15" thickBot="1" x14ac:dyDescent="0.35">
      <c r="A5" s="84" t="s">
        <v>930</v>
      </c>
      <c r="B5" s="84" t="s">
        <v>936</v>
      </c>
      <c r="C5" s="85" t="s">
        <v>932</v>
      </c>
      <c r="D5" s="86" t="s">
        <v>494</v>
      </c>
      <c r="E5" s="87" t="s">
        <v>495</v>
      </c>
      <c r="F5" s="88" t="s">
        <v>495</v>
      </c>
      <c r="G5" s="89" t="s">
        <v>495</v>
      </c>
      <c r="H5" s="84" t="s">
        <v>496</v>
      </c>
      <c r="I5" s="85" t="s">
        <v>1869</v>
      </c>
      <c r="J5" s="85" t="s">
        <v>1871</v>
      </c>
      <c r="K5" s="85" t="s">
        <v>1872</v>
      </c>
    </row>
    <row r="6" spans="1:11" ht="15" thickBot="1" x14ac:dyDescent="0.35">
      <c r="A6" s="84" t="s">
        <v>930</v>
      </c>
      <c r="B6" s="84" t="s">
        <v>937</v>
      </c>
      <c r="C6" s="85" t="s">
        <v>932</v>
      </c>
      <c r="D6" s="86" t="s">
        <v>497</v>
      </c>
      <c r="E6" s="87" t="s">
        <v>495</v>
      </c>
      <c r="F6" s="88" t="s">
        <v>495</v>
      </c>
      <c r="G6" s="89" t="s">
        <v>495</v>
      </c>
      <c r="H6" s="84" t="s">
        <v>496</v>
      </c>
      <c r="I6" s="85" t="s">
        <v>1869</v>
      </c>
      <c r="J6" s="85" t="s">
        <v>1870</v>
      </c>
      <c r="K6" s="85" t="s">
        <v>1869</v>
      </c>
    </row>
    <row r="7" spans="1:11" ht="15" thickBot="1" x14ac:dyDescent="0.35">
      <c r="A7" s="84" t="s">
        <v>930</v>
      </c>
      <c r="B7" s="84" t="s">
        <v>938</v>
      </c>
      <c r="C7" s="85" t="s">
        <v>932</v>
      </c>
      <c r="D7" s="86" t="s">
        <v>530</v>
      </c>
      <c r="E7" s="87" t="s">
        <v>531</v>
      </c>
      <c r="F7" s="88" t="s">
        <v>531</v>
      </c>
      <c r="G7" s="89" t="s">
        <v>531</v>
      </c>
      <c r="H7" s="84" t="s">
        <v>532</v>
      </c>
      <c r="I7" s="85" t="s">
        <v>1869</v>
      </c>
      <c r="J7" s="85" t="s">
        <v>1870</v>
      </c>
      <c r="K7" s="85" t="s">
        <v>1869</v>
      </c>
    </row>
    <row r="8" spans="1:11" ht="15" thickBot="1" x14ac:dyDescent="0.35">
      <c r="A8" s="84" t="s">
        <v>930</v>
      </c>
      <c r="B8" s="84" t="s">
        <v>939</v>
      </c>
      <c r="C8" s="85" t="s">
        <v>932</v>
      </c>
      <c r="D8" s="86" t="s">
        <v>533</v>
      </c>
      <c r="E8" s="87" t="s">
        <v>531</v>
      </c>
      <c r="F8" s="88" t="s">
        <v>531</v>
      </c>
      <c r="G8" s="89" t="s">
        <v>531</v>
      </c>
      <c r="H8" s="84" t="s">
        <v>532</v>
      </c>
      <c r="I8" s="85" t="s">
        <v>1869</v>
      </c>
      <c r="J8" s="85" t="s">
        <v>1870</v>
      </c>
      <c r="K8" s="85" t="s">
        <v>1869</v>
      </c>
    </row>
    <row r="9" spans="1:11" ht="15" thickBot="1" x14ac:dyDescent="0.35">
      <c r="A9" s="84" t="s">
        <v>930</v>
      </c>
      <c r="B9" s="84" t="s">
        <v>940</v>
      </c>
      <c r="C9" s="85" t="s">
        <v>932</v>
      </c>
      <c r="D9" s="86" t="s">
        <v>534</v>
      </c>
      <c r="E9" s="87" t="s">
        <v>531</v>
      </c>
      <c r="F9" s="88" t="s">
        <v>531</v>
      </c>
      <c r="G9" s="89" t="s">
        <v>531</v>
      </c>
      <c r="H9" s="84" t="s">
        <v>532</v>
      </c>
      <c r="I9" s="85" t="s">
        <v>1869</v>
      </c>
      <c r="J9" s="85" t="s">
        <v>1870</v>
      </c>
      <c r="K9" s="85" t="s">
        <v>1869</v>
      </c>
    </row>
    <row r="10" spans="1:11" ht="15" thickBot="1" x14ac:dyDescent="0.35">
      <c r="A10" s="84" t="s">
        <v>930</v>
      </c>
      <c r="B10" s="84" t="s">
        <v>941</v>
      </c>
      <c r="C10" s="85" t="s">
        <v>928</v>
      </c>
      <c r="D10" s="86" t="s">
        <v>942</v>
      </c>
      <c r="E10" s="87" t="s">
        <v>943</v>
      </c>
      <c r="F10" s="88" t="s">
        <v>943</v>
      </c>
      <c r="G10" s="89" t="s">
        <v>943</v>
      </c>
      <c r="H10" s="84" t="s">
        <v>944</v>
      </c>
      <c r="I10" s="85" t="s">
        <v>1873</v>
      </c>
      <c r="J10" s="85" t="s">
        <v>1870</v>
      </c>
      <c r="K10" s="85" t="s">
        <v>1869</v>
      </c>
    </row>
    <row r="11" spans="1:11" ht="15" thickBot="1" x14ac:dyDescent="0.35">
      <c r="A11" s="84" t="s">
        <v>930</v>
      </c>
      <c r="B11" s="84" t="s">
        <v>945</v>
      </c>
      <c r="C11" s="85" t="s">
        <v>928</v>
      </c>
      <c r="D11" s="86" t="s">
        <v>946</v>
      </c>
      <c r="E11" s="87" t="s">
        <v>880</v>
      </c>
      <c r="F11" s="88" t="s">
        <v>880</v>
      </c>
      <c r="G11" s="89" t="s">
        <v>880</v>
      </c>
      <c r="H11" s="84" t="s">
        <v>881</v>
      </c>
      <c r="I11" s="85" t="s">
        <v>1874</v>
      </c>
      <c r="J11" s="85" t="s">
        <v>1870</v>
      </c>
      <c r="K11" s="85" t="s">
        <v>1869</v>
      </c>
    </row>
    <row r="12" spans="1:11" ht="15" thickBot="1" x14ac:dyDescent="0.35">
      <c r="A12" s="84" t="s">
        <v>930</v>
      </c>
      <c r="B12" s="84" t="s">
        <v>947</v>
      </c>
      <c r="C12" s="85" t="s">
        <v>932</v>
      </c>
      <c r="D12" s="86" t="s">
        <v>133</v>
      </c>
      <c r="E12" s="87" t="s">
        <v>134</v>
      </c>
      <c r="F12" s="88" t="s">
        <v>134</v>
      </c>
      <c r="G12" s="89">
        <v>10505</v>
      </c>
      <c r="H12" s="84" t="s">
        <v>1875</v>
      </c>
      <c r="I12" s="85" t="s">
        <v>1869</v>
      </c>
      <c r="J12" s="85" t="s">
        <v>1870</v>
      </c>
      <c r="K12" s="85" t="s">
        <v>1869</v>
      </c>
    </row>
    <row r="13" spans="1:11" ht="15" thickBot="1" x14ac:dyDescent="0.35">
      <c r="A13" s="84" t="s">
        <v>930</v>
      </c>
      <c r="B13" s="84" t="s">
        <v>948</v>
      </c>
      <c r="C13" s="85" t="s">
        <v>932</v>
      </c>
      <c r="D13" s="86" t="s">
        <v>136</v>
      </c>
      <c r="E13" s="87" t="s">
        <v>134</v>
      </c>
      <c r="F13" s="88" t="s">
        <v>134</v>
      </c>
      <c r="G13" s="89">
        <v>10303</v>
      </c>
      <c r="H13" s="84" t="s">
        <v>1876</v>
      </c>
      <c r="I13" s="85" t="s">
        <v>1869</v>
      </c>
      <c r="J13" s="85" t="s">
        <v>1870</v>
      </c>
      <c r="K13" s="85" t="s">
        <v>1869</v>
      </c>
    </row>
    <row r="14" spans="1:11" ht="15" thickBot="1" x14ac:dyDescent="0.35">
      <c r="A14" s="84" t="s">
        <v>930</v>
      </c>
      <c r="B14" s="84" t="s">
        <v>949</v>
      </c>
      <c r="C14" s="85" t="s">
        <v>928</v>
      </c>
      <c r="D14" s="86" t="s">
        <v>950</v>
      </c>
      <c r="E14" s="87" t="s">
        <v>680</v>
      </c>
      <c r="F14" s="88" t="s">
        <v>681</v>
      </c>
      <c r="G14" s="89" t="s">
        <v>681</v>
      </c>
      <c r="H14" s="84" t="s">
        <v>682</v>
      </c>
      <c r="I14" s="85" t="s">
        <v>1877</v>
      </c>
      <c r="J14" s="85" t="s">
        <v>1870</v>
      </c>
      <c r="K14" s="85" t="s">
        <v>1869</v>
      </c>
    </row>
    <row r="15" spans="1:11" ht="15" thickBot="1" x14ac:dyDescent="0.35">
      <c r="A15" s="84" t="s">
        <v>930</v>
      </c>
      <c r="B15" s="84" t="s">
        <v>949</v>
      </c>
      <c r="C15" s="85" t="s">
        <v>932</v>
      </c>
      <c r="D15" s="86" t="s">
        <v>911</v>
      </c>
      <c r="E15" s="87" t="s">
        <v>680</v>
      </c>
      <c r="F15" s="88" t="s">
        <v>681</v>
      </c>
      <c r="G15" s="89" t="s">
        <v>681</v>
      </c>
      <c r="H15" s="84" t="s">
        <v>682</v>
      </c>
      <c r="I15" s="85" t="s">
        <v>1869</v>
      </c>
      <c r="J15" s="85" t="s">
        <v>1870</v>
      </c>
      <c r="K15" s="85" t="s">
        <v>1869</v>
      </c>
    </row>
    <row r="16" spans="1:11" ht="15" thickBot="1" x14ac:dyDescent="0.35">
      <c r="A16" s="84" t="s">
        <v>930</v>
      </c>
      <c r="B16" s="84" t="s">
        <v>951</v>
      </c>
      <c r="C16" s="85" t="s">
        <v>932</v>
      </c>
      <c r="D16" s="86" t="s">
        <v>311</v>
      </c>
      <c r="E16" s="87" t="s">
        <v>312</v>
      </c>
      <c r="F16" s="88" t="s">
        <v>312</v>
      </c>
      <c r="G16" s="89" t="s">
        <v>312</v>
      </c>
      <c r="H16" s="84" t="s">
        <v>313</v>
      </c>
      <c r="I16" s="85" t="s">
        <v>1869</v>
      </c>
      <c r="J16" s="85" t="s">
        <v>1870</v>
      </c>
      <c r="K16" s="85" t="s">
        <v>1869</v>
      </c>
    </row>
    <row r="17" spans="1:11" ht="15" thickBot="1" x14ac:dyDescent="0.35">
      <c r="A17" s="84" t="s">
        <v>930</v>
      </c>
      <c r="B17" s="84" t="s">
        <v>952</v>
      </c>
      <c r="C17" s="85" t="s">
        <v>932</v>
      </c>
      <c r="D17" s="86" t="s">
        <v>677</v>
      </c>
      <c r="E17" s="87" t="s">
        <v>312</v>
      </c>
      <c r="F17" s="88" t="s">
        <v>312</v>
      </c>
      <c r="G17" s="89" t="s">
        <v>312</v>
      </c>
      <c r="H17" s="84" t="s">
        <v>313</v>
      </c>
      <c r="I17" s="85" t="s">
        <v>1869</v>
      </c>
      <c r="J17" s="85" t="s">
        <v>1870</v>
      </c>
      <c r="K17" s="85" t="s">
        <v>1869</v>
      </c>
    </row>
    <row r="18" spans="1:11" ht="15" thickBot="1" x14ac:dyDescent="0.35">
      <c r="A18" s="84" t="s">
        <v>930</v>
      </c>
      <c r="B18" s="84" t="s">
        <v>953</v>
      </c>
      <c r="C18" s="85" t="s">
        <v>932</v>
      </c>
      <c r="D18" s="86" t="s">
        <v>314</v>
      </c>
      <c r="E18" s="87" t="s">
        <v>312</v>
      </c>
      <c r="F18" s="88" t="s">
        <v>312</v>
      </c>
      <c r="G18" s="89" t="s">
        <v>312</v>
      </c>
      <c r="H18" s="84" t="s">
        <v>313</v>
      </c>
      <c r="I18" s="85" t="s">
        <v>1869</v>
      </c>
      <c r="J18" s="85" t="s">
        <v>1870</v>
      </c>
      <c r="K18" s="85" t="s">
        <v>1869</v>
      </c>
    </row>
    <row r="19" spans="1:11" ht="15" thickBot="1" x14ac:dyDescent="0.35">
      <c r="A19" s="84" t="s">
        <v>930</v>
      </c>
      <c r="B19" s="84" t="s">
        <v>954</v>
      </c>
      <c r="C19" s="85" t="s">
        <v>928</v>
      </c>
      <c r="D19" s="86" t="s">
        <v>955</v>
      </c>
      <c r="E19" s="87" t="s">
        <v>956</v>
      </c>
      <c r="F19" s="88" t="s">
        <v>956</v>
      </c>
      <c r="G19" s="89" t="s">
        <v>956</v>
      </c>
      <c r="H19" s="84" t="s">
        <v>957</v>
      </c>
      <c r="I19" s="85" t="s">
        <v>1878</v>
      </c>
      <c r="J19" s="85" t="s">
        <v>1870</v>
      </c>
      <c r="K19" s="85" t="s">
        <v>1869</v>
      </c>
    </row>
    <row r="20" spans="1:11" ht="15" thickBot="1" x14ac:dyDescent="0.35">
      <c r="A20" s="84" t="s">
        <v>930</v>
      </c>
      <c r="B20" s="84" t="s">
        <v>958</v>
      </c>
      <c r="C20" s="85" t="s">
        <v>928</v>
      </c>
      <c r="D20" s="86" t="s">
        <v>959</v>
      </c>
      <c r="E20" s="87" t="s">
        <v>956</v>
      </c>
      <c r="F20" s="88" t="s">
        <v>956</v>
      </c>
      <c r="G20" s="89" t="s">
        <v>956</v>
      </c>
      <c r="H20" s="84" t="s">
        <v>957</v>
      </c>
      <c r="I20" s="85" t="s">
        <v>1879</v>
      </c>
      <c r="J20" s="85" t="s">
        <v>1870</v>
      </c>
      <c r="K20" s="85" t="s">
        <v>1869</v>
      </c>
    </row>
    <row r="21" spans="1:11" ht="15" thickBot="1" x14ac:dyDescent="0.35">
      <c r="A21" s="84" t="s">
        <v>930</v>
      </c>
      <c r="B21" s="84" t="s">
        <v>960</v>
      </c>
      <c r="C21" s="85" t="s">
        <v>928</v>
      </c>
      <c r="D21" s="86" t="s">
        <v>961</v>
      </c>
      <c r="E21" s="87" t="s">
        <v>956</v>
      </c>
      <c r="F21" s="88" t="s">
        <v>956</v>
      </c>
      <c r="G21" s="89" t="s">
        <v>956</v>
      </c>
      <c r="H21" s="84" t="s">
        <v>957</v>
      </c>
      <c r="I21" s="85" t="s">
        <v>1880</v>
      </c>
      <c r="J21" s="85" t="s">
        <v>1870</v>
      </c>
      <c r="K21" s="85" t="s">
        <v>1869</v>
      </c>
    </row>
    <row r="22" spans="1:11" ht="15" thickBot="1" x14ac:dyDescent="0.35">
      <c r="A22" s="84" t="s">
        <v>930</v>
      </c>
      <c r="B22" s="84" t="s">
        <v>962</v>
      </c>
      <c r="C22" s="85" t="s">
        <v>963</v>
      </c>
      <c r="D22" s="86" t="s">
        <v>875</v>
      </c>
      <c r="E22" s="87" t="s">
        <v>876</v>
      </c>
      <c r="F22" s="88" t="s">
        <v>876</v>
      </c>
      <c r="G22" s="89" t="s">
        <v>876</v>
      </c>
      <c r="H22" s="84" t="s">
        <v>877</v>
      </c>
      <c r="I22" s="85" t="s">
        <v>1869</v>
      </c>
      <c r="J22" s="85" t="s">
        <v>1870</v>
      </c>
      <c r="K22" s="85" t="s">
        <v>1869</v>
      </c>
    </row>
    <row r="23" spans="1:11" ht="15" thickBot="1" x14ac:dyDescent="0.35">
      <c r="A23" s="84" t="s">
        <v>930</v>
      </c>
      <c r="B23" s="84" t="s">
        <v>964</v>
      </c>
      <c r="C23" s="85" t="s">
        <v>963</v>
      </c>
      <c r="D23" s="86" t="s">
        <v>523</v>
      </c>
      <c r="E23" s="87" t="s">
        <v>492</v>
      </c>
      <c r="F23" s="88" t="s">
        <v>492</v>
      </c>
      <c r="G23" s="89" t="s">
        <v>492</v>
      </c>
      <c r="H23" s="84" t="s">
        <v>493</v>
      </c>
      <c r="I23" s="85" t="s">
        <v>1869</v>
      </c>
      <c r="J23" s="85" t="s">
        <v>1870</v>
      </c>
      <c r="K23" s="85" t="s">
        <v>1869</v>
      </c>
    </row>
    <row r="24" spans="1:11" ht="15" thickBot="1" x14ac:dyDescent="0.35">
      <c r="A24" s="84" t="s">
        <v>930</v>
      </c>
      <c r="B24" s="84" t="s">
        <v>965</v>
      </c>
      <c r="C24" s="85" t="s">
        <v>963</v>
      </c>
      <c r="D24" s="86" t="s">
        <v>878</v>
      </c>
      <c r="E24" s="87" t="s">
        <v>860</v>
      </c>
      <c r="F24" s="88" t="s">
        <v>860</v>
      </c>
      <c r="G24" s="89" t="s">
        <v>860</v>
      </c>
      <c r="H24" s="84" t="s">
        <v>861</v>
      </c>
      <c r="I24" s="85" t="s">
        <v>1869</v>
      </c>
      <c r="J24" s="85" t="s">
        <v>1870</v>
      </c>
      <c r="K24" s="85" t="s">
        <v>1869</v>
      </c>
    </row>
    <row r="25" spans="1:11" ht="15" thickBot="1" x14ac:dyDescent="0.35">
      <c r="A25" s="84" t="s">
        <v>930</v>
      </c>
      <c r="B25" s="84" t="s">
        <v>966</v>
      </c>
      <c r="C25" s="85" t="s">
        <v>963</v>
      </c>
      <c r="D25" s="86" t="s">
        <v>524</v>
      </c>
      <c r="E25" s="87" t="s">
        <v>495</v>
      </c>
      <c r="F25" s="88" t="s">
        <v>495</v>
      </c>
      <c r="G25" s="89" t="s">
        <v>495</v>
      </c>
      <c r="H25" s="84" t="s">
        <v>496</v>
      </c>
      <c r="I25" s="85" t="s">
        <v>1869</v>
      </c>
      <c r="J25" s="85" t="s">
        <v>1870</v>
      </c>
      <c r="K25" s="85" t="s">
        <v>1869</v>
      </c>
    </row>
    <row r="26" spans="1:11" ht="15" thickBot="1" x14ac:dyDescent="0.35">
      <c r="A26" s="84" t="s">
        <v>930</v>
      </c>
      <c r="B26" s="84" t="s">
        <v>967</v>
      </c>
      <c r="C26" s="85" t="s">
        <v>963</v>
      </c>
      <c r="D26" s="86" t="s">
        <v>579</v>
      </c>
      <c r="E26" s="87" t="s">
        <v>531</v>
      </c>
      <c r="F26" s="88" t="s">
        <v>531</v>
      </c>
      <c r="G26" s="89" t="s">
        <v>531</v>
      </c>
      <c r="H26" s="84" t="s">
        <v>532</v>
      </c>
      <c r="I26" s="85" t="s">
        <v>1869</v>
      </c>
      <c r="J26" s="85" t="s">
        <v>1870</v>
      </c>
      <c r="K26" s="85" t="s">
        <v>1869</v>
      </c>
    </row>
    <row r="27" spans="1:11" ht="15" thickBot="1" x14ac:dyDescent="0.35">
      <c r="A27" s="84" t="s">
        <v>930</v>
      </c>
      <c r="B27" s="84" t="s">
        <v>968</v>
      </c>
      <c r="C27" s="85" t="s">
        <v>963</v>
      </c>
      <c r="D27" s="86" t="s">
        <v>879</v>
      </c>
      <c r="E27" s="87" t="s">
        <v>880</v>
      </c>
      <c r="F27" s="88" t="s">
        <v>880</v>
      </c>
      <c r="G27" s="89" t="s">
        <v>880</v>
      </c>
      <c r="H27" s="84" t="s">
        <v>881</v>
      </c>
      <c r="I27" s="85" t="s">
        <v>1869</v>
      </c>
      <c r="J27" s="85" t="s">
        <v>1870</v>
      </c>
      <c r="K27" s="85" t="s">
        <v>1869</v>
      </c>
    </row>
    <row r="28" spans="1:11" ht="15" thickBot="1" x14ac:dyDescent="0.35">
      <c r="A28" s="84" t="s">
        <v>930</v>
      </c>
      <c r="B28" s="84" t="s">
        <v>969</v>
      </c>
      <c r="C28" s="85" t="s">
        <v>963</v>
      </c>
      <c r="D28" s="86" t="s">
        <v>650</v>
      </c>
      <c r="E28" s="87" t="s">
        <v>651</v>
      </c>
      <c r="F28" s="88" t="s">
        <v>651</v>
      </c>
      <c r="G28" s="89" t="s">
        <v>651</v>
      </c>
      <c r="H28" s="84" t="s">
        <v>652</v>
      </c>
      <c r="I28" s="85" t="s">
        <v>1869</v>
      </c>
      <c r="J28" s="85" t="s">
        <v>1870</v>
      </c>
      <c r="K28" s="85" t="s">
        <v>1869</v>
      </c>
    </row>
    <row r="29" spans="1:11" ht="15" thickBot="1" x14ac:dyDescent="0.35">
      <c r="A29" s="84" t="s">
        <v>930</v>
      </c>
      <c r="B29" s="84" t="s">
        <v>970</v>
      </c>
      <c r="C29" s="85" t="s">
        <v>963</v>
      </c>
      <c r="D29" s="86" t="s">
        <v>609</v>
      </c>
      <c r="E29" s="87" t="s">
        <v>610</v>
      </c>
      <c r="F29" s="88" t="s">
        <v>610</v>
      </c>
      <c r="G29" s="89" t="s">
        <v>610</v>
      </c>
      <c r="H29" s="84" t="s">
        <v>611</v>
      </c>
      <c r="I29" s="85" t="s">
        <v>1869</v>
      </c>
      <c r="J29" s="85" t="s">
        <v>1870</v>
      </c>
      <c r="K29" s="85" t="s">
        <v>1869</v>
      </c>
    </row>
    <row r="30" spans="1:11" ht="15" thickBot="1" x14ac:dyDescent="0.35">
      <c r="A30" s="84" t="s">
        <v>930</v>
      </c>
      <c r="B30" s="84" t="s">
        <v>971</v>
      </c>
      <c r="C30" s="85" t="s">
        <v>963</v>
      </c>
      <c r="D30" s="86" t="s">
        <v>165</v>
      </c>
      <c r="E30" s="87" t="s">
        <v>134</v>
      </c>
      <c r="F30" s="88" t="s">
        <v>134</v>
      </c>
      <c r="G30" s="89" t="s">
        <v>134</v>
      </c>
      <c r="H30" s="84" t="s">
        <v>135</v>
      </c>
      <c r="I30" s="85" t="s">
        <v>1869</v>
      </c>
      <c r="J30" s="85" t="s">
        <v>1881</v>
      </c>
      <c r="K30" s="85" t="s">
        <v>1872</v>
      </c>
    </row>
    <row r="31" spans="1:11" ht="15" thickBot="1" x14ac:dyDescent="0.35">
      <c r="A31" s="84" t="s">
        <v>930</v>
      </c>
      <c r="B31" s="84" t="s">
        <v>972</v>
      </c>
      <c r="C31" s="85" t="s">
        <v>963</v>
      </c>
      <c r="D31" s="86" t="s">
        <v>679</v>
      </c>
      <c r="E31" s="87" t="s">
        <v>680</v>
      </c>
      <c r="F31" s="88" t="s">
        <v>681</v>
      </c>
      <c r="G31" s="89" t="s">
        <v>681</v>
      </c>
      <c r="H31" s="84" t="s">
        <v>682</v>
      </c>
      <c r="I31" s="85" t="s">
        <v>1869</v>
      </c>
      <c r="J31" s="85" t="s">
        <v>1870</v>
      </c>
      <c r="K31" s="85" t="s">
        <v>1869</v>
      </c>
    </row>
    <row r="32" spans="1:11" ht="15" thickBot="1" x14ac:dyDescent="0.35">
      <c r="A32" s="84" t="s">
        <v>930</v>
      </c>
      <c r="B32" s="84" t="s">
        <v>973</v>
      </c>
      <c r="C32" s="85" t="s">
        <v>963</v>
      </c>
      <c r="D32" s="86" t="s">
        <v>372</v>
      </c>
      <c r="E32" s="87" t="s">
        <v>312</v>
      </c>
      <c r="F32" s="88" t="s">
        <v>312</v>
      </c>
      <c r="G32" s="89" t="s">
        <v>312</v>
      </c>
      <c r="H32" s="84" t="s">
        <v>313</v>
      </c>
      <c r="I32" s="85" t="s">
        <v>1869</v>
      </c>
      <c r="J32" s="85" t="s">
        <v>1870</v>
      </c>
      <c r="K32" s="85" t="s">
        <v>1869</v>
      </c>
    </row>
    <row r="33" spans="1:11" ht="15" thickBot="1" x14ac:dyDescent="0.35">
      <c r="A33" s="84" t="s">
        <v>974</v>
      </c>
      <c r="B33" s="84" t="s">
        <v>975</v>
      </c>
      <c r="C33" s="85" t="s">
        <v>976</v>
      </c>
      <c r="D33" s="86" t="s">
        <v>866</v>
      </c>
      <c r="E33" s="87" t="s">
        <v>249</v>
      </c>
      <c r="F33" s="88" t="s">
        <v>249</v>
      </c>
      <c r="G33" s="89" t="s">
        <v>249</v>
      </c>
      <c r="H33" s="84" t="s">
        <v>250</v>
      </c>
      <c r="I33" s="85" t="s">
        <v>1869</v>
      </c>
      <c r="J33" s="85" t="s">
        <v>1870</v>
      </c>
      <c r="K33" s="85" t="s">
        <v>1869</v>
      </c>
    </row>
    <row r="34" spans="1:11" ht="15" thickBot="1" x14ac:dyDescent="0.35">
      <c r="A34" s="84" t="s">
        <v>974</v>
      </c>
      <c r="B34" s="84" t="s">
        <v>977</v>
      </c>
      <c r="C34" s="85" t="s">
        <v>932</v>
      </c>
      <c r="D34" s="86" t="s">
        <v>867</v>
      </c>
      <c r="E34" s="87" t="s">
        <v>249</v>
      </c>
      <c r="F34" s="88" t="s">
        <v>249</v>
      </c>
      <c r="G34" s="89" t="s">
        <v>249</v>
      </c>
      <c r="H34" s="84" t="s">
        <v>250</v>
      </c>
      <c r="I34" s="85" t="s">
        <v>1869</v>
      </c>
      <c r="J34" s="85" t="s">
        <v>1870</v>
      </c>
      <c r="K34" s="85" t="s">
        <v>1869</v>
      </c>
    </row>
    <row r="35" spans="1:11" ht="15" thickBot="1" x14ac:dyDescent="0.35">
      <c r="A35" s="84" t="s">
        <v>974</v>
      </c>
      <c r="B35" s="84" t="s">
        <v>978</v>
      </c>
      <c r="C35" s="85" t="s">
        <v>932</v>
      </c>
      <c r="D35" s="86" t="s">
        <v>868</v>
      </c>
      <c r="E35" s="87" t="s">
        <v>249</v>
      </c>
      <c r="F35" s="88" t="s">
        <v>249</v>
      </c>
      <c r="G35" s="89" t="s">
        <v>249</v>
      </c>
      <c r="H35" s="84" t="s">
        <v>250</v>
      </c>
      <c r="I35" s="85" t="s">
        <v>1869</v>
      </c>
      <c r="J35" s="85" t="s">
        <v>1870</v>
      </c>
      <c r="K35" s="85" t="s">
        <v>1869</v>
      </c>
    </row>
    <row r="36" spans="1:11" ht="15" thickBot="1" x14ac:dyDescent="0.35">
      <c r="A36" s="84" t="s">
        <v>974</v>
      </c>
      <c r="B36" s="84" t="s">
        <v>979</v>
      </c>
      <c r="C36" s="85" t="s">
        <v>928</v>
      </c>
      <c r="D36" s="86" t="s">
        <v>251</v>
      </c>
      <c r="E36" s="87" t="s">
        <v>249</v>
      </c>
      <c r="F36" s="88" t="s">
        <v>249</v>
      </c>
      <c r="G36" s="89" t="s">
        <v>249</v>
      </c>
      <c r="H36" s="84" t="s">
        <v>250</v>
      </c>
      <c r="I36" s="85" t="s">
        <v>1882</v>
      </c>
      <c r="J36" s="85" t="s">
        <v>1870</v>
      </c>
      <c r="K36" s="85" t="s">
        <v>1869</v>
      </c>
    </row>
    <row r="37" spans="1:11" ht="15" thickBot="1" x14ac:dyDescent="0.35">
      <c r="A37" s="84" t="s">
        <v>974</v>
      </c>
      <c r="B37" s="84" t="s">
        <v>980</v>
      </c>
      <c r="C37" s="85" t="s">
        <v>928</v>
      </c>
      <c r="D37" s="86" t="s">
        <v>248</v>
      </c>
      <c r="E37" s="87" t="s">
        <v>249</v>
      </c>
      <c r="F37" s="88" t="s">
        <v>249</v>
      </c>
      <c r="G37" s="89" t="s">
        <v>249</v>
      </c>
      <c r="H37" s="84" t="s">
        <v>250</v>
      </c>
      <c r="I37" s="85" t="s">
        <v>1883</v>
      </c>
      <c r="J37" s="85" t="s">
        <v>1870</v>
      </c>
      <c r="K37" s="85" t="s">
        <v>1869</v>
      </c>
    </row>
    <row r="38" spans="1:11" ht="15" thickBot="1" x14ac:dyDescent="0.35">
      <c r="A38" s="84" t="s">
        <v>974</v>
      </c>
      <c r="B38" s="84" t="s">
        <v>981</v>
      </c>
      <c r="C38" s="85" t="s">
        <v>928</v>
      </c>
      <c r="D38" s="86" t="s">
        <v>982</v>
      </c>
      <c r="E38" s="87" t="s">
        <v>249</v>
      </c>
      <c r="F38" s="88" t="s">
        <v>249</v>
      </c>
      <c r="G38" s="89" t="s">
        <v>249</v>
      </c>
      <c r="H38" s="84" t="s">
        <v>250</v>
      </c>
      <c r="I38" s="85" t="s">
        <v>1884</v>
      </c>
      <c r="J38" s="85" t="s">
        <v>1870</v>
      </c>
      <c r="K38" s="85" t="s">
        <v>1869</v>
      </c>
    </row>
    <row r="39" spans="1:11" ht="15" thickBot="1" x14ac:dyDescent="0.35">
      <c r="A39" s="84" t="s">
        <v>974</v>
      </c>
      <c r="B39" s="84" t="s">
        <v>983</v>
      </c>
      <c r="C39" s="85" t="s">
        <v>932</v>
      </c>
      <c r="D39" s="86" t="s">
        <v>564</v>
      </c>
      <c r="E39" s="87" t="s">
        <v>359</v>
      </c>
      <c r="F39" s="88" t="s">
        <v>359</v>
      </c>
      <c r="G39" s="89" t="s">
        <v>359</v>
      </c>
      <c r="H39" s="84" t="s">
        <v>360</v>
      </c>
      <c r="I39" s="85" t="s">
        <v>1869</v>
      </c>
      <c r="J39" s="85" t="s">
        <v>1870</v>
      </c>
      <c r="K39" s="85" t="s">
        <v>1869</v>
      </c>
    </row>
    <row r="40" spans="1:11" ht="15" thickBot="1" x14ac:dyDescent="0.35">
      <c r="A40" s="84" t="s">
        <v>974</v>
      </c>
      <c r="B40" s="84" t="s">
        <v>984</v>
      </c>
      <c r="C40" s="85" t="s">
        <v>928</v>
      </c>
      <c r="D40" s="86" t="s">
        <v>985</v>
      </c>
      <c r="E40" s="87" t="s">
        <v>260</v>
      </c>
      <c r="F40" s="88" t="s">
        <v>260</v>
      </c>
      <c r="G40" s="89" t="s">
        <v>260</v>
      </c>
      <c r="H40" s="84" t="s">
        <v>261</v>
      </c>
      <c r="I40" s="85" t="s">
        <v>1885</v>
      </c>
      <c r="J40" s="85" t="s">
        <v>1870</v>
      </c>
      <c r="K40" s="85" t="s">
        <v>1869</v>
      </c>
    </row>
    <row r="41" spans="1:11" ht="15" thickBot="1" x14ac:dyDescent="0.35">
      <c r="A41" s="84" t="s">
        <v>974</v>
      </c>
      <c r="B41" s="84" t="s">
        <v>986</v>
      </c>
      <c r="C41" s="85" t="s">
        <v>932</v>
      </c>
      <c r="D41" s="86" t="s">
        <v>259</v>
      </c>
      <c r="E41" s="87" t="s">
        <v>260</v>
      </c>
      <c r="F41" s="88" t="s">
        <v>260</v>
      </c>
      <c r="G41" s="89">
        <v>151302</v>
      </c>
      <c r="H41" s="84" t="s">
        <v>1886</v>
      </c>
      <c r="I41" s="85" t="s">
        <v>1869</v>
      </c>
      <c r="J41" s="85" t="s">
        <v>1870</v>
      </c>
      <c r="K41" s="85" t="s">
        <v>1869</v>
      </c>
    </row>
    <row r="42" spans="1:11" ht="15" thickBot="1" x14ac:dyDescent="0.35">
      <c r="A42" s="84" t="s">
        <v>974</v>
      </c>
      <c r="B42" s="84" t="s">
        <v>987</v>
      </c>
      <c r="C42" s="85" t="s">
        <v>928</v>
      </c>
      <c r="D42" s="86" t="s">
        <v>988</v>
      </c>
      <c r="E42" s="87" t="s">
        <v>260</v>
      </c>
      <c r="F42" s="88" t="s">
        <v>260</v>
      </c>
      <c r="G42" s="89">
        <v>151302</v>
      </c>
      <c r="H42" s="84" t="s">
        <v>1887</v>
      </c>
      <c r="I42" s="85" t="s">
        <v>1888</v>
      </c>
      <c r="J42" s="85" t="s">
        <v>1870</v>
      </c>
      <c r="K42" s="85" t="s">
        <v>1869</v>
      </c>
    </row>
    <row r="43" spans="1:11" ht="15" thickBot="1" x14ac:dyDescent="0.35">
      <c r="A43" s="84" t="s">
        <v>974</v>
      </c>
      <c r="B43" s="84" t="s">
        <v>989</v>
      </c>
      <c r="C43" s="85" t="s">
        <v>932</v>
      </c>
      <c r="D43" s="86" t="s">
        <v>262</v>
      </c>
      <c r="E43" s="87" t="s">
        <v>263</v>
      </c>
      <c r="F43" s="88" t="s">
        <v>263</v>
      </c>
      <c r="G43" s="89" t="s">
        <v>263</v>
      </c>
      <c r="H43" s="84" t="s">
        <v>264</v>
      </c>
      <c r="I43" s="85" t="s">
        <v>1869</v>
      </c>
      <c r="J43" s="85" t="s">
        <v>1870</v>
      </c>
      <c r="K43" s="85" t="s">
        <v>1869</v>
      </c>
    </row>
    <row r="44" spans="1:11" ht="15" thickBot="1" x14ac:dyDescent="0.35">
      <c r="A44" s="84" t="s">
        <v>974</v>
      </c>
      <c r="B44" s="84" t="s">
        <v>990</v>
      </c>
      <c r="C44" s="85" t="s">
        <v>932</v>
      </c>
      <c r="D44" s="86" t="s">
        <v>673</v>
      </c>
      <c r="E44" s="87" t="s">
        <v>674</v>
      </c>
      <c r="F44" s="88" t="s">
        <v>674</v>
      </c>
      <c r="G44" s="89" t="s">
        <v>674</v>
      </c>
      <c r="H44" s="84" t="s">
        <v>675</v>
      </c>
      <c r="I44" s="85" t="s">
        <v>1869</v>
      </c>
      <c r="J44" s="85" t="s">
        <v>1870</v>
      </c>
      <c r="K44" s="85" t="s">
        <v>1869</v>
      </c>
    </row>
    <row r="45" spans="1:11" ht="15" thickBot="1" x14ac:dyDescent="0.35">
      <c r="A45" s="84" t="s">
        <v>974</v>
      </c>
      <c r="B45" s="84" t="s">
        <v>991</v>
      </c>
      <c r="C45" s="85" t="s">
        <v>928</v>
      </c>
      <c r="D45" s="86" t="s">
        <v>992</v>
      </c>
      <c r="E45" s="87" t="s">
        <v>993</v>
      </c>
      <c r="F45" s="88" t="s">
        <v>993</v>
      </c>
      <c r="G45" s="89" t="s">
        <v>993</v>
      </c>
      <c r="H45" s="84" t="s">
        <v>994</v>
      </c>
      <c r="I45" s="85" t="s">
        <v>1889</v>
      </c>
      <c r="J45" s="85" t="s">
        <v>1870</v>
      </c>
      <c r="K45" s="85" t="s">
        <v>1869</v>
      </c>
    </row>
    <row r="46" spans="1:11" ht="15" thickBot="1" x14ac:dyDescent="0.35">
      <c r="A46" s="84" t="s">
        <v>974</v>
      </c>
      <c r="B46" s="84" t="s">
        <v>995</v>
      </c>
      <c r="C46" s="85" t="s">
        <v>928</v>
      </c>
      <c r="D46" s="86" t="s">
        <v>996</v>
      </c>
      <c r="E46" s="87" t="s">
        <v>722</v>
      </c>
      <c r="F46" s="88" t="s">
        <v>722</v>
      </c>
      <c r="G46" s="89" t="s">
        <v>722</v>
      </c>
      <c r="H46" s="84" t="s">
        <v>723</v>
      </c>
      <c r="I46" s="85" t="s">
        <v>1869</v>
      </c>
      <c r="J46" s="85" t="s">
        <v>1870</v>
      </c>
      <c r="K46" s="85" t="s">
        <v>1869</v>
      </c>
    </row>
    <row r="47" spans="1:11" ht="15" thickBot="1" x14ac:dyDescent="0.35">
      <c r="A47" s="84" t="s">
        <v>974</v>
      </c>
      <c r="B47" s="84" t="s">
        <v>995</v>
      </c>
      <c r="C47" s="85" t="s">
        <v>928</v>
      </c>
      <c r="D47" s="86" t="s">
        <v>721</v>
      </c>
      <c r="E47" s="87" t="s">
        <v>722</v>
      </c>
      <c r="F47" s="88" t="s">
        <v>722</v>
      </c>
      <c r="G47" s="89" t="s">
        <v>722</v>
      </c>
      <c r="H47" s="84" t="s">
        <v>723</v>
      </c>
      <c r="I47" s="85" t="s">
        <v>1890</v>
      </c>
      <c r="J47" s="85" t="s">
        <v>1870</v>
      </c>
      <c r="K47" s="85" t="s">
        <v>1869</v>
      </c>
    </row>
    <row r="48" spans="1:11" ht="15" thickBot="1" x14ac:dyDescent="0.35">
      <c r="A48" s="84" t="s">
        <v>974</v>
      </c>
      <c r="B48" s="84" t="s">
        <v>997</v>
      </c>
      <c r="C48" s="85" t="s">
        <v>928</v>
      </c>
      <c r="D48" s="86" t="s">
        <v>272</v>
      </c>
      <c r="E48" s="87" t="s">
        <v>273</v>
      </c>
      <c r="F48" s="88" t="s">
        <v>273</v>
      </c>
      <c r="G48" s="89" t="s">
        <v>273</v>
      </c>
      <c r="H48" s="84" t="s">
        <v>274</v>
      </c>
      <c r="I48" s="85" t="s">
        <v>1891</v>
      </c>
      <c r="J48" s="85" t="s">
        <v>1870</v>
      </c>
      <c r="K48" s="85" t="s">
        <v>1869</v>
      </c>
    </row>
    <row r="49" spans="1:11" ht="15" thickBot="1" x14ac:dyDescent="0.35">
      <c r="A49" s="84" t="s">
        <v>974</v>
      </c>
      <c r="B49" s="84" t="s">
        <v>998</v>
      </c>
      <c r="C49" s="85" t="s">
        <v>928</v>
      </c>
      <c r="D49" s="86" t="s">
        <v>999</v>
      </c>
      <c r="E49" s="87" t="s">
        <v>273</v>
      </c>
      <c r="F49" s="88" t="s">
        <v>273</v>
      </c>
      <c r="G49" s="89" t="s">
        <v>273</v>
      </c>
      <c r="H49" s="84" t="s">
        <v>274</v>
      </c>
      <c r="I49" s="85" t="s">
        <v>1892</v>
      </c>
      <c r="J49" s="85" t="s">
        <v>1870</v>
      </c>
      <c r="K49" s="85" t="s">
        <v>1869</v>
      </c>
    </row>
    <row r="50" spans="1:11" ht="15" thickBot="1" x14ac:dyDescent="0.35">
      <c r="A50" s="84" t="s">
        <v>974</v>
      </c>
      <c r="B50" s="84" t="s">
        <v>1000</v>
      </c>
      <c r="C50" s="85" t="s">
        <v>928</v>
      </c>
      <c r="D50" s="86" t="s">
        <v>1001</v>
      </c>
      <c r="E50" s="87" t="s">
        <v>1002</v>
      </c>
      <c r="F50" s="88" t="s">
        <v>1002</v>
      </c>
      <c r="G50" s="89" t="s">
        <v>1002</v>
      </c>
      <c r="H50" s="84" t="s">
        <v>1003</v>
      </c>
      <c r="I50" s="85" t="s">
        <v>1869</v>
      </c>
      <c r="J50" s="85" t="s">
        <v>1870</v>
      </c>
      <c r="K50" s="85" t="s">
        <v>1869</v>
      </c>
    </row>
    <row r="51" spans="1:11" ht="15" thickBot="1" x14ac:dyDescent="0.35">
      <c r="A51" s="84" t="s">
        <v>974</v>
      </c>
      <c r="B51" s="84" t="s">
        <v>1004</v>
      </c>
      <c r="C51" s="85" t="s">
        <v>928</v>
      </c>
      <c r="D51" s="86" t="s">
        <v>1005</v>
      </c>
      <c r="E51" s="87" t="s">
        <v>441</v>
      </c>
      <c r="F51" s="88" t="s">
        <v>441</v>
      </c>
      <c r="G51" s="89" t="s">
        <v>441</v>
      </c>
      <c r="H51" s="84" t="s">
        <v>442</v>
      </c>
      <c r="I51" s="85" t="s">
        <v>1893</v>
      </c>
      <c r="J51" s="85" t="s">
        <v>1870</v>
      </c>
      <c r="K51" s="85" t="s">
        <v>1869</v>
      </c>
    </row>
    <row r="52" spans="1:11" ht="15" thickBot="1" x14ac:dyDescent="0.35">
      <c r="A52" s="84" t="s">
        <v>974</v>
      </c>
      <c r="B52" s="84" t="s">
        <v>1006</v>
      </c>
      <c r="C52" s="85" t="s">
        <v>928</v>
      </c>
      <c r="D52" s="86" t="s">
        <v>440</v>
      </c>
      <c r="E52" s="87" t="s">
        <v>441</v>
      </c>
      <c r="F52" s="88" t="s">
        <v>441</v>
      </c>
      <c r="G52" s="89" t="s">
        <v>441</v>
      </c>
      <c r="H52" s="84" t="s">
        <v>442</v>
      </c>
      <c r="I52" s="85" t="s">
        <v>1894</v>
      </c>
      <c r="J52" s="85" t="s">
        <v>1870</v>
      </c>
      <c r="K52" s="85" t="s">
        <v>1869</v>
      </c>
    </row>
    <row r="53" spans="1:11" ht="15" thickBot="1" x14ac:dyDescent="0.35">
      <c r="A53" s="84" t="s">
        <v>974</v>
      </c>
      <c r="B53" s="84" t="s">
        <v>1007</v>
      </c>
      <c r="C53" s="85" t="s">
        <v>928</v>
      </c>
      <c r="D53" s="86" t="s">
        <v>1008</v>
      </c>
      <c r="E53" s="87" t="s">
        <v>635</v>
      </c>
      <c r="F53" s="88" t="s">
        <v>635</v>
      </c>
      <c r="G53" s="89">
        <v>460502</v>
      </c>
      <c r="H53" s="84" t="s">
        <v>1895</v>
      </c>
      <c r="I53" s="85" t="s">
        <v>1896</v>
      </c>
      <c r="J53" s="85" t="s">
        <v>1870</v>
      </c>
      <c r="K53" s="85" t="s">
        <v>1869</v>
      </c>
    </row>
    <row r="54" spans="1:11" ht="15" thickBot="1" x14ac:dyDescent="0.35">
      <c r="A54" s="84" t="s">
        <v>974</v>
      </c>
      <c r="B54" s="84" t="s">
        <v>1009</v>
      </c>
      <c r="C54" s="85" t="s">
        <v>928</v>
      </c>
      <c r="D54" s="86" t="s">
        <v>1010</v>
      </c>
      <c r="E54" s="87" t="s">
        <v>635</v>
      </c>
      <c r="F54" s="88" t="s">
        <v>635</v>
      </c>
      <c r="G54" s="89" t="s">
        <v>635</v>
      </c>
      <c r="H54" s="84" t="s">
        <v>636</v>
      </c>
      <c r="I54" s="85" t="s">
        <v>1869</v>
      </c>
      <c r="J54" s="85" t="s">
        <v>1870</v>
      </c>
      <c r="K54" s="85" t="s">
        <v>1869</v>
      </c>
    </row>
    <row r="55" spans="1:11" ht="15" thickBot="1" x14ac:dyDescent="0.35">
      <c r="A55" s="84" t="s">
        <v>974</v>
      </c>
      <c r="B55" s="84" t="s">
        <v>1009</v>
      </c>
      <c r="C55" s="85" t="s">
        <v>928</v>
      </c>
      <c r="D55" s="86" t="s">
        <v>634</v>
      </c>
      <c r="E55" s="87" t="s">
        <v>635</v>
      </c>
      <c r="F55" s="88" t="s">
        <v>635</v>
      </c>
      <c r="G55" s="89" t="s">
        <v>635</v>
      </c>
      <c r="H55" s="84" t="s">
        <v>636</v>
      </c>
      <c r="I55" s="85" t="s">
        <v>1897</v>
      </c>
      <c r="J55" s="85" t="s">
        <v>1870</v>
      </c>
      <c r="K55" s="85" t="s">
        <v>1869</v>
      </c>
    </row>
    <row r="56" spans="1:11" ht="15" thickBot="1" x14ac:dyDescent="0.35">
      <c r="A56" s="84" t="s">
        <v>974</v>
      </c>
      <c r="B56" s="84" t="s">
        <v>1011</v>
      </c>
      <c r="C56" s="85" t="s">
        <v>928</v>
      </c>
      <c r="D56" s="86" t="s">
        <v>782</v>
      </c>
      <c r="E56" s="87" t="s">
        <v>783</v>
      </c>
      <c r="F56" s="88" t="s">
        <v>783</v>
      </c>
      <c r="G56" s="89" t="s">
        <v>783</v>
      </c>
      <c r="H56" s="84" t="s">
        <v>784</v>
      </c>
      <c r="I56" s="85" t="s">
        <v>1898</v>
      </c>
      <c r="J56" s="85" t="s">
        <v>1870</v>
      </c>
      <c r="K56" s="85" t="s">
        <v>1869</v>
      </c>
    </row>
    <row r="57" spans="1:11" ht="15" thickBot="1" x14ac:dyDescent="0.35">
      <c r="A57" s="84" t="s">
        <v>974</v>
      </c>
      <c r="B57" s="84" t="s">
        <v>1012</v>
      </c>
      <c r="C57" s="85" t="s">
        <v>928</v>
      </c>
      <c r="D57" s="86" t="s">
        <v>275</v>
      </c>
      <c r="E57" s="87" t="s">
        <v>276</v>
      </c>
      <c r="F57" s="88" t="s">
        <v>276</v>
      </c>
      <c r="G57" s="89" t="s">
        <v>276</v>
      </c>
      <c r="H57" s="84" t="s">
        <v>277</v>
      </c>
      <c r="I57" s="85" t="s">
        <v>1899</v>
      </c>
      <c r="J57" s="85" t="s">
        <v>1871</v>
      </c>
      <c r="K57" s="85" t="s">
        <v>1872</v>
      </c>
    </row>
    <row r="58" spans="1:11" ht="15" thickBot="1" x14ac:dyDescent="0.35">
      <c r="A58" s="84" t="s">
        <v>974</v>
      </c>
      <c r="B58" s="84" t="s">
        <v>1013</v>
      </c>
      <c r="C58" s="85" t="s">
        <v>928</v>
      </c>
      <c r="D58" s="86" t="s">
        <v>278</v>
      </c>
      <c r="E58" s="87" t="s">
        <v>276</v>
      </c>
      <c r="F58" s="88" t="s">
        <v>276</v>
      </c>
      <c r="G58" s="89" t="s">
        <v>276</v>
      </c>
      <c r="H58" s="84" t="s">
        <v>277</v>
      </c>
      <c r="I58" s="85" t="s">
        <v>1900</v>
      </c>
      <c r="J58" s="85" t="s">
        <v>1871</v>
      </c>
      <c r="K58" s="85" t="s">
        <v>1872</v>
      </c>
    </row>
    <row r="59" spans="1:11" ht="15" thickBot="1" x14ac:dyDescent="0.35">
      <c r="A59" s="84" t="s">
        <v>974</v>
      </c>
      <c r="B59" s="84" t="s">
        <v>1014</v>
      </c>
      <c r="C59" s="85" t="s">
        <v>928</v>
      </c>
      <c r="D59" s="86" t="s">
        <v>637</v>
      </c>
      <c r="E59" s="87" t="s">
        <v>276</v>
      </c>
      <c r="F59" s="88" t="s">
        <v>276</v>
      </c>
      <c r="G59" s="89" t="s">
        <v>276</v>
      </c>
      <c r="H59" s="84" t="s">
        <v>277</v>
      </c>
      <c r="I59" s="85" t="s">
        <v>1901</v>
      </c>
      <c r="J59" s="85" t="s">
        <v>1871</v>
      </c>
      <c r="K59" s="85" t="s">
        <v>1872</v>
      </c>
    </row>
    <row r="60" spans="1:11" ht="15" thickBot="1" x14ac:dyDescent="0.35">
      <c r="A60" s="84" t="s">
        <v>974</v>
      </c>
      <c r="B60" s="84" t="s">
        <v>1015</v>
      </c>
      <c r="C60" s="85" t="s">
        <v>928</v>
      </c>
      <c r="D60" s="86" t="s">
        <v>1016</v>
      </c>
      <c r="E60" s="87" t="s">
        <v>1017</v>
      </c>
      <c r="F60" s="88" t="s">
        <v>1017</v>
      </c>
      <c r="G60" s="89" t="s">
        <v>1017</v>
      </c>
      <c r="H60" s="84" t="s">
        <v>1018</v>
      </c>
      <c r="I60" s="85" t="s">
        <v>1902</v>
      </c>
      <c r="J60" s="85" t="s">
        <v>1870</v>
      </c>
      <c r="K60" s="85" t="s">
        <v>1869</v>
      </c>
    </row>
    <row r="61" spans="1:11" ht="15" thickBot="1" x14ac:dyDescent="0.35">
      <c r="A61" s="84" t="s">
        <v>974</v>
      </c>
      <c r="B61" s="84" t="s">
        <v>1019</v>
      </c>
      <c r="C61" s="85" t="s">
        <v>932</v>
      </c>
      <c r="D61" s="86" t="s">
        <v>571</v>
      </c>
      <c r="E61" s="87" t="s">
        <v>572</v>
      </c>
      <c r="F61" s="88" t="s">
        <v>572</v>
      </c>
      <c r="G61" s="89" t="s">
        <v>572</v>
      </c>
      <c r="H61" s="84" t="s">
        <v>573</v>
      </c>
      <c r="I61" s="85" t="s">
        <v>1869</v>
      </c>
      <c r="J61" s="85" t="s">
        <v>1870</v>
      </c>
      <c r="K61" s="85" t="s">
        <v>1869</v>
      </c>
    </row>
    <row r="62" spans="1:11" ht="15" thickBot="1" x14ac:dyDescent="0.35">
      <c r="A62" s="84" t="s">
        <v>974</v>
      </c>
      <c r="B62" s="84" t="s">
        <v>1020</v>
      </c>
      <c r="C62" s="85" t="s">
        <v>963</v>
      </c>
      <c r="D62" s="86" t="s">
        <v>353</v>
      </c>
      <c r="E62" s="87" t="s">
        <v>354</v>
      </c>
      <c r="F62" s="88" t="s">
        <v>354</v>
      </c>
      <c r="G62" s="89" t="s">
        <v>354</v>
      </c>
      <c r="H62" s="84" t="s">
        <v>355</v>
      </c>
      <c r="I62" s="85" t="s">
        <v>1869</v>
      </c>
      <c r="J62" s="85" t="s">
        <v>1870</v>
      </c>
      <c r="K62" s="85" t="s">
        <v>1869</v>
      </c>
    </row>
    <row r="63" spans="1:11" ht="15" thickBot="1" x14ac:dyDescent="0.35">
      <c r="A63" s="84" t="s">
        <v>974</v>
      </c>
      <c r="B63" s="84" t="s">
        <v>1021</v>
      </c>
      <c r="C63" s="85" t="s">
        <v>963</v>
      </c>
      <c r="D63" s="86" t="s">
        <v>358</v>
      </c>
      <c r="E63" s="87" t="s">
        <v>359</v>
      </c>
      <c r="F63" s="88" t="s">
        <v>359</v>
      </c>
      <c r="G63" s="89" t="s">
        <v>359</v>
      </c>
      <c r="H63" s="84" t="s">
        <v>360</v>
      </c>
      <c r="I63" s="85" t="s">
        <v>1869</v>
      </c>
      <c r="J63" s="85" t="s">
        <v>1870</v>
      </c>
      <c r="K63" s="85" t="s">
        <v>1869</v>
      </c>
    </row>
    <row r="64" spans="1:11" ht="15" thickBot="1" x14ac:dyDescent="0.35">
      <c r="A64" s="84" t="s">
        <v>974</v>
      </c>
      <c r="B64" s="84" t="s">
        <v>1022</v>
      </c>
      <c r="C64" s="85" t="s">
        <v>963</v>
      </c>
      <c r="D64" s="86" t="s">
        <v>405</v>
      </c>
      <c r="E64" s="87" t="s">
        <v>260</v>
      </c>
      <c r="F64" s="88" t="s">
        <v>260</v>
      </c>
      <c r="G64" s="89">
        <v>151302</v>
      </c>
      <c r="H64" s="84" t="s">
        <v>1886</v>
      </c>
      <c r="I64" s="85" t="s">
        <v>1869</v>
      </c>
      <c r="J64" s="85" t="s">
        <v>1870</v>
      </c>
      <c r="K64" s="85" t="s">
        <v>1869</v>
      </c>
    </row>
    <row r="65" spans="1:11" ht="15" thickBot="1" x14ac:dyDescent="0.35">
      <c r="A65" s="84" t="s">
        <v>974</v>
      </c>
      <c r="B65" s="84" t="s">
        <v>1023</v>
      </c>
      <c r="C65" s="85" t="s">
        <v>963</v>
      </c>
      <c r="D65" s="86" t="s">
        <v>644</v>
      </c>
      <c r="E65" s="87" t="s">
        <v>645</v>
      </c>
      <c r="F65" s="88" t="s">
        <v>645</v>
      </c>
      <c r="G65" s="89" t="s">
        <v>645</v>
      </c>
      <c r="H65" s="84" t="s">
        <v>646</v>
      </c>
      <c r="I65" s="85" t="s">
        <v>1869</v>
      </c>
      <c r="J65" s="85" t="s">
        <v>1870</v>
      </c>
      <c r="K65" s="85" t="s">
        <v>1869</v>
      </c>
    </row>
    <row r="66" spans="1:11" ht="15" thickBot="1" x14ac:dyDescent="0.35">
      <c r="A66" s="84" t="s">
        <v>974</v>
      </c>
      <c r="B66" s="84" t="s">
        <v>1024</v>
      </c>
      <c r="C66" s="85" t="s">
        <v>963</v>
      </c>
      <c r="D66" s="86" t="s">
        <v>124</v>
      </c>
      <c r="E66" s="87" t="s">
        <v>572</v>
      </c>
      <c r="F66" s="88" t="s">
        <v>572</v>
      </c>
      <c r="G66" s="89" t="s">
        <v>572</v>
      </c>
      <c r="H66" s="84" t="s">
        <v>573</v>
      </c>
      <c r="I66" s="85" t="s">
        <v>1869</v>
      </c>
      <c r="J66" s="85" t="s">
        <v>1870</v>
      </c>
      <c r="K66" s="85" t="s">
        <v>1869</v>
      </c>
    </row>
    <row r="67" spans="1:11" ht="15" thickBot="1" x14ac:dyDescent="0.35">
      <c r="A67" s="84" t="s">
        <v>1025</v>
      </c>
      <c r="B67" s="84" t="s">
        <v>1026</v>
      </c>
      <c r="C67" s="85" t="s">
        <v>928</v>
      </c>
      <c r="D67" s="86" t="s">
        <v>1027</v>
      </c>
      <c r="E67" s="87" t="s">
        <v>215</v>
      </c>
      <c r="F67" s="88" t="s">
        <v>215</v>
      </c>
      <c r="G67" s="89" t="s">
        <v>215</v>
      </c>
      <c r="H67" s="84" t="s">
        <v>216</v>
      </c>
      <c r="I67" s="85" t="s">
        <v>1903</v>
      </c>
      <c r="J67" s="85" t="s">
        <v>1870</v>
      </c>
      <c r="K67" s="85" t="s">
        <v>1869</v>
      </c>
    </row>
    <row r="68" spans="1:11" ht="15" thickBot="1" x14ac:dyDescent="0.35">
      <c r="A68" s="84" t="s">
        <v>1025</v>
      </c>
      <c r="B68" s="84" t="s">
        <v>1028</v>
      </c>
      <c r="C68" s="85" t="s">
        <v>932</v>
      </c>
      <c r="D68" s="86" t="s">
        <v>417</v>
      </c>
      <c r="E68" s="87" t="s">
        <v>215</v>
      </c>
      <c r="F68" s="88" t="s">
        <v>215</v>
      </c>
      <c r="G68" s="89" t="s">
        <v>215</v>
      </c>
      <c r="H68" s="84" t="s">
        <v>216</v>
      </c>
      <c r="I68" s="85" t="s">
        <v>1869</v>
      </c>
      <c r="J68" s="85" t="s">
        <v>1870</v>
      </c>
      <c r="K68" s="85" t="s">
        <v>1869</v>
      </c>
    </row>
    <row r="69" spans="1:11" ht="15" thickBot="1" x14ac:dyDescent="0.35">
      <c r="A69" s="84" t="s">
        <v>1025</v>
      </c>
      <c r="B69" s="84" t="s">
        <v>1029</v>
      </c>
      <c r="C69" s="85" t="s">
        <v>932</v>
      </c>
      <c r="D69" s="86" t="s">
        <v>214</v>
      </c>
      <c r="E69" s="87" t="s">
        <v>215</v>
      </c>
      <c r="F69" s="88" t="s">
        <v>215</v>
      </c>
      <c r="G69" s="89" t="s">
        <v>215</v>
      </c>
      <c r="H69" s="84" t="s">
        <v>216</v>
      </c>
      <c r="I69" s="85" t="s">
        <v>1869</v>
      </c>
      <c r="J69" s="85" t="s">
        <v>1870</v>
      </c>
      <c r="K69" s="85" t="s">
        <v>1869</v>
      </c>
    </row>
    <row r="70" spans="1:11" ht="15" thickBot="1" x14ac:dyDescent="0.35">
      <c r="A70" s="84" t="s">
        <v>1025</v>
      </c>
      <c r="B70" s="84" t="s">
        <v>1030</v>
      </c>
      <c r="C70" s="85" t="s">
        <v>928</v>
      </c>
      <c r="D70" s="86" t="s">
        <v>1031</v>
      </c>
      <c r="E70" s="87" t="s">
        <v>1032</v>
      </c>
      <c r="F70" s="88" t="s">
        <v>1032</v>
      </c>
      <c r="G70" s="89" t="s">
        <v>1032</v>
      </c>
      <c r="H70" s="84" t="s">
        <v>1033</v>
      </c>
      <c r="I70" s="85" t="s">
        <v>1904</v>
      </c>
      <c r="J70" s="85" t="s">
        <v>1870</v>
      </c>
      <c r="K70" s="85" t="s">
        <v>1869</v>
      </c>
    </row>
    <row r="71" spans="1:11" ht="15" thickBot="1" x14ac:dyDescent="0.35">
      <c r="A71" s="84" t="s">
        <v>1025</v>
      </c>
      <c r="B71" s="84" t="s">
        <v>1034</v>
      </c>
      <c r="C71" s="85" t="s">
        <v>928</v>
      </c>
      <c r="D71" s="86" t="s">
        <v>1035</v>
      </c>
      <c r="E71" s="87" t="s">
        <v>1032</v>
      </c>
      <c r="F71" s="88" t="s">
        <v>1032</v>
      </c>
      <c r="G71" s="89" t="s">
        <v>1032</v>
      </c>
      <c r="H71" s="84" t="s">
        <v>1033</v>
      </c>
      <c r="I71" s="85" t="s">
        <v>1905</v>
      </c>
      <c r="J71" s="85" t="s">
        <v>1870</v>
      </c>
      <c r="K71" s="85" t="s">
        <v>1869</v>
      </c>
    </row>
    <row r="72" spans="1:11" ht="15" thickBot="1" x14ac:dyDescent="0.35">
      <c r="A72" s="84" t="s">
        <v>1025</v>
      </c>
      <c r="B72" s="84" t="s">
        <v>1036</v>
      </c>
      <c r="C72" s="85" t="s">
        <v>928</v>
      </c>
      <c r="D72" s="86" t="s">
        <v>1037</v>
      </c>
      <c r="E72" s="87" t="s">
        <v>1032</v>
      </c>
      <c r="F72" s="88" t="s">
        <v>1032</v>
      </c>
      <c r="G72" s="89" t="s">
        <v>1032</v>
      </c>
      <c r="H72" s="84" t="s">
        <v>1033</v>
      </c>
      <c r="I72" s="85" t="s">
        <v>1906</v>
      </c>
      <c r="J72" s="85" t="s">
        <v>1870</v>
      </c>
      <c r="K72" s="85" t="s">
        <v>1869</v>
      </c>
    </row>
    <row r="73" spans="1:11" ht="15" thickBot="1" x14ac:dyDescent="0.35">
      <c r="A73" s="84" t="s">
        <v>1025</v>
      </c>
      <c r="B73" s="84" t="s">
        <v>1038</v>
      </c>
      <c r="C73" s="85" t="s">
        <v>928</v>
      </c>
      <c r="D73" s="86" t="s">
        <v>1039</v>
      </c>
      <c r="E73" s="87" t="s">
        <v>44</v>
      </c>
      <c r="F73" s="88" t="s">
        <v>44</v>
      </c>
      <c r="G73" s="89" t="s">
        <v>44</v>
      </c>
      <c r="H73" s="84" t="s">
        <v>45</v>
      </c>
      <c r="I73" s="85" t="s">
        <v>1907</v>
      </c>
      <c r="J73" s="85" t="s">
        <v>1871</v>
      </c>
      <c r="K73" s="85" t="s">
        <v>1908</v>
      </c>
    </row>
    <row r="74" spans="1:11" ht="15" thickBot="1" x14ac:dyDescent="0.35">
      <c r="A74" s="84" t="s">
        <v>1025</v>
      </c>
      <c r="B74" s="84" t="s">
        <v>1040</v>
      </c>
      <c r="C74" s="85" t="s">
        <v>932</v>
      </c>
      <c r="D74" s="86" t="s">
        <v>1041</v>
      </c>
      <c r="E74" s="87" t="s">
        <v>545</v>
      </c>
      <c r="F74" s="88" t="s">
        <v>545</v>
      </c>
      <c r="G74" s="89">
        <v>470103</v>
      </c>
      <c r="H74" s="84" t="s">
        <v>1909</v>
      </c>
      <c r="I74" s="85" t="s">
        <v>1869</v>
      </c>
      <c r="J74" s="85" t="s">
        <v>1870</v>
      </c>
      <c r="K74" s="85" t="s">
        <v>1869</v>
      </c>
    </row>
    <row r="75" spans="1:11" ht="15" thickBot="1" x14ac:dyDescent="0.35">
      <c r="A75" s="84" t="s">
        <v>1025</v>
      </c>
      <c r="B75" s="84" t="s">
        <v>1042</v>
      </c>
      <c r="C75" s="85" t="s">
        <v>932</v>
      </c>
      <c r="D75" s="86" t="s">
        <v>544</v>
      </c>
      <c r="E75" s="87" t="s">
        <v>545</v>
      </c>
      <c r="F75" s="88" t="s">
        <v>545</v>
      </c>
      <c r="G75" s="89" t="s">
        <v>545</v>
      </c>
      <c r="H75" s="84" t="s">
        <v>546</v>
      </c>
      <c r="I75" s="85" t="s">
        <v>1869</v>
      </c>
      <c r="J75" s="85" t="s">
        <v>1870</v>
      </c>
      <c r="K75" s="85" t="s">
        <v>1869</v>
      </c>
    </row>
    <row r="76" spans="1:11" ht="15" thickBot="1" x14ac:dyDescent="0.35">
      <c r="A76" s="84" t="s">
        <v>1025</v>
      </c>
      <c r="B76" s="84" t="s">
        <v>1043</v>
      </c>
      <c r="C76" s="85" t="s">
        <v>932</v>
      </c>
      <c r="D76" s="86" t="s">
        <v>547</v>
      </c>
      <c r="E76" s="87" t="s">
        <v>548</v>
      </c>
      <c r="F76" s="88" t="s">
        <v>548</v>
      </c>
      <c r="G76" s="89" t="s">
        <v>548</v>
      </c>
      <c r="H76" s="84" t="s">
        <v>549</v>
      </c>
      <c r="I76" s="85" t="s">
        <v>1869</v>
      </c>
      <c r="J76" s="85" t="s">
        <v>1870</v>
      </c>
      <c r="K76" s="85" t="s">
        <v>1869</v>
      </c>
    </row>
    <row r="77" spans="1:11" ht="15" thickBot="1" x14ac:dyDescent="0.35">
      <c r="A77" s="84" t="s">
        <v>1025</v>
      </c>
      <c r="B77" s="84" t="s">
        <v>1044</v>
      </c>
      <c r="C77" s="85" t="s">
        <v>928</v>
      </c>
      <c r="D77" s="86" t="s">
        <v>1045</v>
      </c>
      <c r="E77" s="87" t="s">
        <v>235</v>
      </c>
      <c r="F77" s="88" t="s">
        <v>235</v>
      </c>
      <c r="G77" s="89" t="s">
        <v>235</v>
      </c>
      <c r="H77" s="84" t="s">
        <v>236</v>
      </c>
      <c r="I77" s="85" t="s">
        <v>1910</v>
      </c>
      <c r="J77" s="85" t="s">
        <v>1870</v>
      </c>
      <c r="K77" s="85" t="s">
        <v>1869</v>
      </c>
    </row>
    <row r="78" spans="1:11" ht="15" thickBot="1" x14ac:dyDescent="0.35">
      <c r="A78" s="84" t="s">
        <v>1025</v>
      </c>
      <c r="B78" s="84" t="s">
        <v>1046</v>
      </c>
      <c r="C78" s="85" t="s">
        <v>932</v>
      </c>
      <c r="D78" s="86" t="s">
        <v>511</v>
      </c>
      <c r="E78" s="87" t="s">
        <v>235</v>
      </c>
      <c r="F78" s="88" t="s">
        <v>235</v>
      </c>
      <c r="G78" s="89" t="s">
        <v>235</v>
      </c>
      <c r="H78" s="84" t="s">
        <v>236</v>
      </c>
      <c r="I78" s="85" t="s">
        <v>1869</v>
      </c>
      <c r="J78" s="85" t="s">
        <v>1870</v>
      </c>
      <c r="K78" s="85" t="s">
        <v>1869</v>
      </c>
    </row>
    <row r="79" spans="1:11" ht="15" thickBot="1" x14ac:dyDescent="0.35">
      <c r="A79" s="84" t="s">
        <v>1025</v>
      </c>
      <c r="B79" s="84" t="s">
        <v>1047</v>
      </c>
      <c r="C79" s="85" t="s">
        <v>932</v>
      </c>
      <c r="D79" s="86" t="s">
        <v>234</v>
      </c>
      <c r="E79" s="87" t="s">
        <v>235</v>
      </c>
      <c r="F79" s="88" t="s">
        <v>235</v>
      </c>
      <c r="G79" s="89" t="s">
        <v>235</v>
      </c>
      <c r="H79" s="84" t="s">
        <v>236</v>
      </c>
      <c r="I79" s="85" t="s">
        <v>1869</v>
      </c>
      <c r="J79" s="85" t="s">
        <v>1870</v>
      </c>
      <c r="K79" s="85" t="s">
        <v>1869</v>
      </c>
    </row>
    <row r="80" spans="1:11" ht="15" thickBot="1" x14ac:dyDescent="0.35">
      <c r="A80" s="84" t="s">
        <v>1025</v>
      </c>
      <c r="B80" s="84" t="s">
        <v>1048</v>
      </c>
      <c r="C80" s="85" t="s">
        <v>932</v>
      </c>
      <c r="D80" s="86" t="s">
        <v>625</v>
      </c>
      <c r="E80" s="87" t="s">
        <v>235</v>
      </c>
      <c r="F80" s="88" t="s">
        <v>235</v>
      </c>
      <c r="G80" s="89" t="s">
        <v>235</v>
      </c>
      <c r="H80" s="84" t="s">
        <v>236</v>
      </c>
      <c r="I80" s="85" t="s">
        <v>1869</v>
      </c>
      <c r="J80" s="85" t="s">
        <v>1870</v>
      </c>
      <c r="K80" s="85" t="s">
        <v>1869</v>
      </c>
    </row>
    <row r="81" spans="1:11" ht="15" thickBot="1" x14ac:dyDescent="0.35">
      <c r="A81" s="84" t="s">
        <v>1025</v>
      </c>
      <c r="B81" s="84" t="s">
        <v>1049</v>
      </c>
      <c r="C81" s="85" t="s">
        <v>932</v>
      </c>
      <c r="D81" s="86" t="s">
        <v>591</v>
      </c>
      <c r="E81" s="87" t="s">
        <v>235</v>
      </c>
      <c r="F81" s="88" t="s">
        <v>235</v>
      </c>
      <c r="G81" s="89" t="s">
        <v>235</v>
      </c>
      <c r="H81" s="84" t="s">
        <v>236</v>
      </c>
      <c r="I81" s="85" t="s">
        <v>1869</v>
      </c>
      <c r="J81" s="85" t="s">
        <v>1870</v>
      </c>
      <c r="K81" s="85" t="s">
        <v>1869</v>
      </c>
    </row>
    <row r="82" spans="1:11" ht="15" thickBot="1" x14ac:dyDescent="0.35">
      <c r="A82" s="84" t="s">
        <v>1025</v>
      </c>
      <c r="B82" s="84" t="s">
        <v>1050</v>
      </c>
      <c r="C82" s="85" t="s">
        <v>932</v>
      </c>
      <c r="D82" s="86" t="s">
        <v>43</v>
      </c>
      <c r="E82" s="87" t="s">
        <v>44</v>
      </c>
      <c r="F82" s="88" t="s">
        <v>44</v>
      </c>
      <c r="G82" s="89" t="s">
        <v>44</v>
      </c>
      <c r="H82" s="84" t="s">
        <v>45</v>
      </c>
      <c r="I82" s="85" t="s">
        <v>1869</v>
      </c>
      <c r="J82" s="85" t="s">
        <v>1870</v>
      </c>
      <c r="K82" s="85" t="s">
        <v>1869</v>
      </c>
    </row>
    <row r="83" spans="1:11" ht="15" thickBot="1" x14ac:dyDescent="0.35">
      <c r="A83" s="84" t="s">
        <v>1025</v>
      </c>
      <c r="B83" s="84" t="s">
        <v>1051</v>
      </c>
      <c r="C83" s="85" t="s">
        <v>932</v>
      </c>
      <c r="D83" s="86" t="s">
        <v>426</v>
      </c>
      <c r="E83" s="87" t="s">
        <v>44</v>
      </c>
      <c r="F83" s="88" t="s">
        <v>44</v>
      </c>
      <c r="G83" s="89">
        <v>100202</v>
      </c>
      <c r="H83" s="84" t="s">
        <v>1911</v>
      </c>
      <c r="I83" s="85" t="s">
        <v>1869</v>
      </c>
      <c r="J83" s="85" t="s">
        <v>1870</v>
      </c>
      <c r="K83" s="85" t="s">
        <v>1869</v>
      </c>
    </row>
    <row r="84" spans="1:11" ht="15" thickBot="1" x14ac:dyDescent="0.35">
      <c r="A84" s="84" t="s">
        <v>1025</v>
      </c>
      <c r="B84" s="84" t="s">
        <v>1052</v>
      </c>
      <c r="C84" s="85" t="s">
        <v>928</v>
      </c>
      <c r="D84" s="86" t="s">
        <v>1053</v>
      </c>
      <c r="E84" s="87" t="s">
        <v>44</v>
      </c>
      <c r="F84" s="88" t="s">
        <v>44</v>
      </c>
      <c r="G84" s="89" t="s">
        <v>44</v>
      </c>
      <c r="H84" s="84" t="s">
        <v>45</v>
      </c>
      <c r="I84" s="85" t="s">
        <v>1912</v>
      </c>
      <c r="J84" s="85" t="s">
        <v>1870</v>
      </c>
      <c r="K84" s="85" t="s">
        <v>1869</v>
      </c>
    </row>
    <row r="85" spans="1:11" ht="15" thickBot="1" x14ac:dyDescent="0.35">
      <c r="A85" s="84" t="s">
        <v>1025</v>
      </c>
      <c r="B85" s="84" t="s">
        <v>1054</v>
      </c>
      <c r="C85" s="85" t="s">
        <v>932</v>
      </c>
      <c r="D85" s="86" t="s">
        <v>427</v>
      </c>
      <c r="E85" s="87" t="s">
        <v>428</v>
      </c>
      <c r="F85" s="88" t="s">
        <v>428</v>
      </c>
      <c r="G85" s="89" t="s">
        <v>428</v>
      </c>
      <c r="H85" s="84" t="s">
        <v>429</v>
      </c>
      <c r="I85" s="85" t="s">
        <v>1869</v>
      </c>
      <c r="J85" s="85" t="s">
        <v>1870</v>
      </c>
      <c r="K85" s="85" t="s">
        <v>1869</v>
      </c>
    </row>
    <row r="86" spans="1:11" ht="15" thickBot="1" x14ac:dyDescent="0.35">
      <c r="A86" s="84" t="s">
        <v>1025</v>
      </c>
      <c r="B86" s="84" t="s">
        <v>1055</v>
      </c>
      <c r="C86" s="85" t="s">
        <v>928</v>
      </c>
      <c r="D86" s="86" t="s">
        <v>1056</v>
      </c>
      <c r="E86" s="87" t="s">
        <v>428</v>
      </c>
      <c r="F86" s="88" t="s">
        <v>428</v>
      </c>
      <c r="G86" s="89" t="s">
        <v>428</v>
      </c>
      <c r="H86" s="84" t="s">
        <v>429</v>
      </c>
      <c r="I86" s="85" t="s">
        <v>1913</v>
      </c>
      <c r="J86" s="85" t="s">
        <v>1870</v>
      </c>
      <c r="K86" s="85" t="s">
        <v>1869</v>
      </c>
    </row>
    <row r="87" spans="1:11" ht="15" thickBot="1" x14ac:dyDescent="0.35">
      <c r="A87" s="84" t="s">
        <v>1025</v>
      </c>
      <c r="B87" s="84" t="s">
        <v>1057</v>
      </c>
      <c r="C87" s="85" t="s">
        <v>928</v>
      </c>
      <c r="D87" s="86" t="s">
        <v>1058</v>
      </c>
      <c r="E87" s="87" t="s">
        <v>551</v>
      </c>
      <c r="F87" s="88" t="s">
        <v>551</v>
      </c>
      <c r="G87" s="89" t="s">
        <v>551</v>
      </c>
      <c r="H87" s="84" t="s">
        <v>552</v>
      </c>
      <c r="I87" s="85" t="s">
        <v>1914</v>
      </c>
      <c r="J87" s="85" t="s">
        <v>1870</v>
      </c>
      <c r="K87" s="85" t="s">
        <v>1869</v>
      </c>
    </row>
    <row r="88" spans="1:11" ht="15" thickBot="1" x14ac:dyDescent="0.35">
      <c r="A88" s="84" t="s">
        <v>1025</v>
      </c>
      <c r="B88" s="84" t="s">
        <v>1059</v>
      </c>
      <c r="C88" s="85" t="s">
        <v>932</v>
      </c>
      <c r="D88" s="86" t="s">
        <v>550</v>
      </c>
      <c r="E88" s="87" t="s">
        <v>551</v>
      </c>
      <c r="F88" s="88" t="s">
        <v>551</v>
      </c>
      <c r="G88" s="89">
        <v>100202</v>
      </c>
      <c r="H88" s="84" t="s">
        <v>552</v>
      </c>
      <c r="I88" s="85" t="s">
        <v>1869</v>
      </c>
      <c r="J88" s="85" t="s">
        <v>1870</v>
      </c>
      <c r="K88" s="85" t="s">
        <v>1869</v>
      </c>
    </row>
    <row r="89" spans="1:11" ht="15" thickBot="1" x14ac:dyDescent="0.35">
      <c r="A89" s="84" t="s">
        <v>1025</v>
      </c>
      <c r="B89" s="84" t="s">
        <v>1060</v>
      </c>
      <c r="C89" s="85" t="s">
        <v>928</v>
      </c>
      <c r="D89" s="86" t="s">
        <v>1061</v>
      </c>
      <c r="E89" s="87" t="s">
        <v>1062</v>
      </c>
      <c r="F89" s="88" t="s">
        <v>1062</v>
      </c>
      <c r="G89" s="89" t="s">
        <v>1062</v>
      </c>
      <c r="H89" s="84" t="s">
        <v>1063</v>
      </c>
      <c r="I89" s="85" t="s">
        <v>1915</v>
      </c>
      <c r="J89" s="85" t="s">
        <v>1870</v>
      </c>
      <c r="K89" s="85" t="s">
        <v>1869</v>
      </c>
    </row>
    <row r="90" spans="1:11" ht="15" thickBot="1" x14ac:dyDescent="0.35">
      <c r="A90" s="84" t="s">
        <v>1025</v>
      </c>
      <c r="B90" s="84" t="s">
        <v>1064</v>
      </c>
      <c r="C90" s="85" t="s">
        <v>932</v>
      </c>
      <c r="D90" s="86" t="s">
        <v>515</v>
      </c>
      <c r="E90" s="87" t="s">
        <v>238</v>
      </c>
      <c r="F90" s="88" t="s">
        <v>238</v>
      </c>
      <c r="G90" s="89" t="s">
        <v>238</v>
      </c>
      <c r="H90" s="84" t="s">
        <v>239</v>
      </c>
      <c r="I90" s="85" t="s">
        <v>1869</v>
      </c>
      <c r="J90" s="85" t="s">
        <v>1870</v>
      </c>
      <c r="K90" s="85" t="s">
        <v>1869</v>
      </c>
    </row>
    <row r="91" spans="1:11" ht="15" thickBot="1" x14ac:dyDescent="0.35">
      <c r="A91" s="84" t="s">
        <v>1025</v>
      </c>
      <c r="B91" s="84" t="s">
        <v>1065</v>
      </c>
      <c r="C91" s="85" t="s">
        <v>932</v>
      </c>
      <c r="D91" s="86" t="s">
        <v>237</v>
      </c>
      <c r="E91" s="87" t="s">
        <v>238</v>
      </c>
      <c r="F91" s="88" t="s">
        <v>238</v>
      </c>
      <c r="G91" s="89" t="s">
        <v>238</v>
      </c>
      <c r="H91" s="84" t="s">
        <v>239</v>
      </c>
      <c r="I91" s="85" t="s">
        <v>1869</v>
      </c>
      <c r="J91" s="85" t="s">
        <v>1870</v>
      </c>
      <c r="K91" s="85" t="s">
        <v>1869</v>
      </c>
    </row>
    <row r="92" spans="1:11" ht="15" thickBot="1" x14ac:dyDescent="0.35">
      <c r="A92" s="84" t="s">
        <v>1025</v>
      </c>
      <c r="B92" s="84" t="s">
        <v>1066</v>
      </c>
      <c r="C92" s="85" t="s">
        <v>932</v>
      </c>
      <c r="D92" s="86" t="s">
        <v>553</v>
      </c>
      <c r="E92" s="87" t="s">
        <v>238</v>
      </c>
      <c r="F92" s="88" t="s">
        <v>238</v>
      </c>
      <c r="G92" s="89" t="s">
        <v>238</v>
      </c>
      <c r="H92" s="84" t="s">
        <v>239</v>
      </c>
      <c r="I92" s="85" t="s">
        <v>1869</v>
      </c>
      <c r="J92" s="85" t="s">
        <v>1870</v>
      </c>
      <c r="K92" s="85" t="s">
        <v>1869</v>
      </c>
    </row>
    <row r="93" spans="1:11" ht="15" thickBot="1" x14ac:dyDescent="0.35">
      <c r="A93" s="84" t="s">
        <v>1025</v>
      </c>
      <c r="B93" s="84" t="s">
        <v>1067</v>
      </c>
      <c r="C93" s="85" t="s">
        <v>932</v>
      </c>
      <c r="D93" s="86" t="s">
        <v>709</v>
      </c>
      <c r="E93" s="87" t="s">
        <v>710</v>
      </c>
      <c r="F93" s="88" t="s">
        <v>710</v>
      </c>
      <c r="G93" s="89" t="s">
        <v>710</v>
      </c>
      <c r="H93" s="84" t="s">
        <v>711</v>
      </c>
      <c r="I93" s="85" t="s">
        <v>1869</v>
      </c>
      <c r="J93" s="85" t="s">
        <v>1870</v>
      </c>
      <c r="K93" s="85" t="s">
        <v>1869</v>
      </c>
    </row>
    <row r="94" spans="1:11" ht="15" thickBot="1" x14ac:dyDescent="0.35">
      <c r="A94" s="84" t="s">
        <v>1025</v>
      </c>
      <c r="B94" s="84" t="s">
        <v>1068</v>
      </c>
      <c r="C94" s="85" t="s">
        <v>932</v>
      </c>
      <c r="D94" s="86" t="s">
        <v>1069</v>
      </c>
      <c r="E94" s="87" t="s">
        <v>710</v>
      </c>
      <c r="F94" s="88" t="s">
        <v>710</v>
      </c>
      <c r="G94" s="89" t="s">
        <v>710</v>
      </c>
      <c r="H94" s="84" t="s">
        <v>711</v>
      </c>
      <c r="I94" s="85" t="s">
        <v>1869</v>
      </c>
      <c r="J94" s="85" t="s">
        <v>1870</v>
      </c>
      <c r="K94" s="85" t="s">
        <v>1869</v>
      </c>
    </row>
    <row r="95" spans="1:11" ht="15" thickBot="1" x14ac:dyDescent="0.35">
      <c r="A95" s="84" t="s">
        <v>1025</v>
      </c>
      <c r="B95" s="84" t="s">
        <v>1070</v>
      </c>
      <c r="C95" s="85" t="s">
        <v>932</v>
      </c>
      <c r="D95" s="86" t="s">
        <v>626</v>
      </c>
      <c r="E95" s="87" t="s">
        <v>627</v>
      </c>
      <c r="F95" s="88" t="s">
        <v>627</v>
      </c>
      <c r="G95" s="89" t="s">
        <v>627</v>
      </c>
      <c r="H95" s="84" t="s">
        <v>628</v>
      </c>
      <c r="I95" s="85" t="s">
        <v>1869</v>
      </c>
      <c r="J95" s="85" t="s">
        <v>1870</v>
      </c>
      <c r="K95" s="85" t="s">
        <v>1869</v>
      </c>
    </row>
    <row r="96" spans="1:11" ht="15" thickBot="1" x14ac:dyDescent="0.35">
      <c r="A96" s="84" t="s">
        <v>1025</v>
      </c>
      <c r="B96" s="84" t="s">
        <v>1071</v>
      </c>
      <c r="C96" s="85" t="s">
        <v>932</v>
      </c>
      <c r="D96" s="86" t="s">
        <v>1072</v>
      </c>
      <c r="E96" s="87" t="s">
        <v>1073</v>
      </c>
      <c r="F96" s="88" t="s">
        <v>1073</v>
      </c>
      <c r="G96" s="89" t="s">
        <v>1073</v>
      </c>
      <c r="H96" s="84" t="s">
        <v>1074</v>
      </c>
      <c r="I96" s="85" t="s">
        <v>1869</v>
      </c>
      <c r="J96" s="85" t="s">
        <v>1870</v>
      </c>
      <c r="K96" s="85" t="s">
        <v>1869</v>
      </c>
    </row>
    <row r="97" spans="1:11" ht="15" thickBot="1" x14ac:dyDescent="0.35">
      <c r="A97" s="84" t="s">
        <v>1025</v>
      </c>
      <c r="B97" s="84" t="s">
        <v>1075</v>
      </c>
      <c r="C97" s="85" t="s">
        <v>928</v>
      </c>
      <c r="D97" s="86" t="s">
        <v>1076</v>
      </c>
      <c r="E97" s="87" t="s">
        <v>1073</v>
      </c>
      <c r="F97" s="88" t="s">
        <v>1073</v>
      </c>
      <c r="G97" s="89">
        <v>100201</v>
      </c>
      <c r="H97" s="84" t="s">
        <v>1916</v>
      </c>
      <c r="I97" s="85" t="s">
        <v>1917</v>
      </c>
      <c r="J97" s="85" t="s">
        <v>1870</v>
      </c>
      <c r="K97" s="85" t="s">
        <v>1869</v>
      </c>
    </row>
    <row r="98" spans="1:11" ht="15" thickBot="1" x14ac:dyDescent="0.35">
      <c r="A98" s="84" t="s">
        <v>1025</v>
      </c>
      <c r="B98" s="84" t="s">
        <v>1077</v>
      </c>
      <c r="C98" s="85" t="s">
        <v>932</v>
      </c>
      <c r="D98" s="86" t="s">
        <v>565</v>
      </c>
      <c r="E98" s="87" t="s">
        <v>60</v>
      </c>
      <c r="F98" s="88" t="s">
        <v>60</v>
      </c>
      <c r="G98" s="89">
        <v>110803</v>
      </c>
      <c r="H98" s="84" t="s">
        <v>1918</v>
      </c>
      <c r="I98" s="85" t="s">
        <v>1869</v>
      </c>
      <c r="J98" s="85" t="s">
        <v>1870</v>
      </c>
      <c r="K98" s="85" t="s">
        <v>1869</v>
      </c>
    </row>
    <row r="99" spans="1:11" ht="15" thickBot="1" x14ac:dyDescent="0.35">
      <c r="A99" s="84" t="s">
        <v>1025</v>
      </c>
      <c r="B99" s="84" t="s">
        <v>1078</v>
      </c>
      <c r="C99" s="85" t="s">
        <v>932</v>
      </c>
      <c r="D99" s="86" t="s">
        <v>59</v>
      </c>
      <c r="E99" s="87" t="s">
        <v>60</v>
      </c>
      <c r="F99" s="88" t="s">
        <v>60</v>
      </c>
      <c r="G99" s="89" t="s">
        <v>60</v>
      </c>
      <c r="H99" s="84" t="s">
        <v>61</v>
      </c>
      <c r="I99" s="85" t="s">
        <v>1869</v>
      </c>
      <c r="J99" s="85" t="s">
        <v>1870</v>
      </c>
      <c r="K99" s="85" t="s">
        <v>1869</v>
      </c>
    </row>
    <row r="100" spans="1:11" ht="15" thickBot="1" x14ac:dyDescent="0.35">
      <c r="A100" s="84" t="s">
        <v>1025</v>
      </c>
      <c r="B100" s="84" t="s">
        <v>1079</v>
      </c>
      <c r="C100" s="85" t="s">
        <v>932</v>
      </c>
      <c r="D100" s="86" t="s">
        <v>1080</v>
      </c>
      <c r="E100" s="87" t="s">
        <v>60</v>
      </c>
      <c r="F100" s="88" t="s">
        <v>60</v>
      </c>
      <c r="G100" s="89" t="s">
        <v>60</v>
      </c>
      <c r="H100" s="84" t="s">
        <v>61</v>
      </c>
      <c r="I100" s="85" t="s">
        <v>1869</v>
      </c>
      <c r="J100" s="85" t="s">
        <v>1870</v>
      </c>
      <c r="K100" s="85" t="s">
        <v>1869</v>
      </c>
    </row>
    <row r="101" spans="1:11" ht="15" thickBot="1" x14ac:dyDescent="0.35">
      <c r="A101" s="84" t="s">
        <v>1025</v>
      </c>
      <c r="B101" s="84" t="s">
        <v>1081</v>
      </c>
      <c r="C101" s="85" t="s">
        <v>932</v>
      </c>
      <c r="D101" s="86" t="s">
        <v>566</v>
      </c>
      <c r="E101" s="87" t="s">
        <v>60</v>
      </c>
      <c r="F101" s="88" t="s">
        <v>60</v>
      </c>
      <c r="G101" s="89" t="s">
        <v>60</v>
      </c>
      <c r="H101" s="84" t="s">
        <v>61</v>
      </c>
      <c r="I101" s="85" t="s">
        <v>1869</v>
      </c>
      <c r="J101" s="85" t="s">
        <v>1870</v>
      </c>
      <c r="K101" s="85" t="s">
        <v>1869</v>
      </c>
    </row>
    <row r="102" spans="1:11" ht="15" thickBot="1" x14ac:dyDescent="0.35">
      <c r="A102" s="84" t="s">
        <v>1025</v>
      </c>
      <c r="B102" s="84" t="s">
        <v>1082</v>
      </c>
      <c r="C102" s="85" t="s">
        <v>928</v>
      </c>
      <c r="D102" s="86" t="s">
        <v>1083</v>
      </c>
      <c r="E102" s="87" t="s">
        <v>1084</v>
      </c>
      <c r="F102" s="88" t="s">
        <v>1084</v>
      </c>
      <c r="G102" s="89" t="s">
        <v>1084</v>
      </c>
      <c r="H102" s="84" t="s">
        <v>1085</v>
      </c>
      <c r="I102" s="85" t="s">
        <v>1919</v>
      </c>
      <c r="J102" s="85" t="s">
        <v>1870</v>
      </c>
      <c r="K102" s="85" t="s">
        <v>1869</v>
      </c>
    </row>
    <row r="103" spans="1:11" ht="15" thickBot="1" x14ac:dyDescent="0.35">
      <c r="A103" s="84" t="s">
        <v>1025</v>
      </c>
      <c r="B103" s="84" t="s">
        <v>1086</v>
      </c>
      <c r="C103" s="85" t="s">
        <v>928</v>
      </c>
      <c r="D103" s="86" t="s">
        <v>1087</v>
      </c>
      <c r="E103" s="87" t="s">
        <v>1084</v>
      </c>
      <c r="F103" s="88" t="s">
        <v>1084</v>
      </c>
      <c r="G103" s="89" t="s">
        <v>1084</v>
      </c>
      <c r="H103" s="84" t="s">
        <v>1085</v>
      </c>
      <c r="I103" s="85" t="s">
        <v>1920</v>
      </c>
      <c r="J103" s="85" t="s">
        <v>1870</v>
      </c>
      <c r="K103" s="85" t="s">
        <v>1869</v>
      </c>
    </row>
    <row r="104" spans="1:11" ht="15" thickBot="1" x14ac:dyDescent="0.35">
      <c r="A104" s="84" t="s">
        <v>1025</v>
      </c>
      <c r="B104" s="84" t="s">
        <v>1088</v>
      </c>
      <c r="C104" s="85" t="s">
        <v>928</v>
      </c>
      <c r="D104" s="86" t="s">
        <v>1089</v>
      </c>
      <c r="E104" s="87" t="s">
        <v>1090</v>
      </c>
      <c r="F104" s="88" t="s">
        <v>1090</v>
      </c>
      <c r="G104" s="89" t="s">
        <v>1090</v>
      </c>
      <c r="H104" s="84" t="s">
        <v>1091</v>
      </c>
      <c r="I104" s="85" t="s">
        <v>1921</v>
      </c>
      <c r="J104" s="85" t="s">
        <v>1870</v>
      </c>
      <c r="K104" s="85" t="s">
        <v>1869</v>
      </c>
    </row>
    <row r="105" spans="1:11" ht="15" thickBot="1" x14ac:dyDescent="0.35">
      <c r="A105" s="84" t="s">
        <v>1025</v>
      </c>
      <c r="B105" s="84" t="s">
        <v>1092</v>
      </c>
      <c r="C105" s="85" t="s">
        <v>928</v>
      </c>
      <c r="D105" s="86" t="s">
        <v>1093</v>
      </c>
      <c r="E105" s="87" t="s">
        <v>1090</v>
      </c>
      <c r="F105" s="88" t="s">
        <v>1090</v>
      </c>
      <c r="G105" s="89" t="s">
        <v>1090</v>
      </c>
      <c r="H105" s="84" t="s">
        <v>1091</v>
      </c>
      <c r="I105" s="85" t="s">
        <v>1922</v>
      </c>
      <c r="J105" s="85" t="s">
        <v>1870</v>
      </c>
      <c r="K105" s="85" t="s">
        <v>1869</v>
      </c>
    </row>
    <row r="106" spans="1:11" ht="15" thickBot="1" x14ac:dyDescent="0.35">
      <c r="A106" s="84" t="s">
        <v>1025</v>
      </c>
      <c r="B106" s="84" t="s">
        <v>1094</v>
      </c>
      <c r="C106" s="85" t="s">
        <v>928</v>
      </c>
      <c r="D106" s="86" t="s">
        <v>1095</v>
      </c>
      <c r="E106" s="87" t="s">
        <v>1096</v>
      </c>
      <c r="F106" s="88" t="s">
        <v>1096</v>
      </c>
      <c r="G106" s="89" t="s">
        <v>1096</v>
      </c>
      <c r="H106" s="84" t="s">
        <v>1097</v>
      </c>
      <c r="I106" s="85" t="s">
        <v>1923</v>
      </c>
      <c r="J106" s="85" t="s">
        <v>1870</v>
      </c>
      <c r="K106" s="85" t="s">
        <v>1869</v>
      </c>
    </row>
    <row r="107" spans="1:11" ht="15" thickBot="1" x14ac:dyDescent="0.35">
      <c r="A107" s="84" t="s">
        <v>1025</v>
      </c>
      <c r="B107" s="84" t="s">
        <v>1098</v>
      </c>
      <c r="C107" s="85" t="s">
        <v>932</v>
      </c>
      <c r="D107" s="86" t="s">
        <v>307</v>
      </c>
      <c r="E107" s="87" t="s">
        <v>122</v>
      </c>
      <c r="F107" s="88" t="s">
        <v>122</v>
      </c>
      <c r="G107" s="89" t="s">
        <v>122</v>
      </c>
      <c r="H107" s="84" t="s">
        <v>123</v>
      </c>
      <c r="I107" s="85" t="s">
        <v>1869</v>
      </c>
      <c r="J107" s="85" t="s">
        <v>1870</v>
      </c>
      <c r="K107" s="85" t="s">
        <v>1869</v>
      </c>
    </row>
    <row r="108" spans="1:11" ht="15" thickBot="1" x14ac:dyDescent="0.35">
      <c r="A108" s="84" t="s">
        <v>1025</v>
      </c>
      <c r="B108" s="84" t="s">
        <v>1099</v>
      </c>
      <c r="C108" s="85" t="s">
        <v>932</v>
      </c>
      <c r="D108" s="86" t="s">
        <v>567</v>
      </c>
      <c r="E108" s="87" t="s">
        <v>63</v>
      </c>
      <c r="F108" s="88" t="s">
        <v>63</v>
      </c>
      <c r="G108" s="89" t="s">
        <v>63</v>
      </c>
      <c r="H108" s="84" t="s">
        <v>64</v>
      </c>
      <c r="I108" s="85" t="s">
        <v>1869</v>
      </c>
      <c r="J108" s="85" t="s">
        <v>1870</v>
      </c>
      <c r="K108" s="85" t="s">
        <v>1869</v>
      </c>
    </row>
    <row r="109" spans="1:11" ht="15" thickBot="1" x14ac:dyDescent="0.35">
      <c r="A109" s="84" t="s">
        <v>1025</v>
      </c>
      <c r="B109" s="84" t="s">
        <v>1100</v>
      </c>
      <c r="C109" s="85" t="s">
        <v>932</v>
      </c>
      <c r="D109" s="86" t="s">
        <v>744</v>
      </c>
      <c r="E109" s="87" t="s">
        <v>63</v>
      </c>
      <c r="F109" s="88" t="s">
        <v>63</v>
      </c>
      <c r="G109" s="89" t="s">
        <v>63</v>
      </c>
      <c r="H109" s="84" t="s">
        <v>64</v>
      </c>
      <c r="I109" s="85" t="s">
        <v>1869</v>
      </c>
      <c r="J109" s="85" t="s">
        <v>1870</v>
      </c>
      <c r="K109" s="85" t="s">
        <v>1869</v>
      </c>
    </row>
    <row r="110" spans="1:11" ht="15" thickBot="1" x14ac:dyDescent="0.35">
      <c r="A110" s="84" t="s">
        <v>1025</v>
      </c>
      <c r="B110" s="84" t="s">
        <v>1101</v>
      </c>
      <c r="C110" s="85" t="s">
        <v>932</v>
      </c>
      <c r="D110" s="86" t="s">
        <v>745</v>
      </c>
      <c r="E110" s="87" t="s">
        <v>63</v>
      </c>
      <c r="F110" s="88" t="s">
        <v>63</v>
      </c>
      <c r="G110" s="89" t="s">
        <v>63</v>
      </c>
      <c r="H110" s="84" t="s">
        <v>64</v>
      </c>
      <c r="I110" s="85" t="s">
        <v>1869</v>
      </c>
      <c r="J110" s="85" t="s">
        <v>1870</v>
      </c>
      <c r="K110" s="85" t="s">
        <v>1869</v>
      </c>
    </row>
    <row r="111" spans="1:11" ht="15" thickBot="1" x14ac:dyDescent="0.35">
      <c r="A111" s="84" t="s">
        <v>1025</v>
      </c>
      <c r="B111" s="84" t="s">
        <v>1102</v>
      </c>
      <c r="C111" s="85" t="s">
        <v>932</v>
      </c>
      <c r="D111" s="86" t="s">
        <v>746</v>
      </c>
      <c r="E111" s="87" t="s">
        <v>63</v>
      </c>
      <c r="F111" s="88" t="s">
        <v>63</v>
      </c>
      <c r="G111" s="89" t="s">
        <v>63</v>
      </c>
      <c r="H111" s="84" t="s">
        <v>64</v>
      </c>
      <c r="I111" s="85" t="s">
        <v>1869</v>
      </c>
      <c r="J111" s="85" t="s">
        <v>1870</v>
      </c>
      <c r="K111" s="85" t="s">
        <v>1869</v>
      </c>
    </row>
    <row r="112" spans="1:11" ht="15" thickBot="1" x14ac:dyDescent="0.35">
      <c r="A112" s="84" t="s">
        <v>1025</v>
      </c>
      <c r="B112" s="84" t="s">
        <v>1103</v>
      </c>
      <c r="C112" s="85" t="s">
        <v>932</v>
      </c>
      <c r="D112" s="86" t="s">
        <v>62</v>
      </c>
      <c r="E112" s="87" t="s">
        <v>63</v>
      </c>
      <c r="F112" s="88" t="s">
        <v>63</v>
      </c>
      <c r="G112" s="89">
        <v>100203</v>
      </c>
      <c r="H112" s="84" t="s">
        <v>1924</v>
      </c>
      <c r="I112" s="85" t="s">
        <v>1869</v>
      </c>
      <c r="J112" s="85" t="s">
        <v>1870</v>
      </c>
      <c r="K112" s="85" t="s">
        <v>1869</v>
      </c>
    </row>
    <row r="113" spans="1:11" ht="15" thickBot="1" x14ac:dyDescent="0.35">
      <c r="A113" s="84" t="s">
        <v>1025</v>
      </c>
      <c r="B113" s="84" t="s">
        <v>1104</v>
      </c>
      <c r="C113" s="85" t="s">
        <v>928</v>
      </c>
      <c r="D113" s="86" t="s">
        <v>1105</v>
      </c>
      <c r="E113" s="87" t="s">
        <v>63</v>
      </c>
      <c r="F113" s="88" t="s">
        <v>63</v>
      </c>
      <c r="G113" s="89" t="s">
        <v>63</v>
      </c>
      <c r="H113" s="84" t="s">
        <v>64</v>
      </c>
      <c r="I113" s="85" t="s">
        <v>1925</v>
      </c>
      <c r="J113" s="85" t="s">
        <v>1870</v>
      </c>
      <c r="K113" s="85" t="s">
        <v>1869</v>
      </c>
    </row>
    <row r="114" spans="1:11" ht="15" thickBot="1" x14ac:dyDescent="0.35">
      <c r="A114" s="84" t="s">
        <v>1025</v>
      </c>
      <c r="B114" s="84" t="s">
        <v>1106</v>
      </c>
      <c r="C114" s="85" t="s">
        <v>928</v>
      </c>
      <c r="D114" s="86" t="s">
        <v>1107</v>
      </c>
      <c r="E114" s="87" t="s">
        <v>63</v>
      </c>
      <c r="F114" s="88" t="s">
        <v>63</v>
      </c>
      <c r="G114" s="89" t="s">
        <v>63</v>
      </c>
      <c r="H114" s="84" t="s">
        <v>64</v>
      </c>
      <c r="I114" s="85" t="s">
        <v>1926</v>
      </c>
      <c r="J114" s="85" t="s">
        <v>1870</v>
      </c>
      <c r="K114" s="85" t="s">
        <v>1869</v>
      </c>
    </row>
    <row r="115" spans="1:11" ht="15" thickBot="1" x14ac:dyDescent="0.35">
      <c r="A115" s="84" t="s">
        <v>1025</v>
      </c>
      <c r="B115" s="84" t="s">
        <v>1108</v>
      </c>
      <c r="C115" s="85" t="s">
        <v>932</v>
      </c>
      <c r="D115" s="86" t="s">
        <v>676</v>
      </c>
      <c r="E115" s="87" t="s">
        <v>476</v>
      </c>
      <c r="F115" s="88" t="s">
        <v>476</v>
      </c>
      <c r="G115" s="89" t="s">
        <v>476</v>
      </c>
      <c r="H115" s="84" t="s">
        <v>477</v>
      </c>
      <c r="I115" s="85" t="s">
        <v>1869</v>
      </c>
      <c r="J115" s="85" t="s">
        <v>1870</v>
      </c>
      <c r="K115" s="85" t="s">
        <v>1869</v>
      </c>
    </row>
    <row r="116" spans="1:11" ht="15" thickBot="1" x14ac:dyDescent="0.35">
      <c r="A116" s="84" t="s">
        <v>1025</v>
      </c>
      <c r="B116" s="84" t="s">
        <v>1109</v>
      </c>
      <c r="C116" s="85" t="s">
        <v>928</v>
      </c>
      <c r="D116" s="86" t="s">
        <v>1110</v>
      </c>
      <c r="E116" s="87" t="s">
        <v>476</v>
      </c>
      <c r="F116" s="88" t="s">
        <v>476</v>
      </c>
      <c r="G116" s="89" t="s">
        <v>476</v>
      </c>
      <c r="H116" s="84" t="s">
        <v>477</v>
      </c>
      <c r="I116" s="85" t="s">
        <v>1927</v>
      </c>
      <c r="J116" s="85" t="s">
        <v>1870</v>
      </c>
      <c r="K116" s="85" t="s">
        <v>1869</v>
      </c>
    </row>
    <row r="117" spans="1:11" ht="15" thickBot="1" x14ac:dyDescent="0.35">
      <c r="A117" s="84" t="s">
        <v>1025</v>
      </c>
      <c r="B117" s="84" t="s">
        <v>1111</v>
      </c>
      <c r="C117" s="85" t="s">
        <v>932</v>
      </c>
      <c r="D117" s="86" t="s">
        <v>568</v>
      </c>
      <c r="E117" s="87" t="s">
        <v>479</v>
      </c>
      <c r="F117" s="88" t="s">
        <v>479</v>
      </c>
      <c r="G117" s="89">
        <v>100203</v>
      </c>
      <c r="H117" s="84" t="s">
        <v>1924</v>
      </c>
      <c r="I117" s="85" t="s">
        <v>1869</v>
      </c>
      <c r="J117" s="85" t="s">
        <v>1870</v>
      </c>
      <c r="K117" s="85" t="s">
        <v>1869</v>
      </c>
    </row>
    <row r="118" spans="1:11" ht="15" thickBot="1" x14ac:dyDescent="0.35">
      <c r="A118" s="84" t="s">
        <v>1025</v>
      </c>
      <c r="B118" s="84" t="s">
        <v>1112</v>
      </c>
      <c r="C118" s="85" t="s">
        <v>932</v>
      </c>
      <c r="D118" s="86" t="s">
        <v>569</v>
      </c>
      <c r="E118" s="87" t="s">
        <v>479</v>
      </c>
      <c r="F118" s="88" t="s">
        <v>479</v>
      </c>
      <c r="G118" s="89">
        <v>100203</v>
      </c>
      <c r="H118" s="84" t="s">
        <v>1924</v>
      </c>
      <c r="I118" s="85" t="s">
        <v>1869</v>
      </c>
      <c r="J118" s="85" t="s">
        <v>1870</v>
      </c>
      <c r="K118" s="85" t="s">
        <v>1869</v>
      </c>
    </row>
    <row r="119" spans="1:11" ht="15" thickBot="1" x14ac:dyDescent="0.35">
      <c r="A119" s="84" t="s">
        <v>1025</v>
      </c>
      <c r="B119" s="84" t="s">
        <v>1113</v>
      </c>
      <c r="C119" s="85" t="s">
        <v>963</v>
      </c>
      <c r="D119" s="86" t="s">
        <v>1114</v>
      </c>
      <c r="E119" s="87" t="s">
        <v>1096</v>
      </c>
      <c r="F119" s="88" t="s">
        <v>1096</v>
      </c>
      <c r="G119" s="89" t="s">
        <v>1096</v>
      </c>
      <c r="H119" s="84" t="s">
        <v>1097</v>
      </c>
      <c r="I119" s="85" t="s">
        <v>1869</v>
      </c>
      <c r="J119" s="85" t="s">
        <v>1870</v>
      </c>
      <c r="K119" s="85" t="s">
        <v>1869</v>
      </c>
    </row>
    <row r="120" spans="1:11" ht="15" thickBot="1" x14ac:dyDescent="0.35">
      <c r="A120" s="84" t="s">
        <v>1025</v>
      </c>
      <c r="B120" s="84" t="s">
        <v>1115</v>
      </c>
      <c r="C120" s="85" t="s">
        <v>963</v>
      </c>
      <c r="D120" s="86" t="s">
        <v>345</v>
      </c>
      <c r="E120" s="87" t="s">
        <v>215</v>
      </c>
      <c r="F120" s="88" t="s">
        <v>215</v>
      </c>
      <c r="G120" s="89" t="s">
        <v>215</v>
      </c>
      <c r="H120" s="84" t="s">
        <v>216</v>
      </c>
      <c r="I120" s="85" t="s">
        <v>1869</v>
      </c>
      <c r="J120" s="85" t="s">
        <v>1870</v>
      </c>
      <c r="K120" s="85" t="s">
        <v>1869</v>
      </c>
    </row>
    <row r="121" spans="1:11" ht="15" thickBot="1" x14ac:dyDescent="0.35">
      <c r="A121" s="84" t="s">
        <v>1025</v>
      </c>
      <c r="B121" s="84" t="s">
        <v>1116</v>
      </c>
      <c r="C121" s="85" t="s">
        <v>963</v>
      </c>
      <c r="D121" s="86" t="s">
        <v>582</v>
      </c>
      <c r="E121" s="87" t="s">
        <v>548</v>
      </c>
      <c r="F121" s="88" t="s">
        <v>548</v>
      </c>
      <c r="G121" s="89" t="s">
        <v>548</v>
      </c>
      <c r="H121" s="84" t="s">
        <v>549</v>
      </c>
      <c r="I121" s="85" t="s">
        <v>1869</v>
      </c>
      <c r="J121" s="85" t="s">
        <v>1870</v>
      </c>
      <c r="K121" s="85" t="s">
        <v>1869</v>
      </c>
    </row>
    <row r="122" spans="1:11" ht="15" thickBot="1" x14ac:dyDescent="0.35">
      <c r="A122" s="84" t="s">
        <v>1025</v>
      </c>
      <c r="B122" s="84" t="s">
        <v>1117</v>
      </c>
      <c r="C122" s="85" t="s">
        <v>963</v>
      </c>
      <c r="D122" s="86" t="s">
        <v>465</v>
      </c>
      <c r="E122" s="87" t="s">
        <v>235</v>
      </c>
      <c r="F122" s="88" t="s">
        <v>235</v>
      </c>
      <c r="G122" s="89" t="s">
        <v>235</v>
      </c>
      <c r="H122" s="84" t="s">
        <v>236</v>
      </c>
      <c r="I122" s="85" t="s">
        <v>1869</v>
      </c>
      <c r="J122" s="85" t="s">
        <v>1870</v>
      </c>
      <c r="K122" s="85" t="s">
        <v>1869</v>
      </c>
    </row>
    <row r="123" spans="1:11" ht="15" thickBot="1" x14ac:dyDescent="0.35">
      <c r="A123" s="84" t="s">
        <v>1025</v>
      </c>
      <c r="B123" s="84" t="s">
        <v>1118</v>
      </c>
      <c r="C123" s="85" t="s">
        <v>963</v>
      </c>
      <c r="D123" s="86" t="s">
        <v>466</v>
      </c>
      <c r="E123" s="87" t="s">
        <v>467</v>
      </c>
      <c r="F123" s="88" t="s">
        <v>467</v>
      </c>
      <c r="G123" s="89">
        <v>500102</v>
      </c>
      <c r="H123" s="84" t="s">
        <v>1928</v>
      </c>
      <c r="I123" s="85" t="s">
        <v>1869</v>
      </c>
      <c r="J123" s="85" t="s">
        <v>1870</v>
      </c>
      <c r="K123" s="85" t="s">
        <v>1869</v>
      </c>
    </row>
    <row r="124" spans="1:11" ht="15" thickBot="1" x14ac:dyDescent="0.35">
      <c r="A124" s="84" t="s">
        <v>1025</v>
      </c>
      <c r="B124" s="84" t="s">
        <v>1119</v>
      </c>
      <c r="C124" s="85" t="s">
        <v>963</v>
      </c>
      <c r="D124" s="86" t="s">
        <v>843</v>
      </c>
      <c r="E124" s="87" t="s">
        <v>428</v>
      </c>
      <c r="F124" s="88" t="s">
        <v>428</v>
      </c>
      <c r="G124" s="89" t="s">
        <v>428</v>
      </c>
      <c r="H124" s="84" t="s">
        <v>429</v>
      </c>
      <c r="I124" s="85" t="s">
        <v>1869</v>
      </c>
      <c r="J124" s="85" t="s">
        <v>1870</v>
      </c>
      <c r="K124" s="85" t="s">
        <v>1869</v>
      </c>
    </row>
    <row r="125" spans="1:11" ht="15" thickBot="1" x14ac:dyDescent="0.35">
      <c r="A125" s="84" t="s">
        <v>1025</v>
      </c>
      <c r="B125" s="84" t="s">
        <v>1120</v>
      </c>
      <c r="C125" s="85" t="s">
        <v>963</v>
      </c>
      <c r="D125" s="86" t="s">
        <v>844</v>
      </c>
      <c r="E125" s="87" t="s">
        <v>551</v>
      </c>
      <c r="F125" s="88" t="s">
        <v>551</v>
      </c>
      <c r="G125" s="89" t="s">
        <v>551</v>
      </c>
      <c r="H125" s="84" t="s">
        <v>552</v>
      </c>
      <c r="I125" s="85" t="s">
        <v>1869</v>
      </c>
      <c r="J125" s="85" t="s">
        <v>1870</v>
      </c>
      <c r="K125" s="85" t="s">
        <v>1869</v>
      </c>
    </row>
    <row r="126" spans="1:11" ht="15" thickBot="1" x14ac:dyDescent="0.35">
      <c r="A126" s="84" t="s">
        <v>1025</v>
      </c>
      <c r="B126" s="84" t="s">
        <v>1121</v>
      </c>
      <c r="C126" s="85" t="s">
        <v>963</v>
      </c>
      <c r="D126" s="86" t="s">
        <v>114</v>
      </c>
      <c r="E126" s="87" t="s">
        <v>115</v>
      </c>
      <c r="F126" s="88" t="s">
        <v>115</v>
      </c>
      <c r="G126" s="89" t="s">
        <v>115</v>
      </c>
      <c r="H126" s="84" t="s">
        <v>116</v>
      </c>
      <c r="I126" s="85" t="s">
        <v>1869</v>
      </c>
      <c r="J126" s="85" t="s">
        <v>1870</v>
      </c>
      <c r="K126" s="85" t="s">
        <v>1869</v>
      </c>
    </row>
    <row r="127" spans="1:11" ht="15" thickBot="1" x14ac:dyDescent="0.35">
      <c r="A127" s="84" t="s">
        <v>1025</v>
      </c>
      <c r="B127" s="84" t="s">
        <v>1122</v>
      </c>
      <c r="C127" s="85" t="s">
        <v>963</v>
      </c>
      <c r="D127" s="86" t="s">
        <v>583</v>
      </c>
      <c r="E127" s="87" t="s">
        <v>238</v>
      </c>
      <c r="F127" s="88" t="s">
        <v>238</v>
      </c>
      <c r="G127" s="89" t="s">
        <v>238</v>
      </c>
      <c r="H127" s="84" t="s">
        <v>239</v>
      </c>
      <c r="I127" s="85" t="s">
        <v>1869</v>
      </c>
      <c r="J127" s="85" t="s">
        <v>1870</v>
      </c>
      <c r="K127" s="85" t="s">
        <v>1869</v>
      </c>
    </row>
    <row r="128" spans="1:11" ht="15" thickBot="1" x14ac:dyDescent="0.35">
      <c r="A128" s="84" t="s">
        <v>1025</v>
      </c>
      <c r="B128" s="84" t="s">
        <v>1123</v>
      </c>
      <c r="C128" s="85" t="s">
        <v>963</v>
      </c>
      <c r="D128" s="86" t="s">
        <v>845</v>
      </c>
      <c r="E128" s="87" t="s">
        <v>238</v>
      </c>
      <c r="F128" s="88" t="s">
        <v>238</v>
      </c>
      <c r="G128" s="89">
        <v>100301</v>
      </c>
      <c r="H128" s="84" t="s">
        <v>1929</v>
      </c>
      <c r="I128" s="85" t="s">
        <v>1869</v>
      </c>
      <c r="J128" s="85" t="s">
        <v>1870</v>
      </c>
      <c r="K128" s="85" t="s">
        <v>1869</v>
      </c>
    </row>
    <row r="129" spans="1:11" ht="15" thickBot="1" x14ac:dyDescent="0.35">
      <c r="A129" s="84" t="s">
        <v>1025</v>
      </c>
      <c r="B129" s="84" t="s">
        <v>1124</v>
      </c>
      <c r="C129" s="85" t="s">
        <v>963</v>
      </c>
      <c r="D129" s="86" t="s">
        <v>846</v>
      </c>
      <c r="E129" s="87" t="s">
        <v>54</v>
      </c>
      <c r="F129" s="88" t="s">
        <v>54</v>
      </c>
      <c r="G129" s="89" t="s">
        <v>54</v>
      </c>
      <c r="H129" s="84" t="s">
        <v>55</v>
      </c>
      <c r="I129" s="85" t="s">
        <v>1869</v>
      </c>
      <c r="J129" s="85" t="s">
        <v>1870</v>
      </c>
      <c r="K129" s="85" t="s">
        <v>1869</v>
      </c>
    </row>
    <row r="130" spans="1:11" ht="15" thickBot="1" x14ac:dyDescent="0.35">
      <c r="A130" s="84" t="s">
        <v>1025</v>
      </c>
      <c r="B130" s="84" t="s">
        <v>1125</v>
      </c>
      <c r="C130" s="85" t="s">
        <v>963</v>
      </c>
      <c r="D130" s="86" t="s">
        <v>121</v>
      </c>
      <c r="E130" s="87" t="s">
        <v>122</v>
      </c>
      <c r="F130" s="88" t="s">
        <v>122</v>
      </c>
      <c r="G130" s="89" t="s">
        <v>122</v>
      </c>
      <c r="H130" s="84" t="s">
        <v>123</v>
      </c>
      <c r="I130" s="85" t="s">
        <v>1869</v>
      </c>
      <c r="J130" s="85" t="s">
        <v>1870</v>
      </c>
      <c r="K130" s="85" t="s">
        <v>1869</v>
      </c>
    </row>
    <row r="131" spans="1:11" ht="15" thickBot="1" x14ac:dyDescent="0.35">
      <c r="A131" s="84" t="s">
        <v>1025</v>
      </c>
      <c r="B131" s="84" t="s">
        <v>1126</v>
      </c>
      <c r="C131" s="85" t="s">
        <v>963</v>
      </c>
      <c r="D131" s="86" t="s">
        <v>586</v>
      </c>
      <c r="E131" s="87" t="s">
        <v>63</v>
      </c>
      <c r="F131" s="88" t="s">
        <v>63</v>
      </c>
      <c r="G131" s="89" t="s">
        <v>63</v>
      </c>
      <c r="H131" s="84" t="s">
        <v>64</v>
      </c>
      <c r="I131" s="85" t="s">
        <v>1869</v>
      </c>
      <c r="J131" s="85" t="s">
        <v>1870</v>
      </c>
      <c r="K131" s="85" t="s">
        <v>1869</v>
      </c>
    </row>
    <row r="132" spans="1:11" ht="15" thickBot="1" x14ac:dyDescent="0.35">
      <c r="A132" s="84" t="s">
        <v>1025</v>
      </c>
      <c r="B132" s="84" t="s">
        <v>1127</v>
      </c>
      <c r="C132" s="85" t="s">
        <v>963</v>
      </c>
      <c r="D132" s="86" t="s">
        <v>475</v>
      </c>
      <c r="E132" s="87" t="s">
        <v>476</v>
      </c>
      <c r="F132" s="88" t="s">
        <v>476</v>
      </c>
      <c r="G132" s="89" t="s">
        <v>476</v>
      </c>
      <c r="H132" s="84" t="s">
        <v>477</v>
      </c>
      <c r="I132" s="85" t="s">
        <v>1869</v>
      </c>
      <c r="J132" s="85" t="s">
        <v>1870</v>
      </c>
      <c r="K132" s="85" t="s">
        <v>1869</v>
      </c>
    </row>
    <row r="133" spans="1:11" ht="15" thickBot="1" x14ac:dyDescent="0.35">
      <c r="A133" s="84" t="s">
        <v>1025</v>
      </c>
      <c r="B133" s="84" t="s">
        <v>1128</v>
      </c>
      <c r="C133" s="85" t="s">
        <v>963</v>
      </c>
      <c r="D133" s="86" t="s">
        <v>478</v>
      </c>
      <c r="E133" s="87" t="s">
        <v>479</v>
      </c>
      <c r="F133" s="88" t="s">
        <v>479</v>
      </c>
      <c r="G133" s="89" t="s">
        <v>479</v>
      </c>
      <c r="H133" s="84" t="s">
        <v>480</v>
      </c>
      <c r="I133" s="85" t="s">
        <v>1869</v>
      </c>
      <c r="J133" s="85" t="s">
        <v>1870</v>
      </c>
      <c r="K133" s="85" t="s">
        <v>1869</v>
      </c>
    </row>
    <row r="134" spans="1:11" ht="15" thickBot="1" x14ac:dyDescent="0.35">
      <c r="A134" s="84" t="s">
        <v>1129</v>
      </c>
      <c r="B134" s="84" t="s">
        <v>1130</v>
      </c>
      <c r="C134" s="85" t="s">
        <v>928</v>
      </c>
      <c r="D134" s="86" t="s">
        <v>862</v>
      </c>
      <c r="E134" s="87" t="s">
        <v>863</v>
      </c>
      <c r="F134" s="88" t="s">
        <v>863</v>
      </c>
      <c r="G134" s="89" t="s">
        <v>863</v>
      </c>
      <c r="H134" s="84" t="s">
        <v>864</v>
      </c>
      <c r="I134" s="85" t="s">
        <v>1930</v>
      </c>
      <c r="J134" s="85" t="s">
        <v>1870</v>
      </c>
      <c r="K134" s="85" t="s">
        <v>1869</v>
      </c>
    </row>
    <row r="135" spans="1:11" ht="15" thickBot="1" x14ac:dyDescent="0.35">
      <c r="A135" s="84" t="s">
        <v>1129</v>
      </c>
      <c r="B135" s="84" t="s">
        <v>1131</v>
      </c>
      <c r="C135" s="85" t="s">
        <v>928</v>
      </c>
      <c r="D135" s="86" t="s">
        <v>1132</v>
      </c>
      <c r="E135" s="87" t="s">
        <v>1133</v>
      </c>
      <c r="F135" s="88" t="s">
        <v>1133</v>
      </c>
      <c r="G135" s="89" t="s">
        <v>1133</v>
      </c>
      <c r="H135" s="84" t="s">
        <v>1134</v>
      </c>
      <c r="I135" s="85" t="s">
        <v>1931</v>
      </c>
      <c r="J135" s="85" t="s">
        <v>1870</v>
      </c>
      <c r="K135" s="85" t="s">
        <v>1869</v>
      </c>
    </row>
    <row r="136" spans="1:11" ht="15" thickBot="1" x14ac:dyDescent="0.35">
      <c r="A136" s="84" t="s">
        <v>1129</v>
      </c>
      <c r="B136" s="84" t="s">
        <v>1135</v>
      </c>
      <c r="C136" s="85" t="s">
        <v>928</v>
      </c>
      <c r="D136" s="86" t="s">
        <v>1136</v>
      </c>
      <c r="E136" s="87" t="s">
        <v>1133</v>
      </c>
      <c r="F136" s="88" t="s">
        <v>1133</v>
      </c>
      <c r="G136" s="89" t="s">
        <v>1133</v>
      </c>
      <c r="H136" s="84" t="s">
        <v>1134</v>
      </c>
      <c r="I136" s="85" t="s">
        <v>1932</v>
      </c>
      <c r="J136" s="85" t="s">
        <v>1870</v>
      </c>
      <c r="K136" s="85" t="s">
        <v>1869</v>
      </c>
    </row>
    <row r="137" spans="1:11" ht="15" thickBot="1" x14ac:dyDescent="0.35">
      <c r="A137" s="84" t="s">
        <v>1129</v>
      </c>
      <c r="B137" s="84" t="s">
        <v>1137</v>
      </c>
      <c r="C137" s="85" t="s">
        <v>928</v>
      </c>
      <c r="D137" s="86" t="s">
        <v>1138</v>
      </c>
      <c r="E137" s="87" t="s">
        <v>1133</v>
      </c>
      <c r="F137" s="88" t="s">
        <v>1133</v>
      </c>
      <c r="G137" s="89" t="s">
        <v>1133</v>
      </c>
      <c r="H137" s="84" t="s">
        <v>1134</v>
      </c>
      <c r="I137" s="85" t="s">
        <v>1933</v>
      </c>
      <c r="J137" s="85" t="s">
        <v>1870</v>
      </c>
      <c r="K137" s="85" t="s">
        <v>1869</v>
      </c>
    </row>
    <row r="138" spans="1:11" ht="15" thickBot="1" x14ac:dyDescent="0.35">
      <c r="A138" s="84" t="s">
        <v>1129</v>
      </c>
      <c r="B138" s="84" t="s">
        <v>1139</v>
      </c>
      <c r="C138" s="85" t="s">
        <v>928</v>
      </c>
      <c r="D138" s="86" t="s">
        <v>600</v>
      </c>
      <c r="E138" s="87" t="s">
        <v>423</v>
      </c>
      <c r="F138" s="88" t="s">
        <v>423</v>
      </c>
      <c r="G138" s="89" t="s">
        <v>423</v>
      </c>
      <c r="H138" s="84" t="s">
        <v>424</v>
      </c>
      <c r="I138" s="85" t="s">
        <v>1934</v>
      </c>
      <c r="J138" s="85" t="s">
        <v>1870</v>
      </c>
      <c r="K138" s="85" t="s">
        <v>1869</v>
      </c>
    </row>
    <row r="139" spans="1:11" ht="15" thickBot="1" x14ac:dyDescent="0.35">
      <c r="A139" s="84" t="s">
        <v>1129</v>
      </c>
      <c r="B139" s="84" t="s">
        <v>1140</v>
      </c>
      <c r="C139" s="85" t="s">
        <v>963</v>
      </c>
      <c r="D139" s="86" t="s">
        <v>107</v>
      </c>
      <c r="E139" s="87" t="s">
        <v>108</v>
      </c>
      <c r="F139" s="88" t="s">
        <v>108</v>
      </c>
      <c r="G139" s="89" t="s">
        <v>108</v>
      </c>
      <c r="H139" s="84" t="s">
        <v>109</v>
      </c>
      <c r="I139" s="85" t="s">
        <v>1869</v>
      </c>
      <c r="J139" s="85" t="s">
        <v>1870</v>
      </c>
      <c r="K139" s="85" t="s">
        <v>1869</v>
      </c>
    </row>
    <row r="140" spans="1:11" ht="15" thickBot="1" x14ac:dyDescent="0.35">
      <c r="A140" s="84" t="s">
        <v>1129</v>
      </c>
      <c r="B140" s="84" t="s">
        <v>1141</v>
      </c>
      <c r="C140" s="85" t="s">
        <v>928</v>
      </c>
      <c r="D140" s="86" t="s">
        <v>601</v>
      </c>
      <c r="E140" s="87" t="s">
        <v>108</v>
      </c>
      <c r="F140" s="88" t="s">
        <v>108</v>
      </c>
      <c r="G140" s="89" t="s">
        <v>108</v>
      </c>
      <c r="H140" s="84" t="s">
        <v>109</v>
      </c>
      <c r="I140" s="85" t="s">
        <v>1935</v>
      </c>
      <c r="J140" s="85" t="s">
        <v>1871</v>
      </c>
      <c r="K140" s="85" t="s">
        <v>1936</v>
      </c>
    </row>
    <row r="141" spans="1:11" ht="15" thickBot="1" x14ac:dyDescent="0.35">
      <c r="A141" s="84" t="s">
        <v>1129</v>
      </c>
      <c r="B141" s="84" t="s">
        <v>1142</v>
      </c>
      <c r="C141" s="85" t="s">
        <v>963</v>
      </c>
      <c r="D141" s="86" t="s">
        <v>351</v>
      </c>
      <c r="E141" s="87" t="s">
        <v>38</v>
      </c>
      <c r="F141" s="88" t="s">
        <v>38</v>
      </c>
      <c r="G141" s="89" t="s">
        <v>38</v>
      </c>
      <c r="H141" s="84" t="s">
        <v>39</v>
      </c>
      <c r="I141" s="85" t="s">
        <v>1869</v>
      </c>
      <c r="J141" s="85" t="s">
        <v>1870</v>
      </c>
      <c r="K141" s="85" t="s">
        <v>1869</v>
      </c>
    </row>
    <row r="142" spans="1:11" ht="15" thickBot="1" x14ac:dyDescent="0.35">
      <c r="A142" s="84" t="s">
        <v>1129</v>
      </c>
      <c r="B142" s="84" t="s">
        <v>1143</v>
      </c>
      <c r="C142" s="85" t="s">
        <v>963</v>
      </c>
      <c r="D142" s="86" t="s">
        <v>528</v>
      </c>
      <c r="E142" s="87" t="s">
        <v>38</v>
      </c>
      <c r="F142" s="88" t="s">
        <v>38</v>
      </c>
      <c r="G142" s="89">
        <v>510705</v>
      </c>
      <c r="H142" s="84" t="s">
        <v>1937</v>
      </c>
      <c r="I142" s="85" t="s">
        <v>1869</v>
      </c>
      <c r="J142" s="85" t="s">
        <v>1870</v>
      </c>
      <c r="K142" s="85" t="s">
        <v>1869</v>
      </c>
    </row>
    <row r="143" spans="1:11" ht="15" thickBot="1" x14ac:dyDescent="0.35">
      <c r="A143" s="84" t="s">
        <v>1129</v>
      </c>
      <c r="B143" s="84" t="s">
        <v>1144</v>
      </c>
      <c r="C143" s="85" t="s">
        <v>963</v>
      </c>
      <c r="D143" s="86" t="s">
        <v>110</v>
      </c>
      <c r="E143" s="87" t="s">
        <v>41</v>
      </c>
      <c r="F143" s="88" t="s">
        <v>41</v>
      </c>
      <c r="G143" s="89" t="s">
        <v>41</v>
      </c>
      <c r="H143" s="84" t="s">
        <v>42</v>
      </c>
      <c r="I143" s="85" t="s">
        <v>1869</v>
      </c>
      <c r="J143" s="85" t="s">
        <v>1870</v>
      </c>
      <c r="K143" s="85" t="s">
        <v>1869</v>
      </c>
    </row>
    <row r="144" spans="1:11" ht="15" thickBot="1" x14ac:dyDescent="0.35">
      <c r="A144" s="84" t="s">
        <v>1129</v>
      </c>
      <c r="B144" s="84" t="s">
        <v>1145</v>
      </c>
      <c r="C144" s="85" t="s">
        <v>976</v>
      </c>
      <c r="D144" s="86" t="s">
        <v>696</v>
      </c>
      <c r="E144" s="87" t="s">
        <v>108</v>
      </c>
      <c r="F144" s="88" t="s">
        <v>108</v>
      </c>
      <c r="G144" s="89" t="s">
        <v>108</v>
      </c>
      <c r="H144" s="84" t="s">
        <v>109</v>
      </c>
      <c r="I144" s="85" t="s">
        <v>1869</v>
      </c>
      <c r="J144" s="85" t="s">
        <v>1870</v>
      </c>
      <c r="K144" s="85" t="s">
        <v>1869</v>
      </c>
    </row>
    <row r="145" spans="1:11" ht="15" thickBot="1" x14ac:dyDescent="0.35">
      <c r="A145" s="84" t="s">
        <v>1129</v>
      </c>
      <c r="B145" s="84" t="s">
        <v>1146</v>
      </c>
      <c r="C145" s="85" t="s">
        <v>963</v>
      </c>
      <c r="D145" s="86" t="s">
        <v>111</v>
      </c>
      <c r="E145" s="87" t="s">
        <v>112</v>
      </c>
      <c r="F145" s="88" t="s">
        <v>112</v>
      </c>
      <c r="G145" s="89" t="s">
        <v>112</v>
      </c>
      <c r="H145" s="84" t="s">
        <v>113</v>
      </c>
      <c r="I145" s="85" t="s">
        <v>1869</v>
      </c>
      <c r="J145" s="85" t="s">
        <v>1870</v>
      </c>
      <c r="K145" s="85" t="s">
        <v>1869</v>
      </c>
    </row>
    <row r="146" spans="1:11" ht="15" thickBot="1" x14ac:dyDescent="0.35">
      <c r="A146" s="84" t="s">
        <v>1129</v>
      </c>
      <c r="B146" s="84" t="s">
        <v>1147</v>
      </c>
      <c r="C146" s="85" t="s">
        <v>963</v>
      </c>
      <c r="D146" s="86" t="s">
        <v>754</v>
      </c>
      <c r="E146" s="87" t="s">
        <v>509</v>
      </c>
      <c r="F146" s="88" t="s">
        <v>509</v>
      </c>
      <c r="G146" s="89">
        <v>307102</v>
      </c>
      <c r="H146" s="84" t="s">
        <v>1938</v>
      </c>
      <c r="I146" s="85" t="s">
        <v>1869</v>
      </c>
      <c r="J146" s="85" t="s">
        <v>1870</v>
      </c>
      <c r="K146" s="85" t="s">
        <v>1869</v>
      </c>
    </row>
    <row r="147" spans="1:11" ht="15" thickBot="1" x14ac:dyDescent="0.35">
      <c r="A147" s="84" t="s">
        <v>1129</v>
      </c>
      <c r="B147" s="84" t="s">
        <v>1148</v>
      </c>
      <c r="C147" s="85" t="s">
        <v>963</v>
      </c>
      <c r="D147" s="86" t="s">
        <v>581</v>
      </c>
      <c r="E147" s="87" t="s">
        <v>180</v>
      </c>
      <c r="F147" s="88" t="s">
        <v>180</v>
      </c>
      <c r="G147" s="89" t="s">
        <v>180</v>
      </c>
      <c r="H147" s="84" t="s">
        <v>181</v>
      </c>
      <c r="I147" s="85" t="s">
        <v>1869</v>
      </c>
      <c r="J147" s="85" t="s">
        <v>1870</v>
      </c>
      <c r="K147" s="85" t="s">
        <v>1869</v>
      </c>
    </row>
    <row r="148" spans="1:11" ht="15" thickBot="1" x14ac:dyDescent="0.35">
      <c r="A148" s="84" t="s">
        <v>1129</v>
      </c>
      <c r="B148" s="84" t="s">
        <v>1149</v>
      </c>
      <c r="C148" s="85" t="s">
        <v>932</v>
      </c>
      <c r="D148" s="86" t="s">
        <v>422</v>
      </c>
      <c r="E148" s="87" t="s">
        <v>423</v>
      </c>
      <c r="F148" s="88" t="s">
        <v>423</v>
      </c>
      <c r="G148" s="89">
        <v>510705</v>
      </c>
      <c r="H148" s="84" t="s">
        <v>1937</v>
      </c>
      <c r="I148" s="85" t="s">
        <v>1869</v>
      </c>
      <c r="J148" s="85" t="s">
        <v>1870</v>
      </c>
      <c r="K148" s="85" t="s">
        <v>1869</v>
      </c>
    </row>
    <row r="149" spans="1:11" ht="15" thickBot="1" x14ac:dyDescent="0.35">
      <c r="A149" s="84" t="s">
        <v>1129</v>
      </c>
      <c r="B149" s="84" t="s">
        <v>1150</v>
      </c>
      <c r="C149" s="85" t="s">
        <v>932</v>
      </c>
      <c r="D149" s="86" t="s">
        <v>153</v>
      </c>
      <c r="E149" s="87" t="s">
        <v>108</v>
      </c>
      <c r="F149" s="88" t="s">
        <v>108</v>
      </c>
      <c r="G149" s="89" t="s">
        <v>108</v>
      </c>
      <c r="H149" s="84" t="s">
        <v>109</v>
      </c>
      <c r="I149" s="85" t="s">
        <v>1869</v>
      </c>
      <c r="J149" s="85" t="s">
        <v>1870</v>
      </c>
      <c r="K149" s="85" t="s">
        <v>1869</v>
      </c>
    </row>
    <row r="150" spans="1:11" ht="15" thickBot="1" x14ac:dyDescent="0.35">
      <c r="A150" s="84" t="s">
        <v>1129</v>
      </c>
      <c r="B150" s="84" t="s">
        <v>1151</v>
      </c>
      <c r="C150" s="85" t="s">
        <v>932</v>
      </c>
      <c r="D150" s="86" t="s">
        <v>154</v>
      </c>
      <c r="E150" s="87" t="s">
        <v>108</v>
      </c>
      <c r="F150" s="88" t="s">
        <v>108</v>
      </c>
      <c r="G150" s="89" t="s">
        <v>108</v>
      </c>
      <c r="H150" s="84" t="s">
        <v>109</v>
      </c>
      <c r="I150" s="85" t="s">
        <v>1869</v>
      </c>
      <c r="J150" s="85" t="s">
        <v>1870</v>
      </c>
      <c r="K150" s="85" t="s">
        <v>1869</v>
      </c>
    </row>
    <row r="151" spans="1:11" ht="15" thickBot="1" x14ac:dyDescent="0.35">
      <c r="A151" s="84" t="s">
        <v>1129</v>
      </c>
      <c r="B151" s="84" t="s">
        <v>1152</v>
      </c>
      <c r="C151" s="85" t="s">
        <v>928</v>
      </c>
      <c r="D151" s="86" t="s">
        <v>1153</v>
      </c>
      <c r="E151" s="87" t="s">
        <v>41</v>
      </c>
      <c r="F151" s="88" t="s">
        <v>41</v>
      </c>
      <c r="G151" s="89" t="s">
        <v>41</v>
      </c>
      <c r="H151" s="84" t="s">
        <v>42</v>
      </c>
      <c r="I151" s="85" t="s">
        <v>1939</v>
      </c>
      <c r="J151" s="85" t="s">
        <v>1870</v>
      </c>
      <c r="K151" s="85" t="s">
        <v>1869</v>
      </c>
    </row>
    <row r="152" spans="1:11" ht="15" thickBot="1" x14ac:dyDescent="0.35">
      <c r="A152" s="84" t="s">
        <v>1129</v>
      </c>
      <c r="B152" s="84" t="s">
        <v>1154</v>
      </c>
      <c r="C152" s="85" t="s">
        <v>932</v>
      </c>
      <c r="D152" s="86" t="s">
        <v>507</v>
      </c>
      <c r="E152" s="87" t="s">
        <v>108</v>
      </c>
      <c r="F152" s="88" t="s">
        <v>108</v>
      </c>
      <c r="G152" s="89" t="s">
        <v>108</v>
      </c>
      <c r="H152" s="84" t="s">
        <v>109</v>
      </c>
      <c r="I152" s="85" t="s">
        <v>1869</v>
      </c>
      <c r="J152" s="85" t="s">
        <v>1870</v>
      </c>
      <c r="K152" s="85" t="s">
        <v>1869</v>
      </c>
    </row>
    <row r="153" spans="1:11" ht="15" thickBot="1" x14ac:dyDescent="0.35">
      <c r="A153" s="84" t="s">
        <v>1129</v>
      </c>
      <c r="B153" s="84" t="s">
        <v>1155</v>
      </c>
      <c r="C153" s="85" t="s">
        <v>932</v>
      </c>
      <c r="D153" s="86" t="s">
        <v>697</v>
      </c>
      <c r="E153" s="87" t="s">
        <v>108</v>
      </c>
      <c r="F153" s="88" t="s">
        <v>108</v>
      </c>
      <c r="G153" s="89">
        <v>520215</v>
      </c>
      <c r="H153" s="84" t="s">
        <v>1940</v>
      </c>
      <c r="I153" s="85" t="s">
        <v>1869</v>
      </c>
      <c r="J153" s="85" t="s">
        <v>1870</v>
      </c>
      <c r="K153" s="85" t="s">
        <v>1869</v>
      </c>
    </row>
    <row r="154" spans="1:11" ht="15" thickBot="1" x14ac:dyDescent="0.35">
      <c r="A154" s="84" t="s">
        <v>1129</v>
      </c>
      <c r="B154" s="84" t="s">
        <v>1156</v>
      </c>
      <c r="C154" s="85" t="s">
        <v>932</v>
      </c>
      <c r="D154" s="86" t="s">
        <v>393</v>
      </c>
      <c r="E154" s="87" t="s">
        <v>108</v>
      </c>
      <c r="F154" s="88" t="s">
        <v>108</v>
      </c>
      <c r="G154" s="89">
        <v>520215</v>
      </c>
      <c r="H154" s="84" t="s">
        <v>1940</v>
      </c>
      <c r="I154" s="85" t="s">
        <v>1869</v>
      </c>
      <c r="J154" s="85" t="s">
        <v>1870</v>
      </c>
      <c r="K154" s="85" t="s">
        <v>1869</v>
      </c>
    </row>
    <row r="155" spans="1:11" ht="15" thickBot="1" x14ac:dyDescent="0.35">
      <c r="A155" s="84" t="s">
        <v>1129</v>
      </c>
      <c r="B155" s="84" t="s">
        <v>1157</v>
      </c>
      <c r="C155" s="85" t="s">
        <v>928</v>
      </c>
      <c r="D155" s="86" t="s">
        <v>804</v>
      </c>
      <c r="E155" s="87" t="s">
        <v>805</v>
      </c>
      <c r="F155" s="88" t="s">
        <v>805</v>
      </c>
      <c r="G155" s="89" t="s">
        <v>805</v>
      </c>
      <c r="H155" s="84" t="s">
        <v>806</v>
      </c>
      <c r="I155" s="85" t="s">
        <v>1941</v>
      </c>
      <c r="J155" s="85" t="s">
        <v>1870</v>
      </c>
      <c r="K155" s="85" t="s">
        <v>1869</v>
      </c>
    </row>
    <row r="156" spans="1:11" ht="15" thickBot="1" x14ac:dyDescent="0.35">
      <c r="A156" s="84" t="s">
        <v>1129</v>
      </c>
      <c r="B156" s="84" t="s">
        <v>1158</v>
      </c>
      <c r="C156" s="85" t="s">
        <v>932</v>
      </c>
      <c r="D156" s="86" t="s">
        <v>1159</v>
      </c>
      <c r="E156" s="87" t="s">
        <v>108</v>
      </c>
      <c r="F156" s="88" t="s">
        <v>108</v>
      </c>
      <c r="G156" s="89" t="s">
        <v>108</v>
      </c>
      <c r="H156" s="84" t="s">
        <v>109</v>
      </c>
      <c r="I156" s="85" t="s">
        <v>1869</v>
      </c>
      <c r="J156" s="85" t="s">
        <v>1870</v>
      </c>
      <c r="K156" s="85" t="s">
        <v>1869</v>
      </c>
    </row>
    <row r="157" spans="1:11" ht="15" thickBot="1" x14ac:dyDescent="0.35">
      <c r="A157" s="84" t="s">
        <v>1129</v>
      </c>
      <c r="B157" s="84" t="s">
        <v>1160</v>
      </c>
      <c r="C157" s="85" t="s">
        <v>928</v>
      </c>
      <c r="D157" s="86" t="s">
        <v>1161</v>
      </c>
      <c r="E157" s="87" t="s">
        <v>1162</v>
      </c>
      <c r="F157" s="88" t="s">
        <v>1162</v>
      </c>
      <c r="G157" s="89" t="s">
        <v>1162</v>
      </c>
      <c r="H157" s="84" t="s">
        <v>1163</v>
      </c>
      <c r="I157" s="85" t="s">
        <v>1942</v>
      </c>
      <c r="J157" s="85" t="s">
        <v>1870</v>
      </c>
      <c r="K157" s="85" t="s">
        <v>1869</v>
      </c>
    </row>
    <row r="158" spans="1:11" ht="15" thickBot="1" x14ac:dyDescent="0.35">
      <c r="A158" s="84" t="s">
        <v>1129</v>
      </c>
      <c r="B158" s="84" t="s">
        <v>1164</v>
      </c>
      <c r="C158" s="85" t="s">
        <v>932</v>
      </c>
      <c r="D158" s="86" t="s">
        <v>37</v>
      </c>
      <c r="E158" s="87" t="s">
        <v>38</v>
      </c>
      <c r="F158" s="88" t="s">
        <v>38</v>
      </c>
      <c r="G158" s="89" t="s">
        <v>38</v>
      </c>
      <c r="H158" s="84" t="s">
        <v>39</v>
      </c>
      <c r="I158" s="85" t="s">
        <v>1869</v>
      </c>
      <c r="J158" s="85" t="s">
        <v>1870</v>
      </c>
      <c r="K158" s="85" t="s">
        <v>1869</v>
      </c>
    </row>
    <row r="159" spans="1:11" ht="15" thickBot="1" x14ac:dyDescent="0.35">
      <c r="A159" s="84" t="s">
        <v>1129</v>
      </c>
      <c r="B159" s="84" t="s">
        <v>1165</v>
      </c>
      <c r="C159" s="85" t="s">
        <v>932</v>
      </c>
      <c r="D159" s="86" t="s">
        <v>226</v>
      </c>
      <c r="E159" s="87" t="s">
        <v>38</v>
      </c>
      <c r="F159" s="88" t="s">
        <v>38</v>
      </c>
      <c r="G159" s="89" t="s">
        <v>38</v>
      </c>
      <c r="H159" s="84" t="s">
        <v>39</v>
      </c>
      <c r="I159" s="85" t="s">
        <v>1869</v>
      </c>
      <c r="J159" s="85" t="s">
        <v>1870</v>
      </c>
      <c r="K159" s="85" t="s">
        <v>1869</v>
      </c>
    </row>
    <row r="160" spans="1:11" ht="15" thickBot="1" x14ac:dyDescent="0.35">
      <c r="A160" s="84" t="s">
        <v>1129</v>
      </c>
      <c r="B160" s="84" t="s">
        <v>1166</v>
      </c>
      <c r="C160" s="85" t="s">
        <v>932</v>
      </c>
      <c r="D160" s="86" t="s">
        <v>914</v>
      </c>
      <c r="E160" s="87" t="s">
        <v>38</v>
      </c>
      <c r="F160" s="88" t="s">
        <v>38</v>
      </c>
      <c r="G160" s="89">
        <v>220301</v>
      </c>
      <c r="H160" s="84" t="s">
        <v>39</v>
      </c>
      <c r="I160" s="85" t="s">
        <v>1869</v>
      </c>
      <c r="J160" s="85" t="s">
        <v>1870</v>
      </c>
      <c r="K160" s="85" t="s">
        <v>1869</v>
      </c>
    </row>
    <row r="161" spans="1:11" ht="15" thickBot="1" x14ac:dyDescent="0.35">
      <c r="A161" s="84" t="s">
        <v>1129</v>
      </c>
      <c r="B161" s="84" t="s">
        <v>1167</v>
      </c>
      <c r="C161" s="85" t="s">
        <v>932</v>
      </c>
      <c r="D161" s="86" t="s">
        <v>227</v>
      </c>
      <c r="E161" s="87" t="s">
        <v>41</v>
      </c>
      <c r="F161" s="88" t="s">
        <v>41</v>
      </c>
      <c r="G161" s="89" t="s">
        <v>41</v>
      </c>
      <c r="H161" s="84" t="s">
        <v>42</v>
      </c>
      <c r="I161" s="85" t="s">
        <v>1869</v>
      </c>
      <c r="J161" s="85" t="s">
        <v>1870</v>
      </c>
      <c r="K161" s="85" t="s">
        <v>1869</v>
      </c>
    </row>
    <row r="162" spans="1:11" ht="15" thickBot="1" x14ac:dyDescent="0.35">
      <c r="A162" s="84" t="s">
        <v>1129</v>
      </c>
      <c r="B162" s="84" t="s">
        <v>1168</v>
      </c>
      <c r="C162" s="85" t="s">
        <v>932</v>
      </c>
      <c r="D162" s="86" t="s">
        <v>228</v>
      </c>
      <c r="E162" s="87" t="s">
        <v>41</v>
      </c>
      <c r="F162" s="88" t="s">
        <v>41</v>
      </c>
      <c r="G162" s="89" t="s">
        <v>41</v>
      </c>
      <c r="H162" s="84" t="s">
        <v>42</v>
      </c>
      <c r="I162" s="85" t="s">
        <v>1869</v>
      </c>
      <c r="J162" s="85" t="s">
        <v>1870</v>
      </c>
      <c r="K162" s="85" t="s">
        <v>1869</v>
      </c>
    </row>
    <row r="163" spans="1:11" ht="15" thickBot="1" x14ac:dyDescent="0.35">
      <c r="A163" s="84" t="s">
        <v>1129</v>
      </c>
      <c r="B163" s="84" t="s">
        <v>1169</v>
      </c>
      <c r="C163" s="85" t="s">
        <v>932</v>
      </c>
      <c r="D163" s="86" t="s">
        <v>40</v>
      </c>
      <c r="E163" s="87" t="s">
        <v>41</v>
      </c>
      <c r="F163" s="88" t="s">
        <v>41</v>
      </c>
      <c r="G163" s="89" t="s">
        <v>41</v>
      </c>
      <c r="H163" s="84" t="s">
        <v>42</v>
      </c>
      <c r="I163" s="85" t="s">
        <v>1869</v>
      </c>
      <c r="J163" s="85" t="s">
        <v>1870</v>
      </c>
      <c r="K163" s="85" t="s">
        <v>1869</v>
      </c>
    </row>
    <row r="164" spans="1:11" ht="15" thickBot="1" x14ac:dyDescent="0.35">
      <c r="A164" s="84" t="s">
        <v>1129</v>
      </c>
      <c r="B164" s="84" t="s">
        <v>1170</v>
      </c>
      <c r="C164" s="85" t="s">
        <v>932</v>
      </c>
      <c r="D164" s="86" t="s">
        <v>229</v>
      </c>
      <c r="E164" s="87" t="s">
        <v>230</v>
      </c>
      <c r="F164" s="88" t="s">
        <v>230</v>
      </c>
      <c r="G164" s="89" t="s">
        <v>230</v>
      </c>
      <c r="H164" s="84" t="s">
        <v>231</v>
      </c>
      <c r="I164" s="85" t="s">
        <v>1869</v>
      </c>
      <c r="J164" s="85" t="s">
        <v>1870</v>
      </c>
      <c r="K164" s="85" t="s">
        <v>1869</v>
      </c>
    </row>
    <row r="165" spans="1:11" ht="15" thickBot="1" x14ac:dyDescent="0.35">
      <c r="A165" s="84" t="s">
        <v>1129</v>
      </c>
      <c r="B165" s="84" t="s">
        <v>1171</v>
      </c>
      <c r="C165" s="85" t="s">
        <v>932</v>
      </c>
      <c r="D165" s="86" t="s">
        <v>232</v>
      </c>
      <c r="E165" s="87" t="s">
        <v>144</v>
      </c>
      <c r="F165" s="88" t="s">
        <v>144</v>
      </c>
      <c r="G165" s="89" t="s">
        <v>144</v>
      </c>
      <c r="H165" s="84" t="s">
        <v>145</v>
      </c>
      <c r="I165" s="85" t="s">
        <v>1869</v>
      </c>
      <c r="J165" s="85" t="s">
        <v>1870</v>
      </c>
      <c r="K165" s="85" t="s">
        <v>1869</v>
      </c>
    </row>
    <row r="166" spans="1:11" ht="15" thickBot="1" x14ac:dyDescent="0.35">
      <c r="A166" s="84" t="s">
        <v>1129</v>
      </c>
      <c r="B166" s="84" t="s">
        <v>1172</v>
      </c>
      <c r="C166" s="85" t="s">
        <v>932</v>
      </c>
      <c r="D166" s="86" t="s">
        <v>394</v>
      </c>
      <c r="E166" s="87" t="s">
        <v>112</v>
      </c>
      <c r="F166" s="88" t="s">
        <v>112</v>
      </c>
      <c r="G166" s="89" t="s">
        <v>112</v>
      </c>
      <c r="H166" s="84" t="s">
        <v>113</v>
      </c>
      <c r="I166" s="85" t="s">
        <v>1869</v>
      </c>
      <c r="J166" s="85" t="s">
        <v>1870</v>
      </c>
      <c r="K166" s="85" t="s">
        <v>1869</v>
      </c>
    </row>
    <row r="167" spans="1:11" ht="15" thickBot="1" x14ac:dyDescent="0.35">
      <c r="A167" s="84" t="s">
        <v>1129</v>
      </c>
      <c r="B167" s="84" t="s">
        <v>1146</v>
      </c>
      <c r="C167" s="85" t="s">
        <v>932</v>
      </c>
      <c r="D167" s="86" t="s">
        <v>233</v>
      </c>
      <c r="E167" s="87" t="s">
        <v>112</v>
      </c>
      <c r="F167" s="88" t="s">
        <v>112</v>
      </c>
      <c r="G167" s="89" t="s">
        <v>112</v>
      </c>
      <c r="H167" s="84" t="s">
        <v>113</v>
      </c>
      <c r="I167" s="85" t="s">
        <v>1869</v>
      </c>
      <c r="J167" s="85" t="s">
        <v>1870</v>
      </c>
      <c r="K167" s="85" t="s">
        <v>1869</v>
      </c>
    </row>
    <row r="168" spans="1:11" ht="15" thickBot="1" x14ac:dyDescent="0.35">
      <c r="A168" s="84" t="s">
        <v>1129</v>
      </c>
      <c r="B168" s="84" t="s">
        <v>1173</v>
      </c>
      <c r="C168" s="85" t="s">
        <v>932</v>
      </c>
      <c r="D168" s="86" t="s">
        <v>624</v>
      </c>
      <c r="E168" s="87" t="s">
        <v>112</v>
      </c>
      <c r="F168" s="88" t="s">
        <v>112</v>
      </c>
      <c r="G168" s="89" t="s">
        <v>112</v>
      </c>
      <c r="H168" s="84" t="s">
        <v>113</v>
      </c>
      <c r="I168" s="85" t="s">
        <v>1869</v>
      </c>
      <c r="J168" s="85" t="s">
        <v>1870</v>
      </c>
      <c r="K168" s="85" t="s">
        <v>1869</v>
      </c>
    </row>
    <row r="169" spans="1:11" ht="15" thickBot="1" x14ac:dyDescent="0.35">
      <c r="A169" s="84" t="s">
        <v>1174</v>
      </c>
      <c r="B169" s="84" t="s">
        <v>1175</v>
      </c>
      <c r="C169" s="85" t="s">
        <v>932</v>
      </c>
      <c r="D169" s="86" t="s">
        <v>1176</v>
      </c>
      <c r="E169" s="87" t="s">
        <v>112</v>
      </c>
      <c r="F169" s="88" t="s">
        <v>112</v>
      </c>
      <c r="G169" s="89" t="s">
        <v>112</v>
      </c>
      <c r="H169" s="84" t="s">
        <v>113</v>
      </c>
      <c r="I169" s="85" t="s">
        <v>1869</v>
      </c>
      <c r="J169" s="85" t="s">
        <v>1870</v>
      </c>
      <c r="K169" s="85" t="s">
        <v>1869</v>
      </c>
    </row>
    <row r="170" spans="1:11" ht="15" thickBot="1" x14ac:dyDescent="0.35">
      <c r="A170" s="84" t="s">
        <v>1177</v>
      </c>
      <c r="B170" s="84" t="s">
        <v>1178</v>
      </c>
      <c r="C170" s="85" t="s">
        <v>932</v>
      </c>
      <c r="D170" s="86" t="s">
        <v>622</v>
      </c>
      <c r="E170" s="87" t="s">
        <v>401</v>
      </c>
      <c r="F170" s="88" t="s">
        <v>401</v>
      </c>
      <c r="G170" s="89" t="s">
        <v>401</v>
      </c>
      <c r="H170" s="84" t="s">
        <v>402</v>
      </c>
      <c r="I170" s="85" t="s">
        <v>1869</v>
      </c>
      <c r="J170" s="85" t="s">
        <v>1870</v>
      </c>
      <c r="K170" s="85" t="s">
        <v>1869</v>
      </c>
    </row>
    <row r="171" spans="1:11" ht="15" thickBot="1" x14ac:dyDescent="0.35">
      <c r="A171" s="84" t="s">
        <v>1177</v>
      </c>
      <c r="B171" s="84" t="s">
        <v>1179</v>
      </c>
      <c r="C171" s="85" t="s">
        <v>928</v>
      </c>
      <c r="D171" s="86" t="s">
        <v>803</v>
      </c>
      <c r="E171" s="87" t="s">
        <v>343</v>
      </c>
      <c r="F171" s="88" t="s">
        <v>343</v>
      </c>
      <c r="G171" s="89" t="s">
        <v>343</v>
      </c>
      <c r="H171" s="84" t="s">
        <v>344</v>
      </c>
      <c r="I171" s="85" t="s">
        <v>1943</v>
      </c>
      <c r="J171" s="85" t="s">
        <v>1870</v>
      </c>
      <c r="K171" s="85" t="s">
        <v>1869</v>
      </c>
    </row>
    <row r="172" spans="1:11" ht="15" thickBot="1" x14ac:dyDescent="0.35">
      <c r="A172" s="84" t="s">
        <v>1177</v>
      </c>
      <c r="B172" s="84" t="s">
        <v>1180</v>
      </c>
      <c r="C172" s="85" t="s">
        <v>932</v>
      </c>
      <c r="D172" s="86" t="s">
        <v>28</v>
      </c>
      <c r="E172" s="87" t="s">
        <v>29</v>
      </c>
      <c r="F172" s="88" t="s">
        <v>29</v>
      </c>
      <c r="G172" s="89" t="s">
        <v>29</v>
      </c>
      <c r="H172" s="84" t="s">
        <v>30</v>
      </c>
      <c r="I172" s="85" t="s">
        <v>1869</v>
      </c>
      <c r="J172" s="85" t="s">
        <v>1870</v>
      </c>
      <c r="K172" s="85" t="s">
        <v>1869</v>
      </c>
    </row>
    <row r="173" spans="1:11" ht="15" thickBot="1" x14ac:dyDescent="0.35">
      <c r="A173" s="84" t="s">
        <v>1177</v>
      </c>
      <c r="B173" s="84" t="s">
        <v>1181</v>
      </c>
      <c r="C173" s="85" t="s">
        <v>928</v>
      </c>
      <c r="D173" s="86" t="s">
        <v>779</v>
      </c>
      <c r="E173" s="87" t="s">
        <v>29</v>
      </c>
      <c r="F173" s="88" t="s">
        <v>29</v>
      </c>
      <c r="G173" s="89" t="s">
        <v>29</v>
      </c>
      <c r="H173" s="84" t="s">
        <v>30</v>
      </c>
      <c r="I173" s="85" t="s">
        <v>1944</v>
      </c>
      <c r="J173" s="85" t="s">
        <v>1870</v>
      </c>
      <c r="K173" s="85" t="s">
        <v>1869</v>
      </c>
    </row>
    <row r="174" spans="1:11" ht="15" thickBot="1" x14ac:dyDescent="0.35">
      <c r="A174" s="84" t="s">
        <v>1177</v>
      </c>
      <c r="B174" s="84" t="s">
        <v>1182</v>
      </c>
      <c r="C174" s="85" t="s">
        <v>932</v>
      </c>
      <c r="D174" s="86" t="s">
        <v>483</v>
      </c>
      <c r="E174" s="87" t="s">
        <v>29</v>
      </c>
      <c r="F174" s="88" t="s">
        <v>29</v>
      </c>
      <c r="G174" s="89" t="s">
        <v>29</v>
      </c>
      <c r="H174" s="84" t="s">
        <v>30</v>
      </c>
      <c r="I174" s="85" t="s">
        <v>1869</v>
      </c>
      <c r="J174" s="85" t="s">
        <v>1870</v>
      </c>
      <c r="K174" s="85" t="s">
        <v>1869</v>
      </c>
    </row>
    <row r="175" spans="1:11" ht="15" thickBot="1" x14ac:dyDescent="0.35">
      <c r="A175" s="84" t="s">
        <v>1177</v>
      </c>
      <c r="B175" s="84" t="s">
        <v>1183</v>
      </c>
      <c r="C175" s="85" t="s">
        <v>932</v>
      </c>
      <c r="D175" s="86" t="s">
        <v>588</v>
      </c>
      <c r="E175" s="87" t="s">
        <v>29</v>
      </c>
      <c r="F175" s="88" t="s">
        <v>29</v>
      </c>
      <c r="G175" s="89" t="s">
        <v>29</v>
      </c>
      <c r="H175" s="84" t="s">
        <v>30</v>
      </c>
      <c r="I175" s="85" t="s">
        <v>1869</v>
      </c>
      <c r="J175" s="85" t="s">
        <v>1870</v>
      </c>
      <c r="K175" s="85" t="s">
        <v>1869</v>
      </c>
    </row>
    <row r="176" spans="1:11" ht="15" thickBot="1" x14ac:dyDescent="0.35">
      <c r="A176" s="84" t="s">
        <v>1177</v>
      </c>
      <c r="B176" s="84" t="s">
        <v>1184</v>
      </c>
      <c r="C176" s="85" t="s">
        <v>932</v>
      </c>
      <c r="D176" s="86" t="s">
        <v>589</v>
      </c>
      <c r="E176" s="87" t="s">
        <v>29</v>
      </c>
      <c r="F176" s="88" t="s">
        <v>29</v>
      </c>
      <c r="G176" s="89" t="s">
        <v>29</v>
      </c>
      <c r="H176" s="84" t="s">
        <v>30</v>
      </c>
      <c r="I176" s="85" t="s">
        <v>1869</v>
      </c>
      <c r="J176" s="85" t="s">
        <v>1870</v>
      </c>
      <c r="K176" s="85" t="s">
        <v>1869</v>
      </c>
    </row>
    <row r="177" spans="1:11" ht="15" thickBot="1" x14ac:dyDescent="0.35">
      <c r="A177" s="84" t="s">
        <v>1177</v>
      </c>
      <c r="B177" s="84" t="s">
        <v>1185</v>
      </c>
      <c r="C177" s="85" t="s">
        <v>928</v>
      </c>
      <c r="D177" s="86" t="s">
        <v>623</v>
      </c>
      <c r="E177" s="87" t="s">
        <v>29</v>
      </c>
      <c r="F177" s="88" t="s">
        <v>29</v>
      </c>
      <c r="G177" s="89" t="s">
        <v>29</v>
      </c>
      <c r="H177" s="84" t="s">
        <v>30</v>
      </c>
      <c r="I177" s="85" t="s">
        <v>1945</v>
      </c>
      <c r="J177" s="85" t="s">
        <v>1870</v>
      </c>
      <c r="K177" s="85" t="s">
        <v>1869</v>
      </c>
    </row>
    <row r="178" spans="1:11" ht="15" thickBot="1" x14ac:dyDescent="0.35">
      <c r="A178" s="84" t="s">
        <v>1177</v>
      </c>
      <c r="B178" s="84" t="s">
        <v>1186</v>
      </c>
      <c r="C178" s="85" t="s">
        <v>928</v>
      </c>
      <c r="D178" s="86" t="s">
        <v>780</v>
      </c>
      <c r="E178" s="87" t="s">
        <v>29</v>
      </c>
      <c r="F178" s="88" t="s">
        <v>29</v>
      </c>
      <c r="G178" s="89" t="s">
        <v>29</v>
      </c>
      <c r="H178" s="84" t="s">
        <v>30</v>
      </c>
      <c r="I178" s="85" t="s">
        <v>1946</v>
      </c>
      <c r="J178" s="85" t="s">
        <v>1870</v>
      </c>
      <c r="K178" s="85" t="s">
        <v>1869</v>
      </c>
    </row>
    <row r="179" spans="1:11" ht="15" thickBot="1" x14ac:dyDescent="0.35">
      <c r="A179" s="84" t="s">
        <v>1177</v>
      </c>
      <c r="B179" s="84" t="s">
        <v>1187</v>
      </c>
      <c r="C179" s="85" t="s">
        <v>932</v>
      </c>
      <c r="D179" s="86" t="s">
        <v>831</v>
      </c>
      <c r="E179" s="87" t="s">
        <v>832</v>
      </c>
      <c r="F179" s="88" t="s">
        <v>832</v>
      </c>
      <c r="G179" s="89" t="s">
        <v>832</v>
      </c>
      <c r="H179" s="84" t="s">
        <v>833</v>
      </c>
      <c r="I179" s="85" t="s">
        <v>1869</v>
      </c>
      <c r="J179" s="85" t="s">
        <v>1870</v>
      </c>
      <c r="K179" s="85" t="s">
        <v>1869</v>
      </c>
    </row>
    <row r="180" spans="1:11" ht="15" thickBot="1" x14ac:dyDescent="0.35">
      <c r="A180" s="84" t="s">
        <v>1177</v>
      </c>
      <c r="B180" s="84" t="s">
        <v>1188</v>
      </c>
      <c r="C180" s="85" t="s">
        <v>928</v>
      </c>
      <c r="D180" s="86" t="s">
        <v>1189</v>
      </c>
      <c r="E180" s="87" t="s">
        <v>923</v>
      </c>
      <c r="F180" s="88" t="s">
        <v>923</v>
      </c>
      <c r="G180" s="89" t="s">
        <v>923</v>
      </c>
      <c r="H180" s="84" t="s">
        <v>924</v>
      </c>
      <c r="I180" s="85" t="s">
        <v>1947</v>
      </c>
      <c r="J180" s="85" t="s">
        <v>1870</v>
      </c>
      <c r="K180" s="85" t="s">
        <v>1869</v>
      </c>
    </row>
    <row r="181" spans="1:11" ht="15" thickBot="1" x14ac:dyDescent="0.35">
      <c r="A181" s="84" t="s">
        <v>1177</v>
      </c>
      <c r="B181" s="84" t="s">
        <v>1190</v>
      </c>
      <c r="C181" s="85" t="s">
        <v>932</v>
      </c>
      <c r="D181" s="86" t="s">
        <v>638</v>
      </c>
      <c r="E181" s="87" t="s">
        <v>639</v>
      </c>
      <c r="F181" s="88" t="s">
        <v>639</v>
      </c>
      <c r="G181" s="89" t="s">
        <v>639</v>
      </c>
      <c r="H181" s="84" t="s">
        <v>640</v>
      </c>
      <c r="I181" s="85" t="s">
        <v>1869</v>
      </c>
      <c r="J181" s="85" t="s">
        <v>1870</v>
      </c>
      <c r="K181" s="85" t="s">
        <v>1869</v>
      </c>
    </row>
    <row r="182" spans="1:11" ht="15" thickBot="1" x14ac:dyDescent="0.35">
      <c r="A182" s="84" t="s">
        <v>1177</v>
      </c>
      <c r="B182" s="84" t="s">
        <v>1185</v>
      </c>
      <c r="C182" s="85" t="s">
        <v>963</v>
      </c>
      <c r="D182" s="86" t="s">
        <v>400</v>
      </c>
      <c r="E182" s="87" t="s">
        <v>401</v>
      </c>
      <c r="F182" s="88" t="s">
        <v>401</v>
      </c>
      <c r="G182" s="89" t="s">
        <v>401</v>
      </c>
      <c r="H182" s="84" t="s">
        <v>402</v>
      </c>
      <c r="I182" s="85" t="s">
        <v>1869</v>
      </c>
      <c r="J182" s="85" t="s">
        <v>1870</v>
      </c>
      <c r="K182" s="85" t="s">
        <v>1869</v>
      </c>
    </row>
    <row r="183" spans="1:11" ht="15" thickBot="1" x14ac:dyDescent="0.35">
      <c r="A183" s="84" t="s">
        <v>1177</v>
      </c>
      <c r="B183" s="84" t="s">
        <v>1191</v>
      </c>
      <c r="C183" s="85" t="s">
        <v>963</v>
      </c>
      <c r="D183" s="86" t="s">
        <v>342</v>
      </c>
      <c r="E183" s="87" t="s">
        <v>343</v>
      </c>
      <c r="F183" s="88" t="s">
        <v>343</v>
      </c>
      <c r="G183" s="89" t="s">
        <v>343</v>
      </c>
      <c r="H183" s="84" t="s">
        <v>344</v>
      </c>
      <c r="I183" s="85" t="s">
        <v>1869</v>
      </c>
      <c r="J183" s="85" t="s">
        <v>1870</v>
      </c>
      <c r="K183" s="85" t="s">
        <v>1869</v>
      </c>
    </row>
    <row r="184" spans="1:11" ht="15" thickBot="1" x14ac:dyDescent="0.35">
      <c r="A184" s="84" t="s">
        <v>1177</v>
      </c>
      <c r="B184" s="84" t="s">
        <v>1192</v>
      </c>
      <c r="C184" s="85" t="s">
        <v>963</v>
      </c>
      <c r="D184" s="86" t="s">
        <v>850</v>
      </c>
      <c r="E184" s="87" t="s">
        <v>832</v>
      </c>
      <c r="F184" s="88" t="s">
        <v>832</v>
      </c>
      <c r="G184" s="89" t="s">
        <v>832</v>
      </c>
      <c r="H184" s="84" t="s">
        <v>833</v>
      </c>
      <c r="I184" s="85" t="s">
        <v>1869</v>
      </c>
      <c r="J184" s="85" t="s">
        <v>1870</v>
      </c>
      <c r="K184" s="85" t="s">
        <v>1869</v>
      </c>
    </row>
    <row r="185" spans="1:11" ht="15" thickBot="1" x14ac:dyDescent="0.35">
      <c r="A185" s="84" t="s">
        <v>1177</v>
      </c>
      <c r="B185" s="84" t="s">
        <v>1193</v>
      </c>
      <c r="C185" s="85" t="s">
        <v>963</v>
      </c>
      <c r="D185" s="86" t="s">
        <v>1194</v>
      </c>
      <c r="E185" s="87" t="s">
        <v>832</v>
      </c>
      <c r="F185" s="88" t="s">
        <v>832</v>
      </c>
      <c r="G185" s="89" t="s">
        <v>832</v>
      </c>
      <c r="H185" s="84" t="s">
        <v>833</v>
      </c>
      <c r="I185" s="85" t="s">
        <v>1869</v>
      </c>
      <c r="J185" s="85" t="s">
        <v>1870</v>
      </c>
      <c r="K185" s="85" t="s">
        <v>1869</v>
      </c>
    </row>
    <row r="186" spans="1:11" ht="15" thickBot="1" x14ac:dyDescent="0.35">
      <c r="A186" s="84" t="s">
        <v>1177</v>
      </c>
      <c r="B186" s="84" t="s">
        <v>1195</v>
      </c>
      <c r="C186" s="85" t="s">
        <v>963</v>
      </c>
      <c r="D186" s="86" t="s">
        <v>922</v>
      </c>
      <c r="E186" s="87" t="s">
        <v>923</v>
      </c>
      <c r="F186" s="88" t="s">
        <v>923</v>
      </c>
      <c r="G186" s="89" t="s">
        <v>923</v>
      </c>
      <c r="H186" s="84" t="s">
        <v>924</v>
      </c>
      <c r="I186" s="85" t="s">
        <v>1869</v>
      </c>
      <c r="J186" s="85" t="s">
        <v>1870</v>
      </c>
      <c r="K186" s="85" t="s">
        <v>1869</v>
      </c>
    </row>
    <row r="187" spans="1:11" ht="15" thickBot="1" x14ac:dyDescent="0.35">
      <c r="A187" s="84" t="s">
        <v>1177</v>
      </c>
      <c r="B187" s="84" t="s">
        <v>1196</v>
      </c>
      <c r="C187" s="85" t="s">
        <v>963</v>
      </c>
      <c r="D187" s="86" t="s">
        <v>486</v>
      </c>
      <c r="E187" s="87" t="s">
        <v>487</v>
      </c>
      <c r="F187" s="88" t="s">
        <v>487</v>
      </c>
      <c r="G187" s="89" t="s">
        <v>487</v>
      </c>
      <c r="H187" s="84" t="s">
        <v>488</v>
      </c>
      <c r="I187" s="85" t="s">
        <v>1869</v>
      </c>
      <c r="J187" s="85" t="s">
        <v>1870</v>
      </c>
      <c r="K187" s="85" t="s">
        <v>1869</v>
      </c>
    </row>
    <row r="188" spans="1:11" ht="15" thickBot="1" x14ac:dyDescent="0.35">
      <c r="A188" s="84" t="s">
        <v>1197</v>
      </c>
      <c r="B188" s="84" t="s">
        <v>1198</v>
      </c>
      <c r="C188" s="85" t="s">
        <v>932</v>
      </c>
      <c r="D188" s="86" t="s">
        <v>629</v>
      </c>
      <c r="E188" s="87" t="s">
        <v>630</v>
      </c>
      <c r="F188" s="88" t="s">
        <v>631</v>
      </c>
      <c r="G188" s="89" t="s">
        <v>631</v>
      </c>
      <c r="H188" s="84" t="s">
        <v>632</v>
      </c>
      <c r="I188" s="85" t="s">
        <v>1869</v>
      </c>
      <c r="J188" s="85" t="s">
        <v>1870</v>
      </c>
      <c r="K188" s="85" t="s">
        <v>1869</v>
      </c>
    </row>
    <row r="189" spans="1:11" ht="15" thickBot="1" x14ac:dyDescent="0.35">
      <c r="A189" s="84" t="s">
        <v>1197</v>
      </c>
      <c r="B189" s="84" t="s">
        <v>1199</v>
      </c>
      <c r="C189" s="85" t="s">
        <v>928</v>
      </c>
      <c r="D189" s="86" t="s">
        <v>1200</v>
      </c>
      <c r="E189" s="87" t="s">
        <v>870</v>
      </c>
      <c r="F189" s="88" t="s">
        <v>871</v>
      </c>
      <c r="G189" s="89" t="s">
        <v>871</v>
      </c>
      <c r="H189" s="84" t="s">
        <v>872</v>
      </c>
      <c r="I189" s="85" t="s">
        <v>1948</v>
      </c>
      <c r="J189" s="85" t="s">
        <v>1870</v>
      </c>
      <c r="K189" s="85" t="s">
        <v>1869</v>
      </c>
    </row>
    <row r="190" spans="1:11" ht="15" thickBot="1" x14ac:dyDescent="0.35">
      <c r="A190" s="84" t="s">
        <v>1197</v>
      </c>
      <c r="B190" s="84" t="s">
        <v>1201</v>
      </c>
      <c r="C190" s="85" t="s">
        <v>932</v>
      </c>
      <c r="D190" s="86" t="s">
        <v>854</v>
      </c>
      <c r="E190" s="87" t="s">
        <v>701</v>
      </c>
      <c r="F190" s="88" t="s">
        <v>701</v>
      </c>
      <c r="G190" s="89">
        <v>460303</v>
      </c>
      <c r="H190" s="84" t="s">
        <v>1949</v>
      </c>
      <c r="I190" s="85" t="s">
        <v>1869</v>
      </c>
      <c r="J190" s="85" t="s">
        <v>1870</v>
      </c>
      <c r="K190" s="85" t="s">
        <v>1869</v>
      </c>
    </row>
    <row r="191" spans="1:11" ht="15" thickBot="1" x14ac:dyDescent="0.35">
      <c r="A191" s="84" t="s">
        <v>1197</v>
      </c>
      <c r="B191" s="84" t="s">
        <v>1202</v>
      </c>
      <c r="C191" s="85" t="s">
        <v>976</v>
      </c>
      <c r="D191" s="86" t="s">
        <v>700</v>
      </c>
      <c r="E191" s="87" t="s">
        <v>701</v>
      </c>
      <c r="F191" s="88" t="s">
        <v>701</v>
      </c>
      <c r="G191" s="89">
        <v>460303</v>
      </c>
      <c r="H191" s="84" t="s">
        <v>1949</v>
      </c>
      <c r="I191" s="85" t="s">
        <v>1869</v>
      </c>
      <c r="J191" s="85" t="s">
        <v>1870</v>
      </c>
      <c r="K191" s="85" t="s">
        <v>1869</v>
      </c>
    </row>
    <row r="192" spans="1:11" ht="15" thickBot="1" x14ac:dyDescent="0.35">
      <c r="A192" s="84" t="s">
        <v>1197</v>
      </c>
      <c r="B192" s="84" t="s">
        <v>1203</v>
      </c>
      <c r="C192" s="85" t="s">
        <v>932</v>
      </c>
      <c r="D192" s="86" t="s">
        <v>1204</v>
      </c>
      <c r="E192" s="87" t="s">
        <v>701</v>
      </c>
      <c r="F192" s="88" t="s">
        <v>701</v>
      </c>
      <c r="G192" s="89">
        <v>460303</v>
      </c>
      <c r="H192" s="84" t="s">
        <v>1949</v>
      </c>
      <c r="I192" s="85" t="s">
        <v>1869</v>
      </c>
      <c r="J192" s="85" t="s">
        <v>1870</v>
      </c>
      <c r="K192" s="85" t="s">
        <v>1869</v>
      </c>
    </row>
    <row r="193" spans="1:11" ht="15" thickBot="1" x14ac:dyDescent="0.35">
      <c r="A193" s="84" t="s">
        <v>1197</v>
      </c>
      <c r="B193" s="84" t="s">
        <v>1205</v>
      </c>
      <c r="C193" s="85" t="s">
        <v>928</v>
      </c>
      <c r="D193" s="86" t="s">
        <v>1206</v>
      </c>
      <c r="E193" s="87" t="s">
        <v>604</v>
      </c>
      <c r="F193" s="88" t="s">
        <v>604</v>
      </c>
      <c r="G193" s="89" t="s">
        <v>604</v>
      </c>
      <c r="H193" s="84" t="s">
        <v>605</v>
      </c>
      <c r="I193" s="85" t="s">
        <v>1950</v>
      </c>
      <c r="J193" s="85" t="s">
        <v>1871</v>
      </c>
      <c r="K193" s="85" t="s">
        <v>1872</v>
      </c>
    </row>
    <row r="194" spans="1:11" ht="15" thickBot="1" x14ac:dyDescent="0.35">
      <c r="A194" s="84" t="s">
        <v>1197</v>
      </c>
      <c r="B194" s="84" t="s">
        <v>1207</v>
      </c>
      <c r="C194" s="85" t="s">
        <v>932</v>
      </c>
      <c r="D194" s="86" t="s">
        <v>855</v>
      </c>
      <c r="E194" s="87" t="s">
        <v>604</v>
      </c>
      <c r="F194" s="88" t="s">
        <v>604</v>
      </c>
      <c r="G194" s="89" t="s">
        <v>604</v>
      </c>
      <c r="H194" s="84" t="s">
        <v>605</v>
      </c>
      <c r="I194" s="85" t="s">
        <v>1869</v>
      </c>
      <c r="J194" s="85" t="s">
        <v>1870</v>
      </c>
      <c r="K194" s="85" t="s">
        <v>1869</v>
      </c>
    </row>
    <row r="195" spans="1:11" ht="15" thickBot="1" x14ac:dyDescent="0.35">
      <c r="A195" s="84" t="s">
        <v>1197</v>
      </c>
      <c r="B195" s="84" t="s">
        <v>1208</v>
      </c>
      <c r="C195" s="85" t="s">
        <v>928</v>
      </c>
      <c r="D195" s="86" t="s">
        <v>603</v>
      </c>
      <c r="E195" s="87" t="s">
        <v>604</v>
      </c>
      <c r="F195" s="88" t="s">
        <v>604</v>
      </c>
      <c r="G195" s="89" t="s">
        <v>604</v>
      </c>
      <c r="H195" s="84" t="s">
        <v>605</v>
      </c>
      <c r="I195" s="85" t="s">
        <v>1951</v>
      </c>
      <c r="J195" s="85" t="s">
        <v>1870</v>
      </c>
      <c r="K195" s="85" t="s">
        <v>1869</v>
      </c>
    </row>
    <row r="196" spans="1:11" ht="15" thickBot="1" x14ac:dyDescent="0.35">
      <c r="A196" s="84" t="s">
        <v>1197</v>
      </c>
      <c r="B196" s="84" t="s">
        <v>1209</v>
      </c>
      <c r="C196" s="85" t="s">
        <v>928</v>
      </c>
      <c r="D196" s="86" t="s">
        <v>1210</v>
      </c>
      <c r="E196" s="87" t="s">
        <v>1211</v>
      </c>
      <c r="F196" s="88" t="s">
        <v>1211</v>
      </c>
      <c r="G196" s="89" t="s">
        <v>1211</v>
      </c>
      <c r="H196" s="84" t="s">
        <v>1212</v>
      </c>
      <c r="I196" s="85" t="s">
        <v>1952</v>
      </c>
      <c r="J196" s="85" t="s">
        <v>1870</v>
      </c>
      <c r="K196" s="85" t="s">
        <v>1869</v>
      </c>
    </row>
    <row r="197" spans="1:11" ht="15" thickBot="1" x14ac:dyDescent="0.35">
      <c r="A197" s="84" t="s">
        <v>1197</v>
      </c>
      <c r="B197" s="84" t="s">
        <v>1213</v>
      </c>
      <c r="C197" s="85" t="s">
        <v>928</v>
      </c>
      <c r="D197" s="86" t="s">
        <v>1214</v>
      </c>
      <c r="E197" s="87" t="s">
        <v>630</v>
      </c>
      <c r="F197" s="88" t="s">
        <v>631</v>
      </c>
      <c r="G197" s="89" t="s">
        <v>631</v>
      </c>
      <c r="H197" s="84" t="s">
        <v>632</v>
      </c>
      <c r="I197" s="85" t="s">
        <v>1953</v>
      </c>
      <c r="J197" s="85" t="s">
        <v>1870</v>
      </c>
      <c r="K197" s="85" t="s">
        <v>1869</v>
      </c>
    </row>
    <row r="198" spans="1:11" ht="15" thickBot="1" x14ac:dyDescent="0.35">
      <c r="A198" s="84" t="s">
        <v>1197</v>
      </c>
      <c r="B198" s="84" t="s">
        <v>1215</v>
      </c>
      <c r="C198" s="85" t="s">
        <v>928</v>
      </c>
      <c r="D198" s="86" t="s">
        <v>1216</v>
      </c>
      <c r="E198" s="87" t="s">
        <v>630</v>
      </c>
      <c r="F198" s="88" t="s">
        <v>631</v>
      </c>
      <c r="G198" s="89" t="s">
        <v>631</v>
      </c>
      <c r="H198" s="84" t="s">
        <v>632</v>
      </c>
      <c r="I198" s="85" t="s">
        <v>1954</v>
      </c>
      <c r="J198" s="85" t="s">
        <v>1870</v>
      </c>
      <c r="K198" s="85" t="s">
        <v>1869</v>
      </c>
    </row>
    <row r="199" spans="1:11" ht="15" thickBot="1" x14ac:dyDescent="0.35">
      <c r="A199" s="84" t="s">
        <v>1197</v>
      </c>
      <c r="B199" s="84" t="s">
        <v>1217</v>
      </c>
      <c r="C199" s="85" t="s">
        <v>963</v>
      </c>
      <c r="D199" s="86" t="s">
        <v>585</v>
      </c>
      <c r="E199" s="87" t="s">
        <v>54</v>
      </c>
      <c r="F199" s="88" t="s">
        <v>54</v>
      </c>
      <c r="G199" s="89" t="s">
        <v>54</v>
      </c>
      <c r="H199" s="84" t="s">
        <v>55</v>
      </c>
      <c r="I199" s="85" t="s">
        <v>1869</v>
      </c>
      <c r="J199" s="85" t="s">
        <v>1870</v>
      </c>
      <c r="K199" s="85" t="s">
        <v>1869</v>
      </c>
    </row>
    <row r="200" spans="1:11" ht="15" thickBot="1" x14ac:dyDescent="0.35">
      <c r="A200" s="84" t="s">
        <v>1197</v>
      </c>
      <c r="B200" s="84" t="s">
        <v>1218</v>
      </c>
      <c r="C200" s="85" t="s">
        <v>963</v>
      </c>
      <c r="D200" s="86" t="s">
        <v>796</v>
      </c>
      <c r="E200" s="87" t="s">
        <v>54</v>
      </c>
      <c r="F200" s="88" t="s">
        <v>54</v>
      </c>
      <c r="G200" s="89" t="s">
        <v>54</v>
      </c>
      <c r="H200" s="84" t="s">
        <v>55</v>
      </c>
      <c r="I200" s="85" t="s">
        <v>1869</v>
      </c>
      <c r="J200" s="85" t="s">
        <v>1870</v>
      </c>
      <c r="K200" s="85" t="s">
        <v>1869</v>
      </c>
    </row>
    <row r="201" spans="1:11" ht="15" thickBot="1" x14ac:dyDescent="0.35">
      <c r="A201" s="84" t="s">
        <v>1219</v>
      </c>
      <c r="B201" s="84" t="s">
        <v>1220</v>
      </c>
      <c r="C201" s="85" t="s">
        <v>963</v>
      </c>
      <c r="D201" s="86" t="s">
        <v>1221</v>
      </c>
      <c r="E201" s="87" t="s">
        <v>1222</v>
      </c>
      <c r="F201" s="88" t="s">
        <v>1222</v>
      </c>
      <c r="G201" s="89" t="s">
        <v>1222</v>
      </c>
      <c r="H201" s="84" t="s">
        <v>1223</v>
      </c>
      <c r="I201" s="85" t="s">
        <v>1869</v>
      </c>
      <c r="J201" s="85" t="s">
        <v>1870</v>
      </c>
      <c r="K201" s="85" t="s">
        <v>1869</v>
      </c>
    </row>
    <row r="202" spans="1:11" ht="15" thickBot="1" x14ac:dyDescent="0.35">
      <c r="A202" s="84" t="s">
        <v>1219</v>
      </c>
      <c r="B202" s="84" t="s">
        <v>1224</v>
      </c>
      <c r="C202" s="85" t="s">
        <v>932</v>
      </c>
      <c r="D202" s="86" t="s">
        <v>1225</v>
      </c>
      <c r="E202" s="87" t="s">
        <v>758</v>
      </c>
      <c r="F202" s="88" t="s">
        <v>758</v>
      </c>
      <c r="G202" s="89" t="s">
        <v>758</v>
      </c>
      <c r="H202" s="84" t="s">
        <v>759</v>
      </c>
      <c r="I202" s="85" t="s">
        <v>1869</v>
      </c>
      <c r="J202" s="85" t="s">
        <v>1870</v>
      </c>
      <c r="K202" s="85" t="s">
        <v>1869</v>
      </c>
    </row>
    <row r="203" spans="1:11" ht="15" thickBot="1" x14ac:dyDescent="0.35">
      <c r="A203" s="84" t="s">
        <v>1219</v>
      </c>
      <c r="B203" s="84" t="s">
        <v>1226</v>
      </c>
      <c r="C203" s="85" t="s">
        <v>932</v>
      </c>
      <c r="D203" s="86" t="s">
        <v>757</v>
      </c>
      <c r="E203" s="87" t="s">
        <v>758</v>
      </c>
      <c r="F203" s="88" t="s">
        <v>758</v>
      </c>
      <c r="G203" s="89" t="s">
        <v>758</v>
      </c>
      <c r="H203" s="84" t="s">
        <v>759</v>
      </c>
      <c r="I203" s="85" t="s">
        <v>1869</v>
      </c>
      <c r="J203" s="85" t="s">
        <v>1870</v>
      </c>
      <c r="K203" s="85" t="s">
        <v>1869</v>
      </c>
    </row>
    <row r="204" spans="1:11" ht="15" thickBot="1" x14ac:dyDescent="0.35">
      <c r="A204" s="84" t="s">
        <v>1219</v>
      </c>
      <c r="B204" s="84" t="s">
        <v>1227</v>
      </c>
      <c r="C204" s="85" t="s">
        <v>932</v>
      </c>
      <c r="D204" s="86" t="s">
        <v>760</v>
      </c>
      <c r="E204" s="87" t="s">
        <v>758</v>
      </c>
      <c r="F204" s="88" t="s">
        <v>758</v>
      </c>
      <c r="G204" s="89" t="s">
        <v>758</v>
      </c>
      <c r="H204" s="84" t="s">
        <v>759</v>
      </c>
      <c r="I204" s="85" t="s">
        <v>1869</v>
      </c>
      <c r="J204" s="85" t="s">
        <v>1870</v>
      </c>
      <c r="K204" s="85" t="s">
        <v>1869</v>
      </c>
    </row>
    <row r="205" spans="1:11" ht="15" thickBot="1" x14ac:dyDescent="0.35">
      <c r="A205" s="84" t="s">
        <v>1219</v>
      </c>
      <c r="B205" s="84" t="s">
        <v>1228</v>
      </c>
      <c r="C205" s="85" t="s">
        <v>928</v>
      </c>
      <c r="D205" s="86" t="s">
        <v>1229</v>
      </c>
      <c r="E205" s="87" t="s">
        <v>758</v>
      </c>
      <c r="F205" s="88" t="s">
        <v>758</v>
      </c>
      <c r="G205" s="89" t="s">
        <v>758</v>
      </c>
      <c r="H205" s="84" t="s">
        <v>759</v>
      </c>
      <c r="I205" s="85" t="s">
        <v>1955</v>
      </c>
      <c r="J205" s="85" t="s">
        <v>1870</v>
      </c>
      <c r="K205" s="85" t="s">
        <v>1869</v>
      </c>
    </row>
    <row r="206" spans="1:11" ht="15" thickBot="1" x14ac:dyDescent="0.35">
      <c r="A206" s="84" t="s">
        <v>1219</v>
      </c>
      <c r="B206" s="84" t="s">
        <v>1230</v>
      </c>
      <c r="C206" s="85" t="s">
        <v>932</v>
      </c>
      <c r="D206" s="86" t="s">
        <v>381</v>
      </c>
      <c r="E206" s="87" t="s">
        <v>382</v>
      </c>
      <c r="F206" s="88" t="s">
        <v>382</v>
      </c>
      <c r="G206" s="89" t="s">
        <v>382</v>
      </c>
      <c r="H206" s="84" t="s">
        <v>383</v>
      </c>
      <c r="I206" s="85" t="s">
        <v>1869</v>
      </c>
      <c r="J206" s="85" t="s">
        <v>1870</v>
      </c>
      <c r="K206" s="85" t="s">
        <v>1869</v>
      </c>
    </row>
    <row r="207" spans="1:11" ht="15" thickBot="1" x14ac:dyDescent="0.35">
      <c r="A207" s="84" t="s">
        <v>1219</v>
      </c>
      <c r="B207" s="84" t="s">
        <v>1231</v>
      </c>
      <c r="C207" s="85" t="s">
        <v>932</v>
      </c>
      <c r="D207" s="86" t="s">
        <v>808</v>
      </c>
      <c r="E207" s="87" t="s">
        <v>382</v>
      </c>
      <c r="F207" s="88" t="s">
        <v>382</v>
      </c>
      <c r="G207" s="89" t="s">
        <v>382</v>
      </c>
      <c r="H207" s="84" t="s">
        <v>383</v>
      </c>
      <c r="I207" s="85" t="s">
        <v>1869</v>
      </c>
      <c r="J207" s="85" t="s">
        <v>1870</v>
      </c>
      <c r="K207" s="85" t="s">
        <v>1869</v>
      </c>
    </row>
    <row r="208" spans="1:11" ht="15" thickBot="1" x14ac:dyDescent="0.35">
      <c r="A208" s="84" t="s">
        <v>1219</v>
      </c>
      <c r="B208" s="84" t="s">
        <v>1232</v>
      </c>
      <c r="C208" s="85" t="s">
        <v>932</v>
      </c>
      <c r="D208" s="86" t="s">
        <v>771</v>
      </c>
      <c r="E208" s="87" t="s">
        <v>382</v>
      </c>
      <c r="F208" s="88" t="s">
        <v>382</v>
      </c>
      <c r="G208" s="89" t="s">
        <v>382</v>
      </c>
      <c r="H208" s="84" t="s">
        <v>383</v>
      </c>
      <c r="I208" s="85" t="s">
        <v>1869</v>
      </c>
      <c r="J208" s="85" t="s">
        <v>1870</v>
      </c>
      <c r="K208" s="85" t="s">
        <v>1869</v>
      </c>
    </row>
    <row r="209" spans="1:11" ht="15" thickBot="1" x14ac:dyDescent="0.35">
      <c r="A209" s="84" t="s">
        <v>1219</v>
      </c>
      <c r="B209" s="84" t="s">
        <v>1233</v>
      </c>
      <c r="C209" s="85" t="s">
        <v>928</v>
      </c>
      <c r="D209" s="86" t="s">
        <v>185</v>
      </c>
      <c r="E209" s="87" t="s">
        <v>183</v>
      </c>
      <c r="F209" s="88" t="s">
        <v>183</v>
      </c>
      <c r="G209" s="89" t="s">
        <v>183</v>
      </c>
      <c r="H209" s="84" t="s">
        <v>184</v>
      </c>
      <c r="I209" s="85" t="s">
        <v>1956</v>
      </c>
      <c r="J209" s="85" t="s">
        <v>1870</v>
      </c>
      <c r="K209" s="85" t="s">
        <v>1869</v>
      </c>
    </row>
    <row r="210" spans="1:11" ht="15" thickBot="1" x14ac:dyDescent="0.35">
      <c r="A210" s="84" t="s">
        <v>1219</v>
      </c>
      <c r="B210" s="84" t="s">
        <v>1234</v>
      </c>
      <c r="C210" s="85" t="s">
        <v>928</v>
      </c>
      <c r="D210" s="86" t="s">
        <v>186</v>
      </c>
      <c r="E210" s="87" t="s">
        <v>183</v>
      </c>
      <c r="F210" s="88" t="s">
        <v>183</v>
      </c>
      <c r="G210" s="89" t="s">
        <v>183</v>
      </c>
      <c r="H210" s="84" t="s">
        <v>184</v>
      </c>
      <c r="I210" s="85" t="s">
        <v>1957</v>
      </c>
      <c r="J210" s="85" t="s">
        <v>1870</v>
      </c>
      <c r="K210" s="85" t="s">
        <v>1869</v>
      </c>
    </row>
    <row r="211" spans="1:11" ht="15" thickBot="1" x14ac:dyDescent="0.35">
      <c r="A211" s="84" t="s">
        <v>1219</v>
      </c>
      <c r="B211" s="84" t="s">
        <v>1235</v>
      </c>
      <c r="C211" s="85" t="s">
        <v>928</v>
      </c>
      <c r="D211" s="86" t="s">
        <v>187</v>
      </c>
      <c r="E211" s="87" t="s">
        <v>183</v>
      </c>
      <c r="F211" s="88" t="s">
        <v>183</v>
      </c>
      <c r="G211" s="89" t="s">
        <v>183</v>
      </c>
      <c r="H211" s="84" t="s">
        <v>184</v>
      </c>
      <c r="I211" s="85" t="s">
        <v>1958</v>
      </c>
      <c r="J211" s="85" t="s">
        <v>1870</v>
      </c>
      <c r="K211" s="85" t="s">
        <v>1869</v>
      </c>
    </row>
    <row r="212" spans="1:11" ht="15" thickBot="1" x14ac:dyDescent="0.35">
      <c r="A212" s="84" t="s">
        <v>1219</v>
      </c>
      <c r="B212" s="84" t="s">
        <v>1236</v>
      </c>
      <c r="C212" s="85" t="s">
        <v>928</v>
      </c>
      <c r="D212" s="86" t="s">
        <v>773</v>
      </c>
      <c r="E212" s="87" t="s">
        <v>183</v>
      </c>
      <c r="F212" s="88" t="s">
        <v>183</v>
      </c>
      <c r="G212" s="89" t="s">
        <v>183</v>
      </c>
      <c r="H212" s="84" t="s">
        <v>184</v>
      </c>
      <c r="I212" s="85" t="s">
        <v>1959</v>
      </c>
      <c r="J212" s="85" t="s">
        <v>1870</v>
      </c>
      <c r="K212" s="85" t="s">
        <v>1869</v>
      </c>
    </row>
    <row r="213" spans="1:11" ht="15" thickBot="1" x14ac:dyDescent="0.35">
      <c r="A213" s="84" t="s">
        <v>1219</v>
      </c>
      <c r="B213" s="84" t="s">
        <v>1237</v>
      </c>
      <c r="C213" s="85" t="s">
        <v>928</v>
      </c>
      <c r="D213" s="86" t="s">
        <v>188</v>
      </c>
      <c r="E213" s="87" t="s">
        <v>183</v>
      </c>
      <c r="F213" s="88" t="s">
        <v>183</v>
      </c>
      <c r="G213" s="89" t="s">
        <v>183</v>
      </c>
      <c r="H213" s="84" t="s">
        <v>184</v>
      </c>
      <c r="I213" s="85" t="s">
        <v>1960</v>
      </c>
      <c r="J213" s="85" t="s">
        <v>1870</v>
      </c>
      <c r="K213" s="85" t="s">
        <v>1869</v>
      </c>
    </row>
    <row r="214" spans="1:11" ht="15" thickBot="1" x14ac:dyDescent="0.35">
      <c r="A214" s="84" t="s">
        <v>1219</v>
      </c>
      <c r="B214" s="84" t="s">
        <v>1238</v>
      </c>
      <c r="C214" s="85" t="s">
        <v>928</v>
      </c>
      <c r="D214" s="86" t="s">
        <v>1239</v>
      </c>
      <c r="E214" s="87" t="s">
        <v>183</v>
      </c>
      <c r="F214" s="88" t="s">
        <v>183</v>
      </c>
      <c r="G214" s="89" t="s">
        <v>183</v>
      </c>
      <c r="H214" s="84" t="s">
        <v>184</v>
      </c>
      <c r="I214" s="85" t="s">
        <v>1961</v>
      </c>
      <c r="J214" s="85" t="s">
        <v>1870</v>
      </c>
      <c r="K214" s="85" t="s">
        <v>1869</v>
      </c>
    </row>
    <row r="215" spans="1:11" ht="15" thickBot="1" x14ac:dyDescent="0.35">
      <c r="A215" s="84" t="s">
        <v>1219</v>
      </c>
      <c r="B215" s="84" t="s">
        <v>1240</v>
      </c>
      <c r="C215" s="85" t="s">
        <v>928</v>
      </c>
      <c r="D215" s="86" t="s">
        <v>182</v>
      </c>
      <c r="E215" s="87" t="s">
        <v>183</v>
      </c>
      <c r="F215" s="88" t="s">
        <v>183</v>
      </c>
      <c r="G215" s="89" t="s">
        <v>183</v>
      </c>
      <c r="H215" s="84" t="s">
        <v>184</v>
      </c>
      <c r="I215" s="85" t="s">
        <v>1962</v>
      </c>
      <c r="J215" s="85" t="s">
        <v>1870</v>
      </c>
      <c r="K215" s="85" t="s">
        <v>1869</v>
      </c>
    </row>
    <row r="216" spans="1:11" ht="15" thickBot="1" x14ac:dyDescent="0.35">
      <c r="A216" s="84" t="s">
        <v>1219</v>
      </c>
      <c r="B216" s="84" t="s">
        <v>1241</v>
      </c>
      <c r="C216" s="85" t="s">
        <v>963</v>
      </c>
      <c r="D216" s="86" t="s">
        <v>766</v>
      </c>
      <c r="E216" s="87" t="s">
        <v>758</v>
      </c>
      <c r="F216" s="88" t="s">
        <v>758</v>
      </c>
      <c r="G216" s="89" t="s">
        <v>758</v>
      </c>
      <c r="H216" s="84" t="s">
        <v>759</v>
      </c>
      <c r="I216" s="85" t="s">
        <v>1869</v>
      </c>
      <c r="J216" s="85" t="s">
        <v>1870</v>
      </c>
      <c r="K216" s="85" t="s">
        <v>1869</v>
      </c>
    </row>
    <row r="217" spans="1:11" ht="15" thickBot="1" x14ac:dyDescent="0.35">
      <c r="A217" s="84" t="s">
        <v>1242</v>
      </c>
      <c r="B217" s="84" t="s">
        <v>1243</v>
      </c>
      <c r="C217" s="85" t="s">
        <v>928</v>
      </c>
      <c r="D217" s="86" t="s">
        <v>1244</v>
      </c>
      <c r="E217" s="87" t="s">
        <v>956</v>
      </c>
      <c r="F217" s="88" t="s">
        <v>956</v>
      </c>
      <c r="G217" s="89" t="s">
        <v>956</v>
      </c>
      <c r="H217" s="84" t="s">
        <v>957</v>
      </c>
      <c r="I217" s="85" t="s">
        <v>1963</v>
      </c>
      <c r="J217" s="85" t="s">
        <v>1870</v>
      </c>
      <c r="K217" s="85" t="s">
        <v>1869</v>
      </c>
    </row>
    <row r="218" spans="1:11" ht="15" thickBot="1" x14ac:dyDescent="0.35">
      <c r="A218" s="84" t="s">
        <v>1242</v>
      </c>
      <c r="B218" s="84" t="s">
        <v>1245</v>
      </c>
      <c r="C218" s="85" t="s">
        <v>932</v>
      </c>
      <c r="D218" s="86" t="s">
        <v>319</v>
      </c>
      <c r="E218" s="87" t="s">
        <v>320</v>
      </c>
      <c r="F218" s="88" t="s">
        <v>320</v>
      </c>
      <c r="G218" s="89" t="s">
        <v>320</v>
      </c>
      <c r="H218" s="84" t="s">
        <v>321</v>
      </c>
      <c r="I218" s="85" t="s">
        <v>1869</v>
      </c>
      <c r="J218" s="85" t="s">
        <v>1870</v>
      </c>
      <c r="K218" s="85" t="s">
        <v>1869</v>
      </c>
    </row>
    <row r="219" spans="1:11" ht="15" thickBot="1" x14ac:dyDescent="0.35">
      <c r="A219" s="84" t="s">
        <v>1242</v>
      </c>
      <c r="B219" s="84" t="s">
        <v>1246</v>
      </c>
      <c r="C219" s="85" t="s">
        <v>932</v>
      </c>
      <c r="D219" s="86" t="s">
        <v>322</v>
      </c>
      <c r="E219" s="87" t="s">
        <v>320</v>
      </c>
      <c r="F219" s="88" t="s">
        <v>320</v>
      </c>
      <c r="G219" s="89" t="s">
        <v>320</v>
      </c>
      <c r="H219" s="84" t="s">
        <v>321</v>
      </c>
      <c r="I219" s="85" t="s">
        <v>1869</v>
      </c>
      <c r="J219" s="85" t="s">
        <v>1870</v>
      </c>
      <c r="K219" s="85" t="s">
        <v>1869</v>
      </c>
    </row>
    <row r="220" spans="1:11" ht="15" thickBot="1" x14ac:dyDescent="0.35">
      <c r="A220" s="84" t="s">
        <v>1242</v>
      </c>
      <c r="B220" s="84" t="s">
        <v>1247</v>
      </c>
      <c r="C220" s="85" t="s">
        <v>963</v>
      </c>
      <c r="D220" s="86" t="s">
        <v>378</v>
      </c>
      <c r="E220" s="87" t="s">
        <v>320</v>
      </c>
      <c r="F220" s="88" t="s">
        <v>320</v>
      </c>
      <c r="G220" s="89" t="s">
        <v>320</v>
      </c>
      <c r="H220" s="84" t="s">
        <v>321</v>
      </c>
      <c r="I220" s="85" t="s">
        <v>1869</v>
      </c>
      <c r="J220" s="85" t="s">
        <v>1870</v>
      </c>
      <c r="K220" s="85" t="s">
        <v>1869</v>
      </c>
    </row>
    <row r="221" spans="1:11" ht="15" thickBot="1" x14ac:dyDescent="0.35">
      <c r="A221" s="84" t="s">
        <v>1248</v>
      </c>
      <c r="B221" s="84" t="s">
        <v>1249</v>
      </c>
      <c r="C221" s="85" t="s">
        <v>932</v>
      </c>
      <c r="D221" s="86" t="s">
        <v>1250</v>
      </c>
      <c r="E221" s="87" t="s">
        <v>613</v>
      </c>
      <c r="F221" s="88" t="s">
        <v>613</v>
      </c>
      <c r="G221" s="89" t="s">
        <v>613</v>
      </c>
      <c r="H221" s="84" t="s">
        <v>614</v>
      </c>
      <c r="I221" s="85" t="s">
        <v>1869</v>
      </c>
      <c r="J221" s="85" t="s">
        <v>1870</v>
      </c>
      <c r="K221" s="85" t="s">
        <v>1869</v>
      </c>
    </row>
    <row r="222" spans="1:11" ht="15" thickBot="1" x14ac:dyDescent="0.35">
      <c r="A222" s="84" t="s">
        <v>1248</v>
      </c>
      <c r="B222" s="84" t="s">
        <v>1251</v>
      </c>
      <c r="C222" s="85" t="s">
        <v>932</v>
      </c>
      <c r="D222" s="86" t="s">
        <v>189</v>
      </c>
      <c r="E222" s="87" t="s">
        <v>190</v>
      </c>
      <c r="F222" s="88" t="s">
        <v>190</v>
      </c>
      <c r="G222" s="89" t="s">
        <v>190</v>
      </c>
      <c r="H222" s="84" t="s">
        <v>191</v>
      </c>
      <c r="I222" s="85" t="s">
        <v>1869</v>
      </c>
      <c r="J222" s="85" t="s">
        <v>1870</v>
      </c>
      <c r="K222" s="85" t="s">
        <v>1869</v>
      </c>
    </row>
    <row r="223" spans="1:11" ht="15" thickBot="1" x14ac:dyDescent="0.35">
      <c r="A223" s="84" t="s">
        <v>1248</v>
      </c>
      <c r="B223" s="84" t="s">
        <v>1252</v>
      </c>
      <c r="C223" s="85" t="s">
        <v>932</v>
      </c>
      <c r="D223" s="86" t="s">
        <v>192</v>
      </c>
      <c r="E223" s="87" t="s">
        <v>193</v>
      </c>
      <c r="F223" s="88" t="s">
        <v>193</v>
      </c>
      <c r="G223" s="89" t="s">
        <v>193</v>
      </c>
      <c r="H223" s="84" t="s">
        <v>194</v>
      </c>
      <c r="I223" s="85" t="s">
        <v>1869</v>
      </c>
      <c r="J223" s="85" t="s">
        <v>1870</v>
      </c>
      <c r="K223" s="85" t="s">
        <v>1869</v>
      </c>
    </row>
    <row r="224" spans="1:11" ht="15" thickBot="1" x14ac:dyDescent="0.35">
      <c r="A224" s="84" t="s">
        <v>1248</v>
      </c>
      <c r="B224" s="84" t="s">
        <v>1253</v>
      </c>
      <c r="C224" s="85" t="s">
        <v>1254</v>
      </c>
      <c r="D224" s="86" t="s">
        <v>1255</v>
      </c>
      <c r="E224" s="87" t="s">
        <v>526</v>
      </c>
      <c r="F224" s="88" t="s">
        <v>526</v>
      </c>
      <c r="G224" s="89" t="s">
        <v>526</v>
      </c>
      <c r="H224" s="84" t="s">
        <v>527</v>
      </c>
      <c r="I224" s="85" t="s">
        <v>1964</v>
      </c>
      <c r="J224" s="85" t="s">
        <v>1870</v>
      </c>
      <c r="K224" s="85" t="s">
        <v>1869</v>
      </c>
    </row>
    <row r="225" spans="1:11" ht="15" thickBot="1" x14ac:dyDescent="0.35">
      <c r="A225" s="84" t="s">
        <v>1248</v>
      </c>
      <c r="B225" s="84" t="s">
        <v>1256</v>
      </c>
      <c r="C225" s="85" t="s">
        <v>928</v>
      </c>
      <c r="D225" s="86" t="s">
        <v>1257</v>
      </c>
      <c r="E225" s="87" t="s">
        <v>1258</v>
      </c>
      <c r="F225" s="88" t="s">
        <v>1258</v>
      </c>
      <c r="G225" s="89" t="s">
        <v>1258</v>
      </c>
      <c r="H225" s="84" t="s">
        <v>1259</v>
      </c>
      <c r="I225" s="85" t="s">
        <v>1965</v>
      </c>
      <c r="J225" s="85" t="s">
        <v>1870</v>
      </c>
      <c r="K225" s="85" t="s">
        <v>1869</v>
      </c>
    </row>
    <row r="226" spans="1:11" ht="15" thickBot="1" x14ac:dyDescent="0.35">
      <c r="A226" s="84" t="s">
        <v>1248</v>
      </c>
      <c r="B226" s="84" t="s">
        <v>1260</v>
      </c>
      <c r="C226" s="85" t="s">
        <v>928</v>
      </c>
      <c r="D226" s="86" t="s">
        <v>761</v>
      </c>
      <c r="E226" s="87" t="s">
        <v>762</v>
      </c>
      <c r="F226" s="88" t="s">
        <v>762</v>
      </c>
      <c r="G226" s="89" t="s">
        <v>762</v>
      </c>
      <c r="H226" s="84" t="s">
        <v>763</v>
      </c>
      <c r="I226" s="85" t="s">
        <v>1966</v>
      </c>
      <c r="J226" s="85" t="s">
        <v>1870</v>
      </c>
      <c r="K226" s="85" t="s">
        <v>1869</v>
      </c>
    </row>
    <row r="227" spans="1:11" ht="15" thickBot="1" x14ac:dyDescent="0.35">
      <c r="A227" s="84" t="s">
        <v>1248</v>
      </c>
      <c r="B227" s="84" t="s">
        <v>1261</v>
      </c>
      <c r="C227" s="85" t="s">
        <v>1254</v>
      </c>
      <c r="D227" s="86" t="s">
        <v>1262</v>
      </c>
      <c r="E227" s="87" t="s">
        <v>196</v>
      </c>
      <c r="F227" s="88" t="s">
        <v>196</v>
      </c>
      <c r="G227" s="89" t="s">
        <v>196</v>
      </c>
      <c r="H227" s="84" t="s">
        <v>197</v>
      </c>
      <c r="I227" s="85" t="s">
        <v>1967</v>
      </c>
      <c r="J227" s="85" t="s">
        <v>1870</v>
      </c>
      <c r="K227" s="85" t="s">
        <v>1869</v>
      </c>
    </row>
    <row r="228" spans="1:11" ht="15" thickBot="1" x14ac:dyDescent="0.35">
      <c r="A228" s="84" t="s">
        <v>1248</v>
      </c>
      <c r="B228" s="84" t="s">
        <v>1263</v>
      </c>
      <c r="C228" s="85" t="s">
        <v>932</v>
      </c>
      <c r="D228" s="86" t="s">
        <v>1264</v>
      </c>
      <c r="E228" s="87" t="s">
        <v>196</v>
      </c>
      <c r="F228" s="88" t="s">
        <v>196</v>
      </c>
      <c r="G228" s="89" t="s">
        <v>196</v>
      </c>
      <c r="H228" s="84" t="s">
        <v>197</v>
      </c>
      <c r="I228" s="85" t="s">
        <v>1869</v>
      </c>
      <c r="J228" s="85" t="s">
        <v>1871</v>
      </c>
      <c r="K228" s="85" t="s">
        <v>1968</v>
      </c>
    </row>
    <row r="229" spans="1:11" ht="15" thickBot="1" x14ac:dyDescent="0.35">
      <c r="A229" s="84" t="s">
        <v>1248</v>
      </c>
      <c r="B229" s="84" t="s">
        <v>1263</v>
      </c>
      <c r="C229" s="85" t="s">
        <v>932</v>
      </c>
      <c r="D229" s="86" t="s">
        <v>195</v>
      </c>
      <c r="E229" s="87" t="s">
        <v>196</v>
      </c>
      <c r="F229" s="88" t="s">
        <v>196</v>
      </c>
      <c r="G229" s="89" t="s">
        <v>196</v>
      </c>
      <c r="H229" s="84" t="s">
        <v>197</v>
      </c>
      <c r="I229" s="85" t="s">
        <v>1869</v>
      </c>
      <c r="J229" s="85" t="s">
        <v>1870</v>
      </c>
      <c r="K229" s="85" t="s">
        <v>1869</v>
      </c>
    </row>
    <row r="230" spans="1:11" ht="15" thickBot="1" x14ac:dyDescent="0.35">
      <c r="A230" s="84" t="s">
        <v>1248</v>
      </c>
      <c r="B230" s="84" t="s">
        <v>1265</v>
      </c>
      <c r="C230" s="85" t="s">
        <v>1266</v>
      </c>
      <c r="D230" s="86" t="s">
        <v>857</v>
      </c>
      <c r="E230" s="87" t="s">
        <v>196</v>
      </c>
      <c r="F230" s="88" t="s">
        <v>196</v>
      </c>
      <c r="G230" s="89">
        <v>510714</v>
      </c>
      <c r="H230" s="84" t="s">
        <v>1969</v>
      </c>
      <c r="I230" s="85" t="s">
        <v>1869</v>
      </c>
      <c r="J230" s="85" t="s">
        <v>1870</v>
      </c>
      <c r="K230" s="85" t="s">
        <v>1869</v>
      </c>
    </row>
    <row r="231" spans="1:11" ht="15" thickBot="1" x14ac:dyDescent="0.35">
      <c r="A231" s="84" t="s">
        <v>1248</v>
      </c>
      <c r="B231" s="84" t="s">
        <v>1267</v>
      </c>
      <c r="C231" s="85" t="s">
        <v>932</v>
      </c>
      <c r="D231" s="86" t="s">
        <v>198</v>
      </c>
      <c r="E231" s="87" t="s">
        <v>196</v>
      </c>
      <c r="F231" s="88" t="s">
        <v>196</v>
      </c>
      <c r="G231" s="89">
        <v>510714</v>
      </c>
      <c r="H231" s="84" t="s">
        <v>1969</v>
      </c>
      <c r="I231" s="85" t="s">
        <v>1869</v>
      </c>
      <c r="J231" s="85" t="s">
        <v>1870</v>
      </c>
      <c r="K231" s="85" t="s">
        <v>1869</v>
      </c>
    </row>
    <row r="232" spans="1:11" ht="15" thickBot="1" x14ac:dyDescent="0.35">
      <c r="A232" s="84" t="s">
        <v>1248</v>
      </c>
      <c r="B232" s="84" t="s">
        <v>1265</v>
      </c>
      <c r="C232" s="85" t="s">
        <v>1254</v>
      </c>
      <c r="D232" s="86" t="s">
        <v>1268</v>
      </c>
      <c r="E232" s="87" t="s">
        <v>196</v>
      </c>
      <c r="F232" s="88" t="s">
        <v>196</v>
      </c>
      <c r="G232" s="89">
        <v>510714</v>
      </c>
      <c r="H232" s="84" t="s">
        <v>1969</v>
      </c>
      <c r="I232" s="85" t="s">
        <v>1970</v>
      </c>
      <c r="J232" s="85" t="s">
        <v>1870</v>
      </c>
      <c r="K232" s="85" t="s">
        <v>1869</v>
      </c>
    </row>
    <row r="233" spans="1:11" ht="15" thickBot="1" x14ac:dyDescent="0.35">
      <c r="A233" s="84" t="s">
        <v>1248</v>
      </c>
      <c r="B233" s="84" t="s">
        <v>1269</v>
      </c>
      <c r="C233" s="85" t="s">
        <v>928</v>
      </c>
      <c r="D233" s="86" t="s">
        <v>802</v>
      </c>
      <c r="E233" s="87" t="s">
        <v>196</v>
      </c>
      <c r="F233" s="88" t="s">
        <v>196</v>
      </c>
      <c r="G233" s="89">
        <v>510714</v>
      </c>
      <c r="H233" s="84" t="s">
        <v>1969</v>
      </c>
      <c r="I233" s="85" t="s">
        <v>1971</v>
      </c>
      <c r="J233" s="85" t="s">
        <v>1870</v>
      </c>
      <c r="K233" s="85" t="s">
        <v>1869</v>
      </c>
    </row>
    <row r="234" spans="1:11" ht="15" thickBot="1" x14ac:dyDescent="0.35">
      <c r="A234" s="84" t="s">
        <v>1248</v>
      </c>
      <c r="B234" s="84" t="s">
        <v>1270</v>
      </c>
      <c r="C234" s="85" t="s">
        <v>932</v>
      </c>
      <c r="D234" s="86" t="s">
        <v>887</v>
      </c>
      <c r="E234" s="87" t="s">
        <v>888</v>
      </c>
      <c r="F234" s="88" t="s">
        <v>888</v>
      </c>
      <c r="G234" s="89" t="s">
        <v>888</v>
      </c>
      <c r="H234" s="84" t="s">
        <v>889</v>
      </c>
      <c r="I234" s="85" t="s">
        <v>1869</v>
      </c>
      <c r="J234" s="85" t="s">
        <v>1870</v>
      </c>
      <c r="K234" s="85" t="s">
        <v>1869</v>
      </c>
    </row>
    <row r="235" spans="1:11" ht="15" thickBot="1" x14ac:dyDescent="0.35">
      <c r="A235" s="84" t="s">
        <v>1248</v>
      </c>
      <c r="B235" s="84" t="s">
        <v>1271</v>
      </c>
      <c r="C235" s="85" t="s">
        <v>928</v>
      </c>
      <c r="D235" s="86" t="s">
        <v>199</v>
      </c>
      <c r="E235" s="87" t="s">
        <v>200</v>
      </c>
      <c r="F235" s="88" t="s">
        <v>200</v>
      </c>
      <c r="G235" s="89" t="s">
        <v>200</v>
      </c>
      <c r="H235" s="84" t="s">
        <v>201</v>
      </c>
      <c r="I235" s="85" t="s">
        <v>1972</v>
      </c>
      <c r="J235" s="85" t="s">
        <v>1870</v>
      </c>
      <c r="K235" s="85" t="s">
        <v>1869</v>
      </c>
    </row>
    <row r="236" spans="1:11" ht="15" thickBot="1" x14ac:dyDescent="0.35">
      <c r="A236" s="84" t="s">
        <v>1248</v>
      </c>
      <c r="B236" s="84" t="s">
        <v>1272</v>
      </c>
      <c r="C236" s="85" t="s">
        <v>932</v>
      </c>
      <c r="D236" s="86" t="s">
        <v>202</v>
      </c>
      <c r="E236" s="87" t="s">
        <v>200</v>
      </c>
      <c r="F236" s="88" t="s">
        <v>200</v>
      </c>
      <c r="G236" s="89" t="s">
        <v>200</v>
      </c>
      <c r="H236" s="84" t="s">
        <v>201</v>
      </c>
      <c r="I236" s="85" t="s">
        <v>1869</v>
      </c>
      <c r="J236" s="85" t="s">
        <v>1870</v>
      </c>
      <c r="K236" s="85" t="s">
        <v>1869</v>
      </c>
    </row>
    <row r="237" spans="1:11" ht="15" thickBot="1" x14ac:dyDescent="0.35">
      <c r="A237" s="84" t="s">
        <v>1248</v>
      </c>
      <c r="B237" s="84" t="s">
        <v>1273</v>
      </c>
      <c r="C237" s="85" t="s">
        <v>928</v>
      </c>
      <c r="D237" s="86" t="s">
        <v>1274</v>
      </c>
      <c r="E237" s="87" t="s">
        <v>1275</v>
      </c>
      <c r="F237" s="88" t="s">
        <v>1275</v>
      </c>
      <c r="G237" s="89" t="s">
        <v>1275</v>
      </c>
      <c r="H237" s="84" t="s">
        <v>1276</v>
      </c>
      <c r="I237" s="85" t="s">
        <v>1973</v>
      </c>
      <c r="J237" s="85" t="s">
        <v>1870</v>
      </c>
      <c r="K237" s="85" t="s">
        <v>1869</v>
      </c>
    </row>
    <row r="238" spans="1:11" ht="15" thickBot="1" x14ac:dyDescent="0.35">
      <c r="A238" s="84" t="s">
        <v>1248</v>
      </c>
      <c r="B238" s="84" t="s">
        <v>1277</v>
      </c>
      <c r="C238" s="85" t="s">
        <v>1266</v>
      </c>
      <c r="D238" s="86" t="s">
        <v>11</v>
      </c>
      <c r="E238" s="87" t="s">
        <v>12</v>
      </c>
      <c r="F238" s="88" t="s">
        <v>12</v>
      </c>
      <c r="G238" s="89" t="s">
        <v>12</v>
      </c>
      <c r="H238" s="84" t="s">
        <v>13</v>
      </c>
      <c r="I238" s="85" t="s">
        <v>1869</v>
      </c>
      <c r="J238" s="85" t="s">
        <v>1870</v>
      </c>
      <c r="K238" s="85" t="s">
        <v>1869</v>
      </c>
    </row>
    <row r="239" spans="1:11" ht="15" thickBot="1" x14ac:dyDescent="0.35">
      <c r="A239" s="84" t="s">
        <v>1248</v>
      </c>
      <c r="B239" s="84" t="s">
        <v>1278</v>
      </c>
      <c r="C239" s="85" t="s">
        <v>1254</v>
      </c>
      <c r="D239" s="86" t="s">
        <v>1279</v>
      </c>
      <c r="E239" s="87" t="s">
        <v>12</v>
      </c>
      <c r="F239" s="88" t="s">
        <v>12</v>
      </c>
      <c r="G239" s="89" t="s">
        <v>12</v>
      </c>
      <c r="H239" s="84" t="s">
        <v>13</v>
      </c>
      <c r="I239" s="85" t="s">
        <v>1974</v>
      </c>
      <c r="J239" s="85" t="s">
        <v>1870</v>
      </c>
      <c r="K239" s="85" t="s">
        <v>1869</v>
      </c>
    </row>
    <row r="240" spans="1:11" ht="15" thickBot="1" x14ac:dyDescent="0.35">
      <c r="A240" s="84" t="s">
        <v>1248</v>
      </c>
      <c r="B240" s="84" t="s">
        <v>1280</v>
      </c>
      <c r="C240" s="85" t="s">
        <v>928</v>
      </c>
      <c r="D240" s="86" t="s">
        <v>1281</v>
      </c>
      <c r="E240" s="87" t="s">
        <v>88</v>
      </c>
      <c r="F240" s="88" t="s">
        <v>88</v>
      </c>
      <c r="G240" s="89">
        <v>510923</v>
      </c>
      <c r="H240" s="84" t="s">
        <v>1975</v>
      </c>
      <c r="I240" s="85" t="s">
        <v>1976</v>
      </c>
      <c r="J240" s="85" t="s">
        <v>1870</v>
      </c>
      <c r="K240" s="85" t="s">
        <v>1869</v>
      </c>
    </row>
    <row r="241" spans="1:11" ht="15" thickBot="1" x14ac:dyDescent="0.35">
      <c r="A241" s="84" t="s">
        <v>1248</v>
      </c>
      <c r="B241" s="84" t="s">
        <v>1282</v>
      </c>
      <c r="C241" s="85" t="s">
        <v>928</v>
      </c>
      <c r="D241" s="86" t="s">
        <v>1283</v>
      </c>
      <c r="E241" s="87" t="s">
        <v>1284</v>
      </c>
      <c r="F241" s="88" t="s">
        <v>1284</v>
      </c>
      <c r="G241" s="89" t="s">
        <v>1284</v>
      </c>
      <c r="H241" s="84" t="s">
        <v>1285</v>
      </c>
      <c r="I241" s="85" t="s">
        <v>1977</v>
      </c>
      <c r="J241" s="85" t="s">
        <v>1870</v>
      </c>
      <c r="K241" s="85" t="s">
        <v>1869</v>
      </c>
    </row>
    <row r="242" spans="1:11" ht="15" thickBot="1" x14ac:dyDescent="0.35">
      <c r="A242" s="84" t="s">
        <v>1248</v>
      </c>
      <c r="B242" s="84" t="s">
        <v>1286</v>
      </c>
      <c r="C242" s="85" t="s">
        <v>928</v>
      </c>
      <c r="D242" s="86" t="s">
        <v>1287</v>
      </c>
      <c r="E242" s="87" t="s">
        <v>1288</v>
      </c>
      <c r="F242" s="88" t="s">
        <v>1288</v>
      </c>
      <c r="G242" s="89">
        <v>511012</v>
      </c>
      <c r="H242" s="84" t="s">
        <v>1978</v>
      </c>
      <c r="I242" s="85" t="s">
        <v>1979</v>
      </c>
      <c r="J242" s="85" t="s">
        <v>1870</v>
      </c>
      <c r="K242" s="85" t="s">
        <v>1869</v>
      </c>
    </row>
    <row r="243" spans="1:11" ht="15" thickBot="1" x14ac:dyDescent="0.35">
      <c r="A243" s="84" t="s">
        <v>1248</v>
      </c>
      <c r="B243" s="84" t="s">
        <v>1289</v>
      </c>
      <c r="C243" s="85" t="s">
        <v>928</v>
      </c>
      <c r="D243" s="86" t="s">
        <v>704</v>
      </c>
      <c r="E243" s="87" t="s">
        <v>705</v>
      </c>
      <c r="F243" s="88" t="s">
        <v>705</v>
      </c>
      <c r="G243" s="89" t="s">
        <v>705</v>
      </c>
      <c r="H243" s="84" t="s">
        <v>706</v>
      </c>
      <c r="I243" s="85" t="s">
        <v>1980</v>
      </c>
      <c r="J243" s="85" t="s">
        <v>1870</v>
      </c>
      <c r="K243" s="85" t="s">
        <v>1869</v>
      </c>
    </row>
    <row r="244" spans="1:11" ht="15" thickBot="1" x14ac:dyDescent="0.35">
      <c r="A244" s="84" t="s">
        <v>1248</v>
      </c>
      <c r="B244" s="84" t="s">
        <v>1290</v>
      </c>
      <c r="C244" s="85" t="s">
        <v>932</v>
      </c>
      <c r="D244" s="86" t="s">
        <v>14</v>
      </c>
      <c r="E244" s="87" t="s">
        <v>15</v>
      </c>
      <c r="F244" s="88" t="s">
        <v>15</v>
      </c>
      <c r="G244" s="89" t="s">
        <v>15</v>
      </c>
      <c r="H244" s="84" t="s">
        <v>16</v>
      </c>
      <c r="I244" s="85" t="s">
        <v>1869</v>
      </c>
      <c r="J244" s="85" t="s">
        <v>1870</v>
      </c>
      <c r="K244" s="85" t="s">
        <v>1869</v>
      </c>
    </row>
    <row r="245" spans="1:11" ht="15" thickBot="1" x14ac:dyDescent="0.35">
      <c r="A245" s="84" t="s">
        <v>1248</v>
      </c>
      <c r="B245" s="84" t="s">
        <v>1291</v>
      </c>
      <c r="C245" s="85" t="s">
        <v>1266</v>
      </c>
      <c r="D245" s="86" t="s">
        <v>17</v>
      </c>
      <c r="E245" s="87" t="s">
        <v>15</v>
      </c>
      <c r="F245" s="88" t="s">
        <v>15</v>
      </c>
      <c r="G245" s="89" t="s">
        <v>15</v>
      </c>
      <c r="H245" s="84" t="s">
        <v>16</v>
      </c>
      <c r="I245" s="85" t="s">
        <v>1869</v>
      </c>
      <c r="J245" s="85" t="s">
        <v>1870</v>
      </c>
      <c r="K245" s="85" t="s">
        <v>1869</v>
      </c>
    </row>
    <row r="246" spans="1:11" ht="15" thickBot="1" x14ac:dyDescent="0.35">
      <c r="A246" s="84" t="s">
        <v>1248</v>
      </c>
      <c r="B246" s="84" t="s">
        <v>1292</v>
      </c>
      <c r="C246" s="85" t="s">
        <v>928</v>
      </c>
      <c r="D246" s="86" t="s">
        <v>1293</v>
      </c>
      <c r="E246" s="87" t="s">
        <v>15</v>
      </c>
      <c r="F246" s="88" t="s">
        <v>15</v>
      </c>
      <c r="G246" s="89" t="s">
        <v>15</v>
      </c>
      <c r="H246" s="84" t="s">
        <v>16</v>
      </c>
      <c r="I246" s="85" t="s">
        <v>1981</v>
      </c>
      <c r="J246" s="85" t="s">
        <v>1871</v>
      </c>
      <c r="K246" s="85" t="s">
        <v>1872</v>
      </c>
    </row>
    <row r="247" spans="1:11" ht="15" thickBot="1" x14ac:dyDescent="0.35">
      <c r="A247" s="84" t="s">
        <v>1248</v>
      </c>
      <c r="B247" s="84" t="s">
        <v>1292</v>
      </c>
      <c r="C247" s="85" t="s">
        <v>932</v>
      </c>
      <c r="D247" s="86" t="s">
        <v>204</v>
      </c>
      <c r="E247" s="87" t="s">
        <v>15</v>
      </c>
      <c r="F247" s="88" t="s">
        <v>15</v>
      </c>
      <c r="G247" s="89" t="s">
        <v>15</v>
      </c>
      <c r="H247" s="84" t="s">
        <v>16</v>
      </c>
      <c r="I247" s="85" t="s">
        <v>1869</v>
      </c>
      <c r="J247" s="85" t="s">
        <v>1870</v>
      </c>
      <c r="K247" s="85" t="s">
        <v>1869</v>
      </c>
    </row>
    <row r="248" spans="1:11" ht="15" thickBot="1" x14ac:dyDescent="0.35">
      <c r="A248" s="84" t="s">
        <v>1248</v>
      </c>
      <c r="B248" s="84" t="s">
        <v>1290</v>
      </c>
      <c r="C248" s="85" t="s">
        <v>1254</v>
      </c>
      <c r="D248" s="86" t="s">
        <v>1294</v>
      </c>
      <c r="E248" s="87" t="s">
        <v>15</v>
      </c>
      <c r="F248" s="88" t="s">
        <v>15</v>
      </c>
      <c r="G248" s="89" t="s">
        <v>15</v>
      </c>
      <c r="H248" s="84" t="s">
        <v>16</v>
      </c>
      <c r="I248" s="85" t="s">
        <v>1982</v>
      </c>
      <c r="J248" s="85" t="s">
        <v>1870</v>
      </c>
      <c r="K248" s="85" t="s">
        <v>1869</v>
      </c>
    </row>
    <row r="249" spans="1:11" ht="15" thickBot="1" x14ac:dyDescent="0.35">
      <c r="A249" s="84" t="s">
        <v>1248</v>
      </c>
      <c r="B249" s="84" t="s">
        <v>1295</v>
      </c>
      <c r="C249" s="85" t="s">
        <v>932</v>
      </c>
      <c r="D249" s="86" t="s">
        <v>727</v>
      </c>
      <c r="E249" s="87" t="s">
        <v>654</v>
      </c>
      <c r="F249" s="88" t="s">
        <v>654</v>
      </c>
      <c r="G249" s="89" t="s">
        <v>654</v>
      </c>
      <c r="H249" s="84" t="s">
        <v>655</v>
      </c>
      <c r="I249" s="85" t="s">
        <v>1869</v>
      </c>
      <c r="J249" s="85" t="s">
        <v>1870</v>
      </c>
      <c r="K249" s="85" t="s">
        <v>1869</v>
      </c>
    </row>
    <row r="250" spans="1:11" ht="15" thickBot="1" x14ac:dyDescent="0.35">
      <c r="A250" s="84" t="s">
        <v>1248</v>
      </c>
      <c r="B250" s="84" t="s">
        <v>1296</v>
      </c>
      <c r="C250" s="85" t="s">
        <v>932</v>
      </c>
      <c r="D250" s="86" t="s">
        <v>206</v>
      </c>
      <c r="E250" s="87" t="s">
        <v>92</v>
      </c>
      <c r="F250" s="88" t="s">
        <v>92</v>
      </c>
      <c r="G250" s="89" t="s">
        <v>92</v>
      </c>
      <c r="H250" s="84" t="s">
        <v>93</v>
      </c>
      <c r="I250" s="85" t="s">
        <v>1869</v>
      </c>
      <c r="J250" s="85" t="s">
        <v>1870</v>
      </c>
      <c r="K250" s="85" t="s">
        <v>1869</v>
      </c>
    </row>
    <row r="251" spans="1:11" ht="15" thickBot="1" x14ac:dyDescent="0.35">
      <c r="A251" s="84" t="s">
        <v>1248</v>
      </c>
      <c r="B251" s="84" t="s">
        <v>1297</v>
      </c>
      <c r="C251" s="85" t="s">
        <v>928</v>
      </c>
      <c r="D251" s="86" t="s">
        <v>1298</v>
      </c>
      <c r="E251" s="87" t="s">
        <v>92</v>
      </c>
      <c r="F251" s="88" t="s">
        <v>92</v>
      </c>
      <c r="G251" s="89">
        <v>510911</v>
      </c>
      <c r="H251" s="84" t="s">
        <v>1983</v>
      </c>
      <c r="I251" s="85" t="s">
        <v>1984</v>
      </c>
      <c r="J251" s="85" t="s">
        <v>1870</v>
      </c>
      <c r="K251" s="85" t="s">
        <v>1869</v>
      </c>
    </row>
    <row r="252" spans="1:11" ht="15" thickBot="1" x14ac:dyDescent="0.35">
      <c r="A252" s="84" t="s">
        <v>1248</v>
      </c>
      <c r="B252" s="84" t="s">
        <v>1299</v>
      </c>
      <c r="C252" s="85" t="s">
        <v>932</v>
      </c>
      <c r="D252" s="86" t="s">
        <v>649</v>
      </c>
      <c r="E252" s="87" t="s">
        <v>19</v>
      </c>
      <c r="F252" s="88" t="s">
        <v>19</v>
      </c>
      <c r="G252" s="89">
        <v>511012</v>
      </c>
      <c r="H252" s="84" t="s">
        <v>1978</v>
      </c>
      <c r="I252" s="85" t="s">
        <v>1869</v>
      </c>
      <c r="J252" s="85" t="s">
        <v>1870</v>
      </c>
      <c r="K252" s="85" t="s">
        <v>1869</v>
      </c>
    </row>
    <row r="253" spans="1:11" ht="15" thickBot="1" x14ac:dyDescent="0.35">
      <c r="A253" s="84" t="s">
        <v>1248</v>
      </c>
      <c r="B253" s="84" t="s">
        <v>1300</v>
      </c>
      <c r="C253" s="85" t="s">
        <v>932</v>
      </c>
      <c r="D253" s="86" t="s">
        <v>18</v>
      </c>
      <c r="E253" s="87" t="s">
        <v>19</v>
      </c>
      <c r="F253" s="88" t="s">
        <v>19</v>
      </c>
      <c r="G253" s="89" t="s">
        <v>19</v>
      </c>
      <c r="H253" s="84" t="s">
        <v>20</v>
      </c>
      <c r="I253" s="85" t="s">
        <v>1869</v>
      </c>
      <c r="J253" s="85" t="s">
        <v>1870</v>
      </c>
      <c r="K253" s="85" t="s">
        <v>1869</v>
      </c>
    </row>
    <row r="254" spans="1:11" ht="15" thickBot="1" x14ac:dyDescent="0.35">
      <c r="A254" s="84" t="s">
        <v>1248</v>
      </c>
      <c r="B254" s="84" t="s">
        <v>1301</v>
      </c>
      <c r="C254" s="85" t="s">
        <v>928</v>
      </c>
      <c r="D254" s="86" t="s">
        <v>207</v>
      </c>
      <c r="E254" s="87" t="s">
        <v>19</v>
      </c>
      <c r="F254" s="88" t="s">
        <v>19</v>
      </c>
      <c r="G254" s="89" t="s">
        <v>19</v>
      </c>
      <c r="H254" s="84" t="s">
        <v>20</v>
      </c>
      <c r="I254" s="85" t="s">
        <v>1985</v>
      </c>
      <c r="J254" s="85" t="s">
        <v>1870</v>
      </c>
      <c r="K254" s="85" t="s">
        <v>1869</v>
      </c>
    </row>
    <row r="255" spans="1:11" ht="15" thickBot="1" x14ac:dyDescent="0.35">
      <c r="A255" s="84" t="s">
        <v>1248</v>
      </c>
      <c r="B255" s="84" t="s">
        <v>1302</v>
      </c>
      <c r="C255" s="85" t="s">
        <v>932</v>
      </c>
      <c r="D255" s="86" t="s">
        <v>21</v>
      </c>
      <c r="E255" s="87" t="s">
        <v>19</v>
      </c>
      <c r="F255" s="88" t="s">
        <v>19</v>
      </c>
      <c r="G255" s="89" t="s">
        <v>19</v>
      </c>
      <c r="H255" s="84" t="s">
        <v>20</v>
      </c>
      <c r="I255" s="85" t="s">
        <v>1869</v>
      </c>
      <c r="J255" s="85" t="s">
        <v>1870</v>
      </c>
      <c r="K255" s="85" t="s">
        <v>1869</v>
      </c>
    </row>
    <row r="256" spans="1:11" ht="15" thickBot="1" x14ac:dyDescent="0.35">
      <c r="A256" s="84" t="s">
        <v>1248</v>
      </c>
      <c r="B256" s="84" t="s">
        <v>1303</v>
      </c>
      <c r="C256" s="85" t="s">
        <v>932</v>
      </c>
      <c r="D256" s="86" t="s">
        <v>776</v>
      </c>
      <c r="E256" s="87" t="s">
        <v>99</v>
      </c>
      <c r="F256" s="88" t="s">
        <v>99</v>
      </c>
      <c r="G256" s="89" t="s">
        <v>99</v>
      </c>
      <c r="H256" s="84" t="s">
        <v>100</v>
      </c>
      <c r="I256" s="85" t="s">
        <v>1869</v>
      </c>
      <c r="J256" s="85" t="s">
        <v>1870</v>
      </c>
      <c r="K256" s="85" t="s">
        <v>1869</v>
      </c>
    </row>
    <row r="257" spans="1:11" ht="15" thickBot="1" x14ac:dyDescent="0.35">
      <c r="A257" s="84" t="s">
        <v>1248</v>
      </c>
      <c r="B257" s="84" t="s">
        <v>1304</v>
      </c>
      <c r="C257" s="85" t="s">
        <v>932</v>
      </c>
      <c r="D257" s="86" t="s">
        <v>1305</v>
      </c>
      <c r="E257" s="87" t="s">
        <v>1306</v>
      </c>
      <c r="F257" s="88" t="s">
        <v>1306</v>
      </c>
      <c r="G257" s="89" t="s">
        <v>1306</v>
      </c>
      <c r="H257" s="84" t="s">
        <v>1307</v>
      </c>
      <c r="I257" s="85" t="s">
        <v>1869</v>
      </c>
      <c r="J257" s="85" t="s">
        <v>1870</v>
      </c>
      <c r="K257" s="85" t="s">
        <v>1869</v>
      </c>
    </row>
    <row r="258" spans="1:11" ht="15" thickBot="1" x14ac:dyDescent="0.35">
      <c r="A258" s="84" t="s">
        <v>1248</v>
      </c>
      <c r="B258" s="84" t="s">
        <v>1308</v>
      </c>
      <c r="C258" s="85" t="s">
        <v>1266</v>
      </c>
      <c r="D258" s="86" t="s">
        <v>1309</v>
      </c>
      <c r="E258" s="87" t="s">
        <v>333</v>
      </c>
      <c r="F258" s="88" t="s">
        <v>333</v>
      </c>
      <c r="G258" s="89" t="s">
        <v>333</v>
      </c>
      <c r="H258" s="84" t="s">
        <v>334</v>
      </c>
      <c r="I258" s="85" t="s">
        <v>1869</v>
      </c>
      <c r="J258" s="85" t="s">
        <v>1870</v>
      </c>
      <c r="K258" s="85" t="s">
        <v>1869</v>
      </c>
    </row>
    <row r="259" spans="1:11" ht="15" thickBot="1" x14ac:dyDescent="0.35">
      <c r="A259" s="84" t="s">
        <v>1248</v>
      </c>
      <c r="B259" s="84" t="s">
        <v>1310</v>
      </c>
      <c r="C259" s="85" t="s">
        <v>1254</v>
      </c>
      <c r="D259" s="86" t="s">
        <v>1311</v>
      </c>
      <c r="E259" s="87" t="s">
        <v>333</v>
      </c>
      <c r="F259" s="88" t="s">
        <v>333</v>
      </c>
      <c r="G259" s="89" t="s">
        <v>333</v>
      </c>
      <c r="H259" s="84" t="s">
        <v>334</v>
      </c>
      <c r="I259" s="85" t="s">
        <v>1986</v>
      </c>
      <c r="J259" s="85" t="s">
        <v>1870</v>
      </c>
      <c r="K259" s="85" t="s">
        <v>1869</v>
      </c>
    </row>
    <row r="260" spans="1:11" ht="15" thickBot="1" x14ac:dyDescent="0.35">
      <c r="A260" s="84" t="s">
        <v>1248</v>
      </c>
      <c r="B260" s="84" t="s">
        <v>1312</v>
      </c>
      <c r="C260" s="85" t="s">
        <v>932</v>
      </c>
      <c r="D260" s="86" t="s">
        <v>891</v>
      </c>
      <c r="E260" s="87" t="s">
        <v>892</v>
      </c>
      <c r="F260" s="88" t="s">
        <v>892</v>
      </c>
      <c r="G260" s="89" t="s">
        <v>892</v>
      </c>
      <c r="H260" s="84" t="s">
        <v>893</v>
      </c>
      <c r="I260" s="85" t="s">
        <v>1869</v>
      </c>
      <c r="J260" s="85" t="s">
        <v>1870</v>
      </c>
      <c r="K260" s="85" t="s">
        <v>1869</v>
      </c>
    </row>
    <row r="261" spans="1:11" ht="15" thickBot="1" x14ac:dyDescent="0.35">
      <c r="A261" s="84" t="s">
        <v>1248</v>
      </c>
      <c r="B261" s="84" t="s">
        <v>1313</v>
      </c>
      <c r="C261" s="85" t="s">
        <v>928</v>
      </c>
      <c r="D261" s="86" t="s">
        <v>410</v>
      </c>
      <c r="E261" s="87" t="s">
        <v>411</v>
      </c>
      <c r="F261" s="88" t="s">
        <v>411</v>
      </c>
      <c r="G261" s="89" t="s">
        <v>411</v>
      </c>
      <c r="H261" s="84" t="s">
        <v>412</v>
      </c>
      <c r="I261" s="85" t="s">
        <v>1987</v>
      </c>
      <c r="J261" s="85" t="s">
        <v>1870</v>
      </c>
      <c r="K261" s="85" t="s">
        <v>1869</v>
      </c>
    </row>
    <row r="262" spans="1:11" ht="15" thickBot="1" x14ac:dyDescent="0.35">
      <c r="A262" s="84" t="s">
        <v>1248</v>
      </c>
      <c r="B262" s="84" t="s">
        <v>1314</v>
      </c>
      <c r="C262" s="85" t="s">
        <v>928</v>
      </c>
      <c r="D262" s="86" t="s">
        <v>1315</v>
      </c>
      <c r="E262" s="87" t="s">
        <v>1316</v>
      </c>
      <c r="F262" s="88" t="s">
        <v>1316</v>
      </c>
      <c r="G262" s="89" t="s">
        <v>1316</v>
      </c>
      <c r="H262" s="84" t="s">
        <v>1317</v>
      </c>
      <c r="I262" s="85" t="s">
        <v>1988</v>
      </c>
      <c r="J262" s="85" t="s">
        <v>1870</v>
      </c>
      <c r="K262" s="85" t="s">
        <v>1869</v>
      </c>
    </row>
    <row r="263" spans="1:11" ht="15" thickBot="1" x14ac:dyDescent="0.35">
      <c r="A263" s="84" t="s">
        <v>1248</v>
      </c>
      <c r="B263" s="84" t="s">
        <v>1318</v>
      </c>
      <c r="C263" s="85" t="s">
        <v>928</v>
      </c>
      <c r="D263" s="86" t="s">
        <v>1319</v>
      </c>
      <c r="E263" s="87" t="s">
        <v>1320</v>
      </c>
      <c r="F263" s="88" t="s">
        <v>1320</v>
      </c>
      <c r="G263" s="89" t="s">
        <v>1320</v>
      </c>
      <c r="H263" s="84" t="s">
        <v>1321</v>
      </c>
      <c r="I263" s="85" t="s">
        <v>1989</v>
      </c>
      <c r="J263" s="85" t="s">
        <v>1870</v>
      </c>
      <c r="K263" s="85" t="s">
        <v>1869</v>
      </c>
    </row>
    <row r="264" spans="1:11" ht="15" thickBot="1" x14ac:dyDescent="0.35">
      <c r="A264" s="84" t="s">
        <v>1248</v>
      </c>
      <c r="B264" s="84" t="s">
        <v>1322</v>
      </c>
      <c r="C264" s="85" t="s">
        <v>928</v>
      </c>
      <c r="D264" s="86" t="s">
        <v>1323</v>
      </c>
      <c r="E264" s="87" t="s">
        <v>906</v>
      </c>
      <c r="F264" s="88" t="s">
        <v>906</v>
      </c>
      <c r="G264" s="89" t="s">
        <v>906</v>
      </c>
      <c r="H264" s="84" t="s">
        <v>907</v>
      </c>
      <c r="I264" s="85" t="s">
        <v>1990</v>
      </c>
      <c r="J264" s="85" t="s">
        <v>1870</v>
      </c>
      <c r="K264" s="85" t="s">
        <v>1869</v>
      </c>
    </row>
    <row r="265" spans="1:11" ht="15" thickBot="1" x14ac:dyDescent="0.35">
      <c r="A265" s="84" t="s">
        <v>1248</v>
      </c>
      <c r="B265" s="84" t="s">
        <v>1324</v>
      </c>
      <c r="C265" s="85" t="s">
        <v>932</v>
      </c>
      <c r="D265" s="86" t="s">
        <v>895</v>
      </c>
      <c r="E265" s="87" t="s">
        <v>339</v>
      </c>
      <c r="F265" s="88" t="s">
        <v>339</v>
      </c>
      <c r="G265" s="89" t="s">
        <v>339</v>
      </c>
      <c r="H265" s="84" t="s">
        <v>340</v>
      </c>
      <c r="I265" s="85" t="s">
        <v>1869</v>
      </c>
      <c r="J265" s="85" t="s">
        <v>1870</v>
      </c>
      <c r="K265" s="85" t="s">
        <v>1991</v>
      </c>
    </row>
    <row r="266" spans="1:11" ht="15" thickBot="1" x14ac:dyDescent="0.35">
      <c r="A266" s="84" t="s">
        <v>1248</v>
      </c>
      <c r="B266" s="84" t="s">
        <v>1325</v>
      </c>
      <c r="C266" s="85" t="s">
        <v>932</v>
      </c>
      <c r="D266" s="86" t="s">
        <v>208</v>
      </c>
      <c r="E266" s="87" t="s">
        <v>209</v>
      </c>
      <c r="F266" s="88" t="s">
        <v>209</v>
      </c>
      <c r="G266" s="89">
        <v>512208</v>
      </c>
      <c r="H266" s="84" t="s">
        <v>1992</v>
      </c>
      <c r="I266" s="85" t="s">
        <v>1869</v>
      </c>
      <c r="J266" s="85" t="s">
        <v>1870</v>
      </c>
      <c r="K266" s="85" t="s">
        <v>1869</v>
      </c>
    </row>
    <row r="267" spans="1:11" ht="15" thickBot="1" x14ac:dyDescent="0.35">
      <c r="A267" s="84" t="s">
        <v>1248</v>
      </c>
      <c r="B267" s="84" t="s">
        <v>1326</v>
      </c>
      <c r="C267" s="85" t="s">
        <v>932</v>
      </c>
      <c r="D267" s="86" t="s">
        <v>619</v>
      </c>
      <c r="E267" s="87" t="s">
        <v>620</v>
      </c>
      <c r="F267" s="88" t="s">
        <v>620</v>
      </c>
      <c r="G267" s="89" t="s">
        <v>620</v>
      </c>
      <c r="H267" s="84" t="s">
        <v>621</v>
      </c>
      <c r="I267" s="85" t="s">
        <v>1869</v>
      </c>
      <c r="J267" s="85" t="s">
        <v>1871</v>
      </c>
      <c r="K267" s="85" t="s">
        <v>1993</v>
      </c>
    </row>
    <row r="268" spans="1:11" ht="15" thickBot="1" x14ac:dyDescent="0.35">
      <c r="A268" s="84" t="s">
        <v>1248</v>
      </c>
      <c r="B268" s="84" t="s">
        <v>1327</v>
      </c>
      <c r="C268" s="85" t="s">
        <v>928</v>
      </c>
      <c r="D268" s="86" t="s">
        <v>1328</v>
      </c>
      <c r="E268" s="87" t="s">
        <v>1329</v>
      </c>
      <c r="F268" s="88" t="s">
        <v>1329</v>
      </c>
      <c r="G268" s="89" t="s">
        <v>1329</v>
      </c>
      <c r="H268" s="84" t="s">
        <v>1330</v>
      </c>
      <c r="I268" s="85" t="s">
        <v>1994</v>
      </c>
      <c r="J268" s="85" t="s">
        <v>1870</v>
      </c>
      <c r="K268" s="85" t="s">
        <v>1869</v>
      </c>
    </row>
    <row r="269" spans="1:11" ht="15" thickBot="1" x14ac:dyDescent="0.35">
      <c r="A269" s="84" t="s">
        <v>1248</v>
      </c>
      <c r="B269" s="84" t="s">
        <v>1331</v>
      </c>
      <c r="C269" s="85" t="s">
        <v>928</v>
      </c>
      <c r="D269" s="86" t="s">
        <v>211</v>
      </c>
      <c r="E269" s="87" t="s">
        <v>212</v>
      </c>
      <c r="F269" s="88" t="s">
        <v>212</v>
      </c>
      <c r="G269" s="89" t="s">
        <v>212</v>
      </c>
      <c r="H269" s="84" t="s">
        <v>213</v>
      </c>
      <c r="I269" s="85" t="s">
        <v>1995</v>
      </c>
      <c r="J269" s="85" t="s">
        <v>1870</v>
      </c>
      <c r="K269" s="85" t="s">
        <v>1869</v>
      </c>
    </row>
    <row r="270" spans="1:11" ht="15" thickBot="1" x14ac:dyDescent="0.35">
      <c r="A270" s="84" t="s">
        <v>1248</v>
      </c>
      <c r="B270" s="84" t="s">
        <v>1332</v>
      </c>
      <c r="C270" s="85" t="s">
        <v>928</v>
      </c>
      <c r="D270" s="86" t="s">
        <v>413</v>
      </c>
      <c r="E270" s="87" t="s">
        <v>414</v>
      </c>
      <c r="F270" s="88" t="s">
        <v>414</v>
      </c>
      <c r="G270" s="89" t="s">
        <v>414</v>
      </c>
      <c r="H270" s="84" t="s">
        <v>415</v>
      </c>
      <c r="I270" s="85" t="s">
        <v>1996</v>
      </c>
      <c r="J270" s="85" t="s">
        <v>1870</v>
      </c>
      <c r="K270" s="85" t="s">
        <v>1869</v>
      </c>
    </row>
    <row r="271" spans="1:11" ht="15" thickBot="1" x14ac:dyDescent="0.35">
      <c r="A271" s="84" t="s">
        <v>1248</v>
      </c>
      <c r="B271" s="84" t="s">
        <v>1333</v>
      </c>
      <c r="C271" s="85" t="s">
        <v>928</v>
      </c>
      <c r="D271" s="86" t="s">
        <v>25</v>
      </c>
      <c r="E271" s="87" t="s">
        <v>26</v>
      </c>
      <c r="F271" s="88" t="s">
        <v>26</v>
      </c>
      <c r="G271" s="89" t="s">
        <v>26</v>
      </c>
      <c r="H271" s="84" t="s">
        <v>27</v>
      </c>
      <c r="I271" s="85" t="s">
        <v>1997</v>
      </c>
      <c r="J271" s="85" t="s">
        <v>1870</v>
      </c>
      <c r="K271" s="85" t="s">
        <v>1869</v>
      </c>
    </row>
    <row r="272" spans="1:11" ht="15" thickBot="1" x14ac:dyDescent="0.35">
      <c r="A272" s="84" t="s">
        <v>1248</v>
      </c>
      <c r="B272" s="84" t="s">
        <v>1334</v>
      </c>
      <c r="C272" s="85" t="s">
        <v>928</v>
      </c>
      <c r="D272" s="86" t="s">
        <v>777</v>
      </c>
      <c r="E272" s="87" t="s">
        <v>26</v>
      </c>
      <c r="F272" s="88" t="s">
        <v>26</v>
      </c>
      <c r="G272" s="89" t="s">
        <v>26</v>
      </c>
      <c r="H272" s="84" t="s">
        <v>27</v>
      </c>
      <c r="I272" s="85" t="s">
        <v>1998</v>
      </c>
      <c r="J272" s="85" t="s">
        <v>1870</v>
      </c>
      <c r="K272" s="85" t="s">
        <v>1869</v>
      </c>
    </row>
    <row r="273" spans="1:11" ht="15" thickBot="1" x14ac:dyDescent="0.35">
      <c r="A273" s="84" t="s">
        <v>1248</v>
      </c>
      <c r="B273" s="84" t="s">
        <v>1335</v>
      </c>
      <c r="C273" s="85" t="s">
        <v>928</v>
      </c>
      <c r="D273" s="86" t="s">
        <v>152</v>
      </c>
      <c r="E273" s="87" t="s">
        <v>26</v>
      </c>
      <c r="F273" s="88" t="s">
        <v>26</v>
      </c>
      <c r="G273" s="89" t="s">
        <v>26</v>
      </c>
      <c r="H273" s="84" t="s">
        <v>27</v>
      </c>
      <c r="I273" s="85" t="s">
        <v>1999</v>
      </c>
      <c r="J273" s="85" t="s">
        <v>1870</v>
      </c>
      <c r="K273" s="85" t="s">
        <v>1869</v>
      </c>
    </row>
    <row r="274" spans="1:11" ht="15" thickBot="1" x14ac:dyDescent="0.35">
      <c r="A274" s="84" t="s">
        <v>1248</v>
      </c>
      <c r="B274" s="84" t="s">
        <v>1336</v>
      </c>
      <c r="C274" s="85" t="s">
        <v>928</v>
      </c>
      <c r="D274" s="86" t="s">
        <v>707</v>
      </c>
      <c r="E274" s="87" t="s">
        <v>26</v>
      </c>
      <c r="F274" s="88" t="s">
        <v>26</v>
      </c>
      <c r="G274" s="89" t="s">
        <v>26</v>
      </c>
      <c r="H274" s="84" t="s">
        <v>27</v>
      </c>
      <c r="I274" s="85" t="s">
        <v>2000</v>
      </c>
      <c r="J274" s="85" t="s">
        <v>1870</v>
      </c>
      <c r="K274" s="85" t="s">
        <v>1869</v>
      </c>
    </row>
    <row r="275" spans="1:11" ht="15" thickBot="1" x14ac:dyDescent="0.35">
      <c r="A275" s="84" t="s">
        <v>1248</v>
      </c>
      <c r="B275" s="84" t="s">
        <v>1337</v>
      </c>
      <c r="C275" s="85" t="s">
        <v>932</v>
      </c>
      <c r="D275" s="86" t="s">
        <v>265</v>
      </c>
      <c r="E275" s="87" t="s">
        <v>266</v>
      </c>
      <c r="F275" s="88" t="s">
        <v>266</v>
      </c>
      <c r="G275" s="89" t="s">
        <v>266</v>
      </c>
      <c r="H275" s="84" t="s">
        <v>267</v>
      </c>
      <c r="I275" s="85" t="s">
        <v>1869</v>
      </c>
      <c r="J275" s="85" t="s">
        <v>1870</v>
      </c>
      <c r="K275" s="85" t="s">
        <v>1869</v>
      </c>
    </row>
    <row r="276" spans="1:11" ht="15" thickBot="1" x14ac:dyDescent="0.35">
      <c r="A276" s="84" t="s">
        <v>1248</v>
      </c>
      <c r="B276" s="84" t="s">
        <v>1338</v>
      </c>
      <c r="C276" s="85" t="s">
        <v>963</v>
      </c>
      <c r="D276" s="86" t="s">
        <v>323</v>
      </c>
      <c r="E276" s="87" t="s">
        <v>190</v>
      </c>
      <c r="F276" s="88" t="s">
        <v>190</v>
      </c>
      <c r="G276" s="89" t="s">
        <v>190</v>
      </c>
      <c r="H276" s="84" t="s">
        <v>191</v>
      </c>
      <c r="I276" s="85" t="s">
        <v>1869</v>
      </c>
      <c r="J276" s="85" t="s">
        <v>1870</v>
      </c>
      <c r="K276" s="85" t="s">
        <v>1869</v>
      </c>
    </row>
    <row r="277" spans="1:11" ht="15" thickBot="1" x14ac:dyDescent="0.35">
      <c r="A277" s="84" t="s">
        <v>1248</v>
      </c>
      <c r="B277" s="84" t="s">
        <v>1339</v>
      </c>
      <c r="C277" s="85" t="s">
        <v>963</v>
      </c>
      <c r="D277" s="86" t="s">
        <v>324</v>
      </c>
      <c r="E277" s="87" t="s">
        <v>193</v>
      </c>
      <c r="F277" s="88" t="s">
        <v>193</v>
      </c>
      <c r="G277" s="89" t="s">
        <v>193</v>
      </c>
      <c r="H277" s="84" t="s">
        <v>194</v>
      </c>
      <c r="I277" s="85" t="s">
        <v>1869</v>
      </c>
      <c r="J277" s="85" t="s">
        <v>1870</v>
      </c>
      <c r="K277" s="85" t="s">
        <v>1869</v>
      </c>
    </row>
    <row r="278" spans="1:11" ht="15" thickBot="1" x14ac:dyDescent="0.35">
      <c r="A278" s="84" t="s">
        <v>1248</v>
      </c>
      <c r="B278" s="84" t="s">
        <v>1340</v>
      </c>
      <c r="C278" s="85" t="s">
        <v>963</v>
      </c>
      <c r="D278" s="86" t="s">
        <v>82</v>
      </c>
      <c r="E278" s="87" t="s">
        <v>83</v>
      </c>
      <c r="F278" s="88" t="s">
        <v>83</v>
      </c>
      <c r="G278" s="89">
        <v>510909</v>
      </c>
      <c r="H278" s="84" t="s">
        <v>2001</v>
      </c>
      <c r="I278" s="85" t="s">
        <v>1869</v>
      </c>
      <c r="J278" s="85" t="s">
        <v>1870</v>
      </c>
      <c r="K278" s="85" t="s">
        <v>1869</v>
      </c>
    </row>
    <row r="279" spans="1:11" ht="15" thickBot="1" x14ac:dyDescent="0.35">
      <c r="A279" s="84" t="s">
        <v>1248</v>
      </c>
      <c r="B279" s="84" t="s">
        <v>1341</v>
      </c>
      <c r="C279" s="85" t="s">
        <v>963</v>
      </c>
      <c r="D279" s="86" t="s">
        <v>525</v>
      </c>
      <c r="E279" s="87" t="s">
        <v>526</v>
      </c>
      <c r="F279" s="88" t="s">
        <v>526</v>
      </c>
      <c r="G279" s="89" t="s">
        <v>526</v>
      </c>
      <c r="H279" s="84" t="s">
        <v>527</v>
      </c>
      <c r="I279" s="85" t="s">
        <v>1869</v>
      </c>
      <c r="J279" s="85" t="s">
        <v>1870</v>
      </c>
      <c r="K279" s="85" t="s">
        <v>1869</v>
      </c>
    </row>
    <row r="280" spans="1:11" ht="15" thickBot="1" x14ac:dyDescent="0.35">
      <c r="A280" s="84" t="s">
        <v>1248</v>
      </c>
      <c r="B280" s="84" t="s">
        <v>1342</v>
      </c>
      <c r="C280" s="85" t="s">
        <v>963</v>
      </c>
      <c r="D280" s="86" t="s">
        <v>84</v>
      </c>
      <c r="E280" s="87" t="s">
        <v>85</v>
      </c>
      <c r="F280" s="88" t="s">
        <v>85</v>
      </c>
      <c r="G280" s="89" t="s">
        <v>85</v>
      </c>
      <c r="H280" s="84" t="s">
        <v>86</v>
      </c>
      <c r="I280" s="85" t="s">
        <v>1869</v>
      </c>
      <c r="J280" s="85" t="s">
        <v>1870</v>
      </c>
      <c r="K280" s="85" t="s">
        <v>1869</v>
      </c>
    </row>
    <row r="281" spans="1:11" ht="15" thickBot="1" x14ac:dyDescent="0.35">
      <c r="A281" s="84" t="s">
        <v>1248</v>
      </c>
      <c r="B281" s="84" t="s">
        <v>1343</v>
      </c>
      <c r="C281" s="85" t="s">
        <v>963</v>
      </c>
      <c r="D281" s="86" t="s">
        <v>612</v>
      </c>
      <c r="E281" s="87" t="s">
        <v>613</v>
      </c>
      <c r="F281" s="88" t="s">
        <v>613</v>
      </c>
      <c r="G281" s="89" t="s">
        <v>613</v>
      </c>
      <c r="H281" s="84" t="s">
        <v>614</v>
      </c>
      <c r="I281" s="85" t="s">
        <v>1869</v>
      </c>
      <c r="J281" s="85" t="s">
        <v>1870</v>
      </c>
      <c r="K281" s="85" t="s">
        <v>1869</v>
      </c>
    </row>
    <row r="282" spans="1:11" ht="15" thickBot="1" x14ac:dyDescent="0.35">
      <c r="A282" s="84" t="s">
        <v>1248</v>
      </c>
      <c r="B282" s="84" t="s">
        <v>1344</v>
      </c>
      <c r="C282" s="85" t="s">
        <v>963</v>
      </c>
      <c r="D282" s="86" t="s">
        <v>325</v>
      </c>
      <c r="E282" s="87" t="s">
        <v>196</v>
      </c>
      <c r="F282" s="88" t="s">
        <v>196</v>
      </c>
      <c r="G282" s="89" t="s">
        <v>196</v>
      </c>
      <c r="H282" s="84" t="s">
        <v>197</v>
      </c>
      <c r="I282" s="85" t="s">
        <v>1869</v>
      </c>
      <c r="J282" s="85" t="s">
        <v>1870</v>
      </c>
      <c r="K282" s="85" t="s">
        <v>1869</v>
      </c>
    </row>
    <row r="283" spans="1:11" ht="15" thickBot="1" x14ac:dyDescent="0.35">
      <c r="A283" s="84" t="s">
        <v>1248</v>
      </c>
      <c r="B283" s="84" t="s">
        <v>1345</v>
      </c>
      <c r="C283" s="85" t="s">
        <v>963</v>
      </c>
      <c r="D283" s="86" t="s">
        <v>904</v>
      </c>
      <c r="E283" s="87" t="s">
        <v>888</v>
      </c>
      <c r="F283" s="88" t="s">
        <v>888</v>
      </c>
      <c r="G283" s="89" t="s">
        <v>888</v>
      </c>
      <c r="H283" s="84" t="s">
        <v>889</v>
      </c>
      <c r="I283" s="85" t="s">
        <v>1869</v>
      </c>
      <c r="J283" s="85" t="s">
        <v>1870</v>
      </c>
      <c r="K283" s="85" t="s">
        <v>1869</v>
      </c>
    </row>
    <row r="284" spans="1:11" ht="15" thickBot="1" x14ac:dyDescent="0.35">
      <c r="A284" s="84" t="s">
        <v>1248</v>
      </c>
      <c r="B284" s="84" t="s">
        <v>1346</v>
      </c>
      <c r="C284" s="85" t="s">
        <v>963</v>
      </c>
      <c r="D284" s="86" t="s">
        <v>326</v>
      </c>
      <c r="E284" s="87" t="s">
        <v>200</v>
      </c>
      <c r="F284" s="88" t="s">
        <v>200</v>
      </c>
      <c r="G284" s="89" t="s">
        <v>200</v>
      </c>
      <c r="H284" s="84" t="s">
        <v>201</v>
      </c>
      <c r="I284" s="85" t="s">
        <v>1869</v>
      </c>
      <c r="J284" s="85" t="s">
        <v>1870</v>
      </c>
      <c r="K284" s="85" t="s">
        <v>1869</v>
      </c>
    </row>
    <row r="285" spans="1:11" ht="15" thickBot="1" x14ac:dyDescent="0.35">
      <c r="A285" s="84" t="s">
        <v>1248</v>
      </c>
      <c r="B285" s="84" t="s">
        <v>1347</v>
      </c>
      <c r="C285" s="85" t="s">
        <v>963</v>
      </c>
      <c r="D285" s="86" t="s">
        <v>458</v>
      </c>
      <c r="E285" s="87" t="s">
        <v>459</v>
      </c>
      <c r="F285" s="88" t="s">
        <v>459</v>
      </c>
      <c r="G285" s="89" t="s">
        <v>459</v>
      </c>
      <c r="H285" s="84" t="s">
        <v>460</v>
      </c>
      <c r="I285" s="85" t="s">
        <v>1869</v>
      </c>
      <c r="J285" s="85" t="s">
        <v>1870</v>
      </c>
      <c r="K285" s="85" t="s">
        <v>1869</v>
      </c>
    </row>
    <row r="286" spans="1:11" ht="15" thickBot="1" x14ac:dyDescent="0.35">
      <c r="A286" s="84" t="s">
        <v>1248</v>
      </c>
      <c r="B286" s="84" t="s">
        <v>1348</v>
      </c>
      <c r="C286" s="85" t="s">
        <v>963</v>
      </c>
      <c r="D286" s="86" t="s">
        <v>597</v>
      </c>
      <c r="E286" s="87" t="s">
        <v>12</v>
      </c>
      <c r="F286" s="88" t="s">
        <v>12</v>
      </c>
      <c r="G286" s="89" t="s">
        <v>12</v>
      </c>
      <c r="H286" s="84" t="s">
        <v>13</v>
      </c>
      <c r="I286" s="85" t="s">
        <v>1869</v>
      </c>
      <c r="J286" s="85" t="s">
        <v>1870</v>
      </c>
      <c r="K286" s="85" t="s">
        <v>1869</v>
      </c>
    </row>
    <row r="287" spans="1:11" ht="15" thickBot="1" x14ac:dyDescent="0.35">
      <c r="A287" s="84" t="s">
        <v>1248</v>
      </c>
      <c r="B287" s="84" t="s">
        <v>1349</v>
      </c>
      <c r="C287" s="85" t="s">
        <v>963</v>
      </c>
      <c r="D287" s="86" t="s">
        <v>87</v>
      </c>
      <c r="E287" s="87" t="s">
        <v>88</v>
      </c>
      <c r="F287" s="88" t="s">
        <v>88</v>
      </c>
      <c r="G287" s="89" t="s">
        <v>88</v>
      </c>
      <c r="H287" s="84" t="s">
        <v>89</v>
      </c>
      <c r="I287" s="85" t="s">
        <v>1869</v>
      </c>
      <c r="J287" s="85" t="s">
        <v>1870</v>
      </c>
      <c r="K287" s="85" t="s">
        <v>1869</v>
      </c>
    </row>
    <row r="288" spans="1:11" ht="15" thickBot="1" x14ac:dyDescent="0.35">
      <c r="A288" s="84" t="s">
        <v>1248</v>
      </c>
      <c r="B288" s="84" t="s">
        <v>1350</v>
      </c>
      <c r="C288" s="85" t="s">
        <v>963</v>
      </c>
      <c r="D288" s="86" t="s">
        <v>328</v>
      </c>
      <c r="E288" s="87" t="s">
        <v>329</v>
      </c>
      <c r="F288" s="88" t="s">
        <v>329</v>
      </c>
      <c r="G288" s="89" t="s">
        <v>329</v>
      </c>
      <c r="H288" s="84" t="s">
        <v>330</v>
      </c>
      <c r="I288" s="85" t="s">
        <v>1869</v>
      </c>
      <c r="J288" s="85" t="s">
        <v>1870</v>
      </c>
      <c r="K288" s="85" t="s">
        <v>1869</v>
      </c>
    </row>
    <row r="289" spans="1:11" ht="15" thickBot="1" x14ac:dyDescent="0.35">
      <c r="A289" s="84" t="s">
        <v>1248</v>
      </c>
      <c r="B289" s="84" t="s">
        <v>1351</v>
      </c>
      <c r="C289" s="85" t="s">
        <v>963</v>
      </c>
      <c r="D289" s="86" t="s">
        <v>90</v>
      </c>
      <c r="E289" s="87" t="s">
        <v>15</v>
      </c>
      <c r="F289" s="88" t="s">
        <v>15</v>
      </c>
      <c r="G289" s="89" t="s">
        <v>15</v>
      </c>
      <c r="H289" s="84" t="s">
        <v>16</v>
      </c>
      <c r="I289" s="85" t="s">
        <v>1869</v>
      </c>
      <c r="J289" s="85" t="s">
        <v>1870</v>
      </c>
      <c r="K289" s="85" t="s">
        <v>1869</v>
      </c>
    </row>
    <row r="290" spans="1:11" ht="15" thickBot="1" x14ac:dyDescent="0.35">
      <c r="A290" s="84" t="s">
        <v>1248</v>
      </c>
      <c r="B290" s="84" t="s">
        <v>1352</v>
      </c>
      <c r="C290" s="85" t="s">
        <v>963</v>
      </c>
      <c r="D290" s="86" t="s">
        <v>653</v>
      </c>
      <c r="E290" s="87" t="s">
        <v>654</v>
      </c>
      <c r="F290" s="88" t="s">
        <v>654</v>
      </c>
      <c r="G290" s="89" t="s">
        <v>654</v>
      </c>
      <c r="H290" s="84" t="s">
        <v>655</v>
      </c>
      <c r="I290" s="85" t="s">
        <v>1869</v>
      </c>
      <c r="J290" s="85" t="s">
        <v>1870</v>
      </c>
      <c r="K290" s="85" t="s">
        <v>1869</v>
      </c>
    </row>
    <row r="291" spans="1:11" ht="15" thickBot="1" x14ac:dyDescent="0.35">
      <c r="A291" s="84" t="s">
        <v>1248</v>
      </c>
      <c r="B291" s="84" t="s">
        <v>1353</v>
      </c>
      <c r="C291" s="85" t="s">
        <v>963</v>
      </c>
      <c r="D291" s="86" t="s">
        <v>91</v>
      </c>
      <c r="E291" s="87" t="s">
        <v>92</v>
      </c>
      <c r="F291" s="88" t="s">
        <v>92</v>
      </c>
      <c r="G291" s="89">
        <v>510911</v>
      </c>
      <c r="H291" s="84" t="s">
        <v>1983</v>
      </c>
      <c r="I291" s="85" t="s">
        <v>1869</v>
      </c>
      <c r="J291" s="85" t="s">
        <v>1870</v>
      </c>
      <c r="K291" s="85" t="s">
        <v>1869</v>
      </c>
    </row>
    <row r="292" spans="1:11" ht="15" thickBot="1" x14ac:dyDescent="0.35">
      <c r="A292" s="84" t="s">
        <v>1248</v>
      </c>
      <c r="B292" s="84" t="s">
        <v>1354</v>
      </c>
      <c r="C292" s="85" t="s">
        <v>963</v>
      </c>
      <c r="D292" s="86" t="s">
        <v>331</v>
      </c>
      <c r="E292" s="87" t="s">
        <v>92</v>
      </c>
      <c r="F292" s="88" t="s">
        <v>92</v>
      </c>
      <c r="G292" s="89" t="s">
        <v>92</v>
      </c>
      <c r="H292" s="84" t="s">
        <v>93</v>
      </c>
      <c r="I292" s="85" t="s">
        <v>1869</v>
      </c>
      <c r="J292" s="85" t="s">
        <v>1870</v>
      </c>
      <c r="K292" s="85" t="s">
        <v>1869</v>
      </c>
    </row>
    <row r="293" spans="1:11" ht="15" thickBot="1" x14ac:dyDescent="0.35">
      <c r="A293" s="84" t="s">
        <v>1248</v>
      </c>
      <c r="B293" s="84" t="s">
        <v>1355</v>
      </c>
      <c r="C293" s="85" t="s">
        <v>963</v>
      </c>
      <c r="D293" s="86" t="s">
        <v>94</v>
      </c>
      <c r="E293" s="87" t="s">
        <v>95</v>
      </c>
      <c r="F293" s="88" t="s">
        <v>95</v>
      </c>
      <c r="G293" s="89" t="s">
        <v>95</v>
      </c>
      <c r="H293" s="84" t="s">
        <v>96</v>
      </c>
      <c r="I293" s="85" t="s">
        <v>1869</v>
      </c>
      <c r="J293" s="85" t="s">
        <v>1870</v>
      </c>
      <c r="K293" s="85" t="s">
        <v>1869</v>
      </c>
    </row>
    <row r="294" spans="1:11" ht="15" thickBot="1" x14ac:dyDescent="0.35">
      <c r="A294" s="84" t="s">
        <v>1248</v>
      </c>
      <c r="B294" s="84" t="s">
        <v>1356</v>
      </c>
      <c r="C294" s="85" t="s">
        <v>963</v>
      </c>
      <c r="D294" s="86" t="s">
        <v>97</v>
      </c>
      <c r="E294" s="87" t="s">
        <v>19</v>
      </c>
      <c r="F294" s="88" t="s">
        <v>19</v>
      </c>
      <c r="G294" s="89" t="s">
        <v>19</v>
      </c>
      <c r="H294" s="84" t="s">
        <v>20</v>
      </c>
      <c r="I294" s="85" t="s">
        <v>1869</v>
      </c>
      <c r="J294" s="85" t="s">
        <v>1870</v>
      </c>
      <c r="K294" s="85" t="s">
        <v>1869</v>
      </c>
    </row>
    <row r="295" spans="1:11" ht="15" thickBot="1" x14ac:dyDescent="0.35">
      <c r="A295" s="84" t="s">
        <v>1248</v>
      </c>
      <c r="B295" s="84" t="s">
        <v>1357</v>
      </c>
      <c r="C295" s="85" t="s">
        <v>963</v>
      </c>
      <c r="D295" s="86" t="s">
        <v>98</v>
      </c>
      <c r="E295" s="87" t="s">
        <v>99</v>
      </c>
      <c r="F295" s="88" t="s">
        <v>99</v>
      </c>
      <c r="G295" s="89" t="s">
        <v>99</v>
      </c>
      <c r="H295" s="84" t="s">
        <v>100</v>
      </c>
      <c r="I295" s="85" t="s">
        <v>1869</v>
      </c>
      <c r="J295" s="85" t="s">
        <v>1870</v>
      </c>
      <c r="K295" s="85" t="s">
        <v>1869</v>
      </c>
    </row>
    <row r="296" spans="1:11" ht="15" thickBot="1" x14ac:dyDescent="0.35">
      <c r="A296" s="84" t="s">
        <v>1248</v>
      </c>
      <c r="B296" s="84" t="s">
        <v>1358</v>
      </c>
      <c r="C296" s="85" t="s">
        <v>963</v>
      </c>
      <c r="D296" s="86" t="s">
        <v>332</v>
      </c>
      <c r="E296" s="87" t="s">
        <v>333</v>
      </c>
      <c r="F296" s="88" t="s">
        <v>333</v>
      </c>
      <c r="G296" s="89" t="s">
        <v>333</v>
      </c>
      <c r="H296" s="84" t="s">
        <v>334</v>
      </c>
      <c r="I296" s="85" t="s">
        <v>1869</v>
      </c>
      <c r="J296" s="85" t="s">
        <v>1870</v>
      </c>
      <c r="K296" s="85" t="s">
        <v>1869</v>
      </c>
    </row>
    <row r="297" spans="1:11" ht="15" thickBot="1" x14ac:dyDescent="0.35">
      <c r="A297" s="84" t="s">
        <v>1248</v>
      </c>
      <c r="B297" s="84" t="s">
        <v>1359</v>
      </c>
      <c r="C297" s="85" t="s">
        <v>963</v>
      </c>
      <c r="D297" s="86" t="s">
        <v>335</v>
      </c>
      <c r="E297" s="87" t="s">
        <v>336</v>
      </c>
      <c r="F297" s="88" t="s">
        <v>336</v>
      </c>
      <c r="G297" s="89" t="s">
        <v>336</v>
      </c>
      <c r="H297" s="84" t="s">
        <v>337</v>
      </c>
      <c r="I297" s="85" t="s">
        <v>1869</v>
      </c>
      <c r="J297" s="85" t="s">
        <v>1870</v>
      </c>
      <c r="K297" s="85" t="s">
        <v>1869</v>
      </c>
    </row>
    <row r="298" spans="1:11" ht="15" thickBot="1" x14ac:dyDescent="0.35">
      <c r="A298" s="84" t="s">
        <v>1248</v>
      </c>
      <c r="B298" s="84" t="s">
        <v>1360</v>
      </c>
      <c r="C298" s="85" t="s">
        <v>963</v>
      </c>
      <c r="D298" s="86" t="s">
        <v>461</v>
      </c>
      <c r="E298" s="87" t="s">
        <v>462</v>
      </c>
      <c r="F298" s="88" t="s">
        <v>462</v>
      </c>
      <c r="G298" s="89" t="s">
        <v>462</v>
      </c>
      <c r="H298" s="84" t="s">
        <v>463</v>
      </c>
      <c r="I298" s="85" t="s">
        <v>1869</v>
      </c>
      <c r="J298" s="85" t="s">
        <v>1870</v>
      </c>
      <c r="K298" s="85" t="s">
        <v>1869</v>
      </c>
    </row>
    <row r="299" spans="1:11" ht="15" thickBot="1" x14ac:dyDescent="0.35">
      <c r="A299" s="84" t="s">
        <v>1248</v>
      </c>
      <c r="B299" s="84" t="s">
        <v>1361</v>
      </c>
      <c r="C299" s="85" t="s">
        <v>963</v>
      </c>
      <c r="D299" s="86" t="s">
        <v>905</v>
      </c>
      <c r="E299" s="87" t="s">
        <v>906</v>
      </c>
      <c r="F299" s="88" t="s">
        <v>906</v>
      </c>
      <c r="G299" s="89" t="s">
        <v>906</v>
      </c>
      <c r="H299" s="84" t="s">
        <v>907</v>
      </c>
      <c r="I299" s="85" t="s">
        <v>1869</v>
      </c>
      <c r="J299" s="85" t="s">
        <v>2002</v>
      </c>
      <c r="K299" s="85" t="s">
        <v>2003</v>
      </c>
    </row>
    <row r="300" spans="1:11" ht="15" thickBot="1" x14ac:dyDescent="0.35">
      <c r="A300" s="84" t="s">
        <v>1248</v>
      </c>
      <c r="B300" s="84" t="s">
        <v>1362</v>
      </c>
      <c r="C300" s="85" t="s">
        <v>963</v>
      </c>
      <c r="D300" s="86" t="s">
        <v>338</v>
      </c>
      <c r="E300" s="87" t="s">
        <v>339</v>
      </c>
      <c r="F300" s="88" t="s">
        <v>339</v>
      </c>
      <c r="G300" s="89" t="s">
        <v>339</v>
      </c>
      <c r="H300" s="84" t="s">
        <v>340</v>
      </c>
      <c r="I300" s="85" t="s">
        <v>1869</v>
      </c>
      <c r="J300" s="85" t="s">
        <v>1870</v>
      </c>
      <c r="K300" s="85" t="s">
        <v>1869</v>
      </c>
    </row>
    <row r="301" spans="1:11" ht="15" thickBot="1" x14ac:dyDescent="0.35">
      <c r="A301" s="84" t="s">
        <v>1248</v>
      </c>
      <c r="B301" s="84" t="s">
        <v>1363</v>
      </c>
      <c r="C301" s="85" t="s">
        <v>963</v>
      </c>
      <c r="D301" s="86" t="s">
        <v>341</v>
      </c>
      <c r="E301" s="87" t="s">
        <v>209</v>
      </c>
      <c r="F301" s="88" t="s">
        <v>209</v>
      </c>
      <c r="G301" s="89">
        <v>512208</v>
      </c>
      <c r="H301" s="84" t="s">
        <v>2004</v>
      </c>
      <c r="I301" s="85" t="s">
        <v>1869</v>
      </c>
      <c r="J301" s="85" t="s">
        <v>1870</v>
      </c>
      <c r="K301" s="85" t="s">
        <v>1869</v>
      </c>
    </row>
    <row r="302" spans="1:11" ht="15" thickBot="1" x14ac:dyDescent="0.35">
      <c r="A302" s="84" t="s">
        <v>1248</v>
      </c>
      <c r="B302" s="84" t="s">
        <v>1364</v>
      </c>
      <c r="C302" s="85" t="s">
        <v>963</v>
      </c>
      <c r="D302" s="86" t="s">
        <v>683</v>
      </c>
      <c r="E302" s="87" t="s">
        <v>684</v>
      </c>
      <c r="F302" s="88" t="s">
        <v>684</v>
      </c>
      <c r="G302" s="89" t="s">
        <v>684</v>
      </c>
      <c r="H302" s="84" t="s">
        <v>685</v>
      </c>
      <c r="I302" s="85" t="s">
        <v>1869</v>
      </c>
      <c r="J302" s="85" t="s">
        <v>1870</v>
      </c>
      <c r="K302" s="85" t="s">
        <v>1869</v>
      </c>
    </row>
    <row r="303" spans="1:11" ht="15" thickBot="1" x14ac:dyDescent="0.35">
      <c r="A303" s="84" t="s">
        <v>1248</v>
      </c>
      <c r="B303" s="84" t="s">
        <v>1365</v>
      </c>
      <c r="C303" s="85" t="s">
        <v>963</v>
      </c>
      <c r="D303" s="86" t="s">
        <v>101</v>
      </c>
      <c r="E303" s="87" t="s">
        <v>102</v>
      </c>
      <c r="F303" s="88" t="s">
        <v>102</v>
      </c>
      <c r="G303" s="89" t="s">
        <v>102</v>
      </c>
      <c r="H303" s="84" t="s">
        <v>103</v>
      </c>
      <c r="I303" s="85" t="s">
        <v>1869</v>
      </c>
      <c r="J303" s="85" t="s">
        <v>1870</v>
      </c>
      <c r="K303" s="85" t="s">
        <v>1869</v>
      </c>
    </row>
    <row r="304" spans="1:11" ht="15" thickBot="1" x14ac:dyDescent="0.35">
      <c r="A304" s="84" t="s">
        <v>1366</v>
      </c>
      <c r="B304" s="84" t="s">
        <v>1367</v>
      </c>
      <c r="C304" s="85" t="s">
        <v>976</v>
      </c>
      <c r="D304" s="86" t="s">
        <v>137</v>
      </c>
      <c r="E304" s="87" t="s">
        <v>138</v>
      </c>
      <c r="F304" s="88" t="s">
        <v>138</v>
      </c>
      <c r="G304" s="89" t="s">
        <v>138</v>
      </c>
      <c r="H304" s="84" t="s">
        <v>139</v>
      </c>
      <c r="I304" s="85" t="s">
        <v>1869</v>
      </c>
      <c r="J304" s="85" t="s">
        <v>1870</v>
      </c>
      <c r="K304" s="85" t="s">
        <v>1869</v>
      </c>
    </row>
    <row r="305" spans="1:11" ht="15" thickBot="1" x14ac:dyDescent="0.35">
      <c r="A305" s="84" t="s">
        <v>1366</v>
      </c>
      <c r="B305" s="84" t="s">
        <v>1368</v>
      </c>
      <c r="C305" s="85" t="s">
        <v>932</v>
      </c>
      <c r="D305" s="86" t="s">
        <v>140</v>
      </c>
      <c r="E305" s="87" t="s">
        <v>138</v>
      </c>
      <c r="F305" s="88" t="s">
        <v>138</v>
      </c>
      <c r="G305" s="89" t="s">
        <v>138</v>
      </c>
      <c r="H305" s="84" t="s">
        <v>139</v>
      </c>
      <c r="I305" s="85" t="s">
        <v>1869</v>
      </c>
      <c r="J305" s="85" t="s">
        <v>1870</v>
      </c>
      <c r="K305" s="85" t="s">
        <v>1869</v>
      </c>
    </row>
    <row r="306" spans="1:11" ht="15" thickBot="1" x14ac:dyDescent="0.35">
      <c r="A306" s="84" t="s">
        <v>1366</v>
      </c>
      <c r="B306" s="84" t="s">
        <v>1369</v>
      </c>
      <c r="C306" s="85" t="s">
        <v>932</v>
      </c>
      <c r="D306" s="86" t="s">
        <v>1370</v>
      </c>
      <c r="E306" s="87" t="s">
        <v>138</v>
      </c>
      <c r="F306" s="88" t="s">
        <v>138</v>
      </c>
      <c r="G306" s="89" t="s">
        <v>138</v>
      </c>
      <c r="H306" s="84" t="s">
        <v>139</v>
      </c>
      <c r="I306" s="85" t="s">
        <v>1869</v>
      </c>
      <c r="J306" s="85" t="s">
        <v>1870</v>
      </c>
      <c r="K306" s="85" t="s">
        <v>1869</v>
      </c>
    </row>
    <row r="307" spans="1:11" ht="15" thickBot="1" x14ac:dyDescent="0.35">
      <c r="A307" s="84" t="s">
        <v>1366</v>
      </c>
      <c r="B307" s="84" t="s">
        <v>1371</v>
      </c>
      <c r="C307" s="85" t="s">
        <v>932</v>
      </c>
      <c r="D307" s="86" t="s">
        <v>141</v>
      </c>
      <c r="E307" s="87" t="s">
        <v>138</v>
      </c>
      <c r="F307" s="88" t="s">
        <v>138</v>
      </c>
      <c r="G307" s="89" t="s">
        <v>138</v>
      </c>
      <c r="H307" s="84" t="s">
        <v>139</v>
      </c>
      <c r="I307" s="85" t="s">
        <v>1869</v>
      </c>
      <c r="J307" s="85" t="s">
        <v>1870</v>
      </c>
      <c r="K307" s="85" t="s">
        <v>1869</v>
      </c>
    </row>
    <row r="308" spans="1:11" ht="15" thickBot="1" x14ac:dyDescent="0.35">
      <c r="A308" s="84" t="s">
        <v>1366</v>
      </c>
      <c r="B308" s="84" t="s">
        <v>1372</v>
      </c>
      <c r="C308" s="85" t="s">
        <v>932</v>
      </c>
      <c r="D308" s="86" t="s">
        <v>142</v>
      </c>
      <c r="E308" s="87" t="s">
        <v>138</v>
      </c>
      <c r="F308" s="88" t="s">
        <v>138</v>
      </c>
      <c r="G308" s="89" t="s">
        <v>138</v>
      </c>
      <c r="H308" s="84" t="s">
        <v>139</v>
      </c>
      <c r="I308" s="85" t="s">
        <v>1869</v>
      </c>
      <c r="J308" s="85" t="s">
        <v>1870</v>
      </c>
      <c r="K308" s="85" t="s">
        <v>1869</v>
      </c>
    </row>
    <row r="309" spans="1:11" ht="15" thickBot="1" x14ac:dyDescent="0.35">
      <c r="A309" s="84" t="s">
        <v>1366</v>
      </c>
      <c r="B309" s="84" t="s">
        <v>1373</v>
      </c>
      <c r="C309" s="85" t="s">
        <v>932</v>
      </c>
      <c r="D309" s="86" t="s">
        <v>1374</v>
      </c>
      <c r="E309" s="87" t="s">
        <v>138</v>
      </c>
      <c r="F309" s="88" t="s">
        <v>138</v>
      </c>
      <c r="G309" s="89" t="s">
        <v>138</v>
      </c>
      <c r="H309" s="84" t="s">
        <v>139</v>
      </c>
      <c r="I309" s="85" t="s">
        <v>1869</v>
      </c>
      <c r="J309" s="85" t="s">
        <v>1870</v>
      </c>
      <c r="K309" s="85" t="s">
        <v>1869</v>
      </c>
    </row>
    <row r="310" spans="1:11" ht="15" thickBot="1" x14ac:dyDescent="0.35">
      <c r="A310" s="84" t="s">
        <v>1366</v>
      </c>
      <c r="B310" s="84" t="s">
        <v>1375</v>
      </c>
      <c r="C310" s="85" t="s">
        <v>932</v>
      </c>
      <c r="D310" s="86" t="s">
        <v>1376</v>
      </c>
      <c r="E310" s="87" t="s">
        <v>80</v>
      </c>
      <c r="F310" s="88" t="s">
        <v>80</v>
      </c>
      <c r="G310" s="89" t="s">
        <v>80</v>
      </c>
      <c r="H310" s="84" t="s">
        <v>81</v>
      </c>
      <c r="I310" s="85" t="s">
        <v>1869</v>
      </c>
      <c r="J310" s="85" t="s">
        <v>1870</v>
      </c>
      <c r="K310" s="85" t="s">
        <v>1869</v>
      </c>
    </row>
    <row r="311" spans="1:11" ht="15" thickBot="1" x14ac:dyDescent="0.35">
      <c r="A311" s="84" t="s">
        <v>1366</v>
      </c>
      <c r="B311" s="84" t="s">
        <v>1377</v>
      </c>
      <c r="C311" s="85" t="s">
        <v>932</v>
      </c>
      <c r="D311" s="86" t="s">
        <v>146</v>
      </c>
      <c r="E311" s="87" t="s">
        <v>147</v>
      </c>
      <c r="F311" s="88" t="s">
        <v>147</v>
      </c>
      <c r="G311" s="89" t="s">
        <v>147</v>
      </c>
      <c r="H311" s="84" t="s">
        <v>148</v>
      </c>
      <c r="I311" s="85" t="s">
        <v>1869</v>
      </c>
      <c r="J311" s="85" t="s">
        <v>1870</v>
      </c>
      <c r="K311" s="85" t="s">
        <v>1869</v>
      </c>
    </row>
    <row r="312" spans="1:11" ht="15" thickBot="1" x14ac:dyDescent="0.35">
      <c r="A312" s="84" t="s">
        <v>1366</v>
      </c>
      <c r="B312" s="84" t="s">
        <v>1378</v>
      </c>
      <c r="C312" s="85" t="s">
        <v>932</v>
      </c>
      <c r="D312" s="86" t="s">
        <v>149</v>
      </c>
      <c r="E312" s="87" t="s">
        <v>147</v>
      </c>
      <c r="F312" s="88" t="s">
        <v>147</v>
      </c>
      <c r="G312" s="89" t="s">
        <v>147</v>
      </c>
      <c r="H312" s="84" t="s">
        <v>148</v>
      </c>
      <c r="I312" s="85" t="s">
        <v>1869</v>
      </c>
      <c r="J312" s="85" t="s">
        <v>1870</v>
      </c>
      <c r="K312" s="85" t="s">
        <v>1869</v>
      </c>
    </row>
    <row r="313" spans="1:11" ht="15" thickBot="1" x14ac:dyDescent="0.35">
      <c r="A313" s="84" t="s">
        <v>1366</v>
      </c>
      <c r="B313" s="84" t="s">
        <v>1379</v>
      </c>
      <c r="C313" s="85" t="s">
        <v>932</v>
      </c>
      <c r="D313" s="86" t="s">
        <v>150</v>
      </c>
      <c r="E313" s="87" t="s">
        <v>147</v>
      </c>
      <c r="F313" s="88" t="s">
        <v>147</v>
      </c>
      <c r="G313" s="89" t="s">
        <v>147</v>
      </c>
      <c r="H313" s="84" t="s">
        <v>148</v>
      </c>
      <c r="I313" s="85" t="s">
        <v>1869</v>
      </c>
      <c r="J313" s="85" t="s">
        <v>1870</v>
      </c>
      <c r="K313" s="85" t="s">
        <v>1869</v>
      </c>
    </row>
    <row r="314" spans="1:11" ht="15" thickBot="1" x14ac:dyDescent="0.35">
      <c r="A314" s="84" t="s">
        <v>1366</v>
      </c>
      <c r="B314" s="84" t="s">
        <v>1380</v>
      </c>
      <c r="C314" s="85" t="s">
        <v>932</v>
      </c>
      <c r="D314" s="86" t="s">
        <v>151</v>
      </c>
      <c r="E314" s="87" t="s">
        <v>147</v>
      </c>
      <c r="F314" s="88" t="s">
        <v>147</v>
      </c>
      <c r="G314" s="89" t="s">
        <v>147</v>
      </c>
      <c r="H314" s="84" t="s">
        <v>148</v>
      </c>
      <c r="I314" s="85" t="s">
        <v>1869</v>
      </c>
      <c r="J314" s="85" t="s">
        <v>1870</v>
      </c>
      <c r="K314" s="85" t="s">
        <v>1869</v>
      </c>
    </row>
    <row r="315" spans="1:11" ht="15" thickBot="1" x14ac:dyDescent="0.35">
      <c r="A315" s="84" t="s">
        <v>1366</v>
      </c>
      <c r="B315" s="84" t="s">
        <v>1381</v>
      </c>
      <c r="C315" s="85" t="s">
        <v>932</v>
      </c>
      <c r="D315" s="86" t="s">
        <v>176</v>
      </c>
      <c r="E315" s="87" t="s">
        <v>177</v>
      </c>
      <c r="F315" s="88" t="s">
        <v>177</v>
      </c>
      <c r="G315" s="89" t="s">
        <v>177</v>
      </c>
      <c r="H315" s="84" t="s">
        <v>178</v>
      </c>
      <c r="I315" s="85" t="s">
        <v>1869</v>
      </c>
      <c r="J315" s="85" t="s">
        <v>1870</v>
      </c>
      <c r="K315" s="85" t="s">
        <v>1869</v>
      </c>
    </row>
    <row r="316" spans="1:11" ht="15" thickBot="1" x14ac:dyDescent="0.35">
      <c r="A316" s="84" t="s">
        <v>1366</v>
      </c>
      <c r="B316" s="84" t="s">
        <v>1382</v>
      </c>
      <c r="C316" s="85" t="s">
        <v>932</v>
      </c>
      <c r="D316" s="86" t="s">
        <v>663</v>
      </c>
      <c r="E316" s="87" t="s">
        <v>177</v>
      </c>
      <c r="F316" s="88" t="s">
        <v>177</v>
      </c>
      <c r="G316" s="89" t="s">
        <v>177</v>
      </c>
      <c r="H316" s="84" t="s">
        <v>178</v>
      </c>
      <c r="I316" s="85" t="s">
        <v>1869</v>
      </c>
      <c r="J316" s="85" t="s">
        <v>1870</v>
      </c>
      <c r="K316" s="85" t="s">
        <v>1869</v>
      </c>
    </row>
    <row r="317" spans="1:11" ht="15" thickBot="1" x14ac:dyDescent="0.35">
      <c r="A317" s="84" t="s">
        <v>1366</v>
      </c>
      <c r="B317" s="84" t="s">
        <v>1383</v>
      </c>
      <c r="C317" s="85" t="s">
        <v>932</v>
      </c>
      <c r="D317" s="86" t="s">
        <v>535</v>
      </c>
      <c r="E317" s="87" t="s">
        <v>177</v>
      </c>
      <c r="F317" s="88" t="s">
        <v>177</v>
      </c>
      <c r="G317" s="89" t="s">
        <v>177</v>
      </c>
      <c r="H317" s="84" t="s">
        <v>178</v>
      </c>
      <c r="I317" s="85" t="s">
        <v>1869</v>
      </c>
      <c r="J317" s="85" t="s">
        <v>1870</v>
      </c>
      <c r="K317" s="85" t="s">
        <v>1869</v>
      </c>
    </row>
    <row r="318" spans="1:11" ht="15" thickBot="1" x14ac:dyDescent="0.35">
      <c r="A318" s="84" t="s">
        <v>1366</v>
      </c>
      <c r="B318" s="84" t="s">
        <v>1384</v>
      </c>
      <c r="C318" s="85" t="s">
        <v>932</v>
      </c>
      <c r="D318" s="86" t="s">
        <v>536</v>
      </c>
      <c r="E318" s="87" t="s">
        <v>537</v>
      </c>
      <c r="F318" s="88" t="s">
        <v>537</v>
      </c>
      <c r="G318" s="89" t="s">
        <v>537</v>
      </c>
      <c r="H318" s="84" t="s">
        <v>538</v>
      </c>
      <c r="I318" s="85" t="s">
        <v>1869</v>
      </c>
      <c r="J318" s="85" t="s">
        <v>1870</v>
      </c>
      <c r="K318" s="85" t="s">
        <v>1869</v>
      </c>
    </row>
    <row r="319" spans="1:11" ht="15" thickBot="1" x14ac:dyDescent="0.35">
      <c r="A319" s="84" t="s">
        <v>1366</v>
      </c>
      <c r="B319" s="84" t="s">
        <v>1385</v>
      </c>
      <c r="C319" s="85" t="s">
        <v>963</v>
      </c>
      <c r="D319" s="86" t="s">
        <v>1386</v>
      </c>
      <c r="E319" s="87" t="s">
        <v>177</v>
      </c>
      <c r="F319" s="88" t="s">
        <v>177</v>
      </c>
      <c r="G319" s="89" t="s">
        <v>177</v>
      </c>
      <c r="H319" s="84" t="s">
        <v>178</v>
      </c>
      <c r="I319" s="85" t="s">
        <v>1869</v>
      </c>
      <c r="J319" s="85" t="s">
        <v>1870</v>
      </c>
      <c r="K319" s="85" t="s">
        <v>1869</v>
      </c>
    </row>
    <row r="320" spans="1:11" ht="15" thickBot="1" x14ac:dyDescent="0.35">
      <c r="A320" s="84" t="s">
        <v>1366</v>
      </c>
      <c r="B320" s="84" t="s">
        <v>1387</v>
      </c>
      <c r="C320" s="85" t="s">
        <v>928</v>
      </c>
      <c r="D320" s="86" t="s">
        <v>1388</v>
      </c>
      <c r="E320" s="87" t="s">
        <v>1389</v>
      </c>
      <c r="F320" s="88" t="s">
        <v>1389</v>
      </c>
      <c r="G320" s="89" t="s">
        <v>1389</v>
      </c>
      <c r="H320" s="84" t="s">
        <v>1390</v>
      </c>
      <c r="I320" s="85" t="s">
        <v>2005</v>
      </c>
      <c r="J320" s="85" t="s">
        <v>1870</v>
      </c>
      <c r="K320" s="85" t="s">
        <v>1869</v>
      </c>
    </row>
    <row r="321" spans="1:11" ht="15" thickBot="1" x14ac:dyDescent="0.35">
      <c r="A321" s="84" t="s">
        <v>1366</v>
      </c>
      <c r="B321" s="84" t="s">
        <v>1391</v>
      </c>
      <c r="C321" s="85" t="s">
        <v>928</v>
      </c>
      <c r="D321" s="86" t="s">
        <v>1392</v>
      </c>
      <c r="E321" s="87" t="s">
        <v>909</v>
      </c>
      <c r="F321" s="88" t="s">
        <v>909</v>
      </c>
      <c r="G321" s="89" t="s">
        <v>909</v>
      </c>
      <c r="H321" s="84" t="s">
        <v>910</v>
      </c>
      <c r="I321" s="85" t="s">
        <v>2006</v>
      </c>
      <c r="J321" s="85" t="s">
        <v>1870</v>
      </c>
      <c r="K321" s="85" t="s">
        <v>1869</v>
      </c>
    </row>
    <row r="322" spans="1:11" ht="15" thickBot="1" x14ac:dyDescent="0.35">
      <c r="A322" s="84" t="s">
        <v>1366</v>
      </c>
      <c r="B322" s="84" t="s">
        <v>1393</v>
      </c>
      <c r="C322" s="85" t="s">
        <v>928</v>
      </c>
      <c r="D322" s="86" t="s">
        <v>1394</v>
      </c>
      <c r="E322" s="87" t="s">
        <v>1395</v>
      </c>
      <c r="F322" s="88" t="s">
        <v>1395</v>
      </c>
      <c r="G322" s="89" t="s">
        <v>1395</v>
      </c>
      <c r="H322" s="84" t="s">
        <v>1396</v>
      </c>
      <c r="I322" s="85" t="s">
        <v>2007</v>
      </c>
      <c r="J322" s="85" t="s">
        <v>1870</v>
      </c>
      <c r="K322" s="85" t="s">
        <v>1869</v>
      </c>
    </row>
    <row r="323" spans="1:11" ht="15" thickBot="1" x14ac:dyDescent="0.35">
      <c r="A323" s="84" t="s">
        <v>1366</v>
      </c>
      <c r="B323" s="84" t="s">
        <v>1397</v>
      </c>
      <c r="C323" s="85" t="s">
        <v>928</v>
      </c>
      <c r="D323" s="86" t="s">
        <v>1398</v>
      </c>
      <c r="E323" s="87" t="s">
        <v>1399</v>
      </c>
      <c r="F323" s="88" t="s">
        <v>1399</v>
      </c>
      <c r="G323" s="89" t="s">
        <v>1399</v>
      </c>
      <c r="H323" s="84" t="s">
        <v>1400</v>
      </c>
      <c r="I323" s="85" t="s">
        <v>2008</v>
      </c>
      <c r="J323" s="85" t="s">
        <v>1870</v>
      </c>
      <c r="K323" s="85" t="s">
        <v>1869</v>
      </c>
    </row>
    <row r="324" spans="1:11" ht="15" thickBot="1" x14ac:dyDescent="0.35">
      <c r="A324" s="84" t="s">
        <v>1366</v>
      </c>
      <c r="B324" s="84" t="s">
        <v>1401</v>
      </c>
      <c r="C324" s="85" t="s">
        <v>928</v>
      </c>
      <c r="D324" s="86" t="s">
        <v>416</v>
      </c>
      <c r="E324" s="87" t="s">
        <v>47</v>
      </c>
      <c r="F324" s="88" t="s">
        <v>47</v>
      </c>
      <c r="G324" s="89" t="s">
        <v>47</v>
      </c>
      <c r="H324" s="84" t="s">
        <v>48</v>
      </c>
      <c r="I324" s="85" t="s">
        <v>2009</v>
      </c>
      <c r="J324" s="85" t="s">
        <v>1870</v>
      </c>
      <c r="K324" s="85" t="s">
        <v>1869</v>
      </c>
    </row>
    <row r="325" spans="1:11" ht="15" thickBot="1" x14ac:dyDescent="0.35">
      <c r="A325" s="84" t="s">
        <v>1366</v>
      </c>
      <c r="B325" s="84" t="s">
        <v>1402</v>
      </c>
      <c r="C325" s="85" t="s">
        <v>928</v>
      </c>
      <c r="D325" s="86" t="s">
        <v>1403</v>
      </c>
      <c r="E325" s="87" t="s">
        <v>147</v>
      </c>
      <c r="F325" s="88" t="s">
        <v>147</v>
      </c>
      <c r="G325" s="89" t="s">
        <v>147</v>
      </c>
      <c r="H325" s="84" t="s">
        <v>148</v>
      </c>
      <c r="I325" s="85" t="s">
        <v>2010</v>
      </c>
      <c r="J325" s="85" t="s">
        <v>1870</v>
      </c>
      <c r="K325" s="85" t="s">
        <v>1869</v>
      </c>
    </row>
    <row r="326" spans="1:11" ht="15" thickBot="1" x14ac:dyDescent="0.35">
      <c r="A326" s="84" t="s">
        <v>1366</v>
      </c>
      <c r="B326" s="84" t="s">
        <v>1404</v>
      </c>
      <c r="C326" s="85" t="s">
        <v>932</v>
      </c>
      <c r="D326" s="86" t="s">
        <v>433</v>
      </c>
      <c r="E326" s="87" t="s">
        <v>434</v>
      </c>
      <c r="F326" s="88" t="s">
        <v>434</v>
      </c>
      <c r="G326" s="89" t="s">
        <v>434</v>
      </c>
      <c r="H326" s="84" t="s">
        <v>435</v>
      </c>
      <c r="I326" s="85" t="s">
        <v>1869</v>
      </c>
      <c r="J326" s="85" t="s">
        <v>1870</v>
      </c>
      <c r="K326" s="85" t="s">
        <v>1869</v>
      </c>
    </row>
    <row r="327" spans="1:11" ht="15" thickBot="1" x14ac:dyDescent="0.35">
      <c r="A327" s="84" t="s">
        <v>1366</v>
      </c>
      <c r="B327" s="84" t="s">
        <v>1405</v>
      </c>
      <c r="C327" s="85" t="s">
        <v>928</v>
      </c>
      <c r="D327" s="86" t="s">
        <v>1406</v>
      </c>
      <c r="E327" s="87" t="s">
        <v>434</v>
      </c>
      <c r="F327" s="88" t="s">
        <v>434</v>
      </c>
      <c r="G327" s="89" t="s">
        <v>434</v>
      </c>
      <c r="H327" s="84" t="s">
        <v>435</v>
      </c>
      <c r="I327" s="85" t="s">
        <v>2011</v>
      </c>
      <c r="J327" s="85" t="s">
        <v>1870</v>
      </c>
      <c r="K327" s="85" t="s">
        <v>1869</v>
      </c>
    </row>
    <row r="328" spans="1:11" ht="15" thickBot="1" x14ac:dyDescent="0.35">
      <c r="A328" s="84" t="s">
        <v>1366</v>
      </c>
      <c r="B328" s="84" t="s">
        <v>1407</v>
      </c>
      <c r="C328" s="85" t="s">
        <v>932</v>
      </c>
      <c r="D328" s="86" t="s">
        <v>554</v>
      </c>
      <c r="E328" s="87" t="s">
        <v>434</v>
      </c>
      <c r="F328" s="88" t="s">
        <v>434</v>
      </c>
      <c r="G328" s="89" t="s">
        <v>434</v>
      </c>
      <c r="H328" s="84" t="s">
        <v>435</v>
      </c>
      <c r="I328" s="85" t="s">
        <v>1869</v>
      </c>
      <c r="J328" s="85" t="s">
        <v>1870</v>
      </c>
      <c r="K328" s="85" t="s">
        <v>1869</v>
      </c>
    </row>
    <row r="329" spans="1:11" ht="15" thickBot="1" x14ac:dyDescent="0.35">
      <c r="A329" s="84" t="s">
        <v>1366</v>
      </c>
      <c r="B329" s="84" t="s">
        <v>1408</v>
      </c>
      <c r="C329" s="85" t="s">
        <v>932</v>
      </c>
      <c r="D329" s="86" t="s">
        <v>555</v>
      </c>
      <c r="E329" s="87" t="s">
        <v>434</v>
      </c>
      <c r="F329" s="88" t="s">
        <v>434</v>
      </c>
      <c r="G329" s="89" t="s">
        <v>434</v>
      </c>
      <c r="H329" s="84" t="s">
        <v>435</v>
      </c>
      <c r="I329" s="85" t="s">
        <v>1869</v>
      </c>
      <c r="J329" s="85" t="s">
        <v>1870</v>
      </c>
      <c r="K329" s="85" t="s">
        <v>1869</v>
      </c>
    </row>
    <row r="330" spans="1:11" ht="15" thickBot="1" x14ac:dyDescent="0.35">
      <c r="A330" s="84" t="s">
        <v>1366</v>
      </c>
      <c r="B330" s="84" t="s">
        <v>1409</v>
      </c>
      <c r="C330" s="85" t="s">
        <v>932</v>
      </c>
      <c r="D330" s="86" t="s">
        <v>46</v>
      </c>
      <c r="E330" s="87" t="s">
        <v>47</v>
      </c>
      <c r="F330" s="88" t="s">
        <v>47</v>
      </c>
      <c r="G330" s="89" t="s">
        <v>47</v>
      </c>
      <c r="H330" s="84" t="s">
        <v>48</v>
      </c>
      <c r="I330" s="85" t="s">
        <v>1869</v>
      </c>
      <c r="J330" s="85" t="s">
        <v>1870</v>
      </c>
      <c r="K330" s="85" t="s">
        <v>1869</v>
      </c>
    </row>
    <row r="331" spans="1:11" ht="15" thickBot="1" x14ac:dyDescent="0.35">
      <c r="A331" s="84" t="s">
        <v>1366</v>
      </c>
      <c r="B331" s="84" t="s">
        <v>1410</v>
      </c>
      <c r="C331" s="85" t="s">
        <v>932</v>
      </c>
      <c r="D331" s="86" t="s">
        <v>49</v>
      </c>
      <c r="E331" s="87" t="s">
        <v>47</v>
      </c>
      <c r="F331" s="88" t="s">
        <v>47</v>
      </c>
      <c r="G331" s="89" t="s">
        <v>47</v>
      </c>
      <c r="H331" s="84" t="s">
        <v>48</v>
      </c>
      <c r="I331" s="85" t="s">
        <v>1869</v>
      </c>
      <c r="J331" s="85" t="s">
        <v>1870</v>
      </c>
      <c r="K331" s="85" t="s">
        <v>1869</v>
      </c>
    </row>
    <row r="332" spans="1:11" ht="15" thickBot="1" x14ac:dyDescent="0.35">
      <c r="A332" s="84" t="s">
        <v>1366</v>
      </c>
      <c r="B332" s="84" t="s">
        <v>1411</v>
      </c>
      <c r="C332" s="85" t="s">
        <v>928</v>
      </c>
      <c r="D332" s="86" t="s">
        <v>1412</v>
      </c>
      <c r="E332" s="87" t="s">
        <v>47</v>
      </c>
      <c r="F332" s="88" t="s">
        <v>47</v>
      </c>
      <c r="G332" s="89" t="s">
        <v>47</v>
      </c>
      <c r="H332" s="84" t="s">
        <v>48</v>
      </c>
      <c r="I332" s="85" t="s">
        <v>2012</v>
      </c>
      <c r="J332" s="85" t="s">
        <v>1870</v>
      </c>
      <c r="K332" s="85" t="s">
        <v>1869</v>
      </c>
    </row>
    <row r="333" spans="1:11" ht="15" thickBot="1" x14ac:dyDescent="0.35">
      <c r="A333" s="84" t="s">
        <v>1366</v>
      </c>
      <c r="B333" s="84" t="s">
        <v>1413</v>
      </c>
      <c r="C333" s="85" t="s">
        <v>928</v>
      </c>
      <c r="D333" s="86" t="s">
        <v>1414</v>
      </c>
      <c r="E333" s="87" t="s">
        <v>47</v>
      </c>
      <c r="F333" s="88" t="s">
        <v>47</v>
      </c>
      <c r="G333" s="89" t="s">
        <v>47</v>
      </c>
      <c r="H333" s="84" t="s">
        <v>48</v>
      </c>
      <c r="I333" s="85" t="s">
        <v>2013</v>
      </c>
      <c r="J333" s="85" t="s">
        <v>1870</v>
      </c>
      <c r="K333" s="85" t="s">
        <v>1869</v>
      </c>
    </row>
    <row r="334" spans="1:11" ht="15" thickBot="1" x14ac:dyDescent="0.35">
      <c r="A334" s="84" t="s">
        <v>1366</v>
      </c>
      <c r="B334" s="84" t="s">
        <v>1415</v>
      </c>
      <c r="C334" s="85" t="s">
        <v>932</v>
      </c>
      <c r="D334" s="86" t="s">
        <v>155</v>
      </c>
      <c r="E334" s="87" t="s">
        <v>118</v>
      </c>
      <c r="F334" s="88" t="s">
        <v>118</v>
      </c>
      <c r="G334" s="89" t="s">
        <v>118</v>
      </c>
      <c r="H334" s="84" t="s">
        <v>119</v>
      </c>
      <c r="I334" s="85" t="s">
        <v>1869</v>
      </c>
      <c r="J334" s="85" t="s">
        <v>1870</v>
      </c>
      <c r="K334" s="85" t="s">
        <v>1869</v>
      </c>
    </row>
    <row r="335" spans="1:11" ht="15" thickBot="1" x14ac:dyDescent="0.35">
      <c r="A335" s="84" t="s">
        <v>1366</v>
      </c>
      <c r="B335" s="84" t="s">
        <v>1416</v>
      </c>
      <c r="C335" s="85" t="s">
        <v>963</v>
      </c>
      <c r="D335" s="86" t="s">
        <v>79</v>
      </c>
      <c r="E335" s="87" t="s">
        <v>80</v>
      </c>
      <c r="F335" s="88" t="s">
        <v>80</v>
      </c>
      <c r="G335" s="89" t="s">
        <v>80</v>
      </c>
      <c r="H335" s="84" t="s">
        <v>81</v>
      </c>
      <c r="I335" s="85" t="s">
        <v>1869</v>
      </c>
      <c r="J335" s="85" t="s">
        <v>1870</v>
      </c>
      <c r="K335" s="85" t="s">
        <v>1869</v>
      </c>
    </row>
    <row r="336" spans="1:11" ht="15" thickBot="1" x14ac:dyDescent="0.35">
      <c r="A336" s="84" t="s">
        <v>1366</v>
      </c>
      <c r="B336" s="84" t="s">
        <v>1417</v>
      </c>
      <c r="C336" s="85" t="s">
        <v>963</v>
      </c>
      <c r="D336" s="86" t="s">
        <v>908</v>
      </c>
      <c r="E336" s="87" t="s">
        <v>909</v>
      </c>
      <c r="F336" s="88" t="s">
        <v>909</v>
      </c>
      <c r="G336" s="89" t="s">
        <v>909</v>
      </c>
      <c r="H336" s="84" t="s">
        <v>910</v>
      </c>
      <c r="I336" s="85" t="s">
        <v>1869</v>
      </c>
      <c r="J336" s="85" t="s">
        <v>1870</v>
      </c>
      <c r="K336" s="85" t="s">
        <v>1869</v>
      </c>
    </row>
    <row r="337" spans="1:11" ht="15" thickBot="1" x14ac:dyDescent="0.35">
      <c r="A337" s="84" t="s">
        <v>1366</v>
      </c>
      <c r="B337" s="84" t="s">
        <v>1418</v>
      </c>
      <c r="C337" s="85" t="s">
        <v>963</v>
      </c>
      <c r="D337" s="86" t="s">
        <v>584</v>
      </c>
      <c r="E337" s="87" t="s">
        <v>434</v>
      </c>
      <c r="F337" s="88" t="s">
        <v>434</v>
      </c>
      <c r="G337" s="89" t="s">
        <v>434</v>
      </c>
      <c r="H337" s="84" t="s">
        <v>435</v>
      </c>
      <c r="I337" s="85" t="s">
        <v>1869</v>
      </c>
      <c r="J337" s="85" t="s">
        <v>1870</v>
      </c>
      <c r="K337" s="85" t="s">
        <v>1869</v>
      </c>
    </row>
    <row r="338" spans="1:11" ht="15" thickBot="1" x14ac:dyDescent="0.35">
      <c r="A338" s="84" t="s">
        <v>1366</v>
      </c>
      <c r="B338" s="84" t="s">
        <v>1419</v>
      </c>
      <c r="C338" s="85" t="s">
        <v>963</v>
      </c>
      <c r="D338" s="86" t="s">
        <v>117</v>
      </c>
      <c r="E338" s="87" t="s">
        <v>118</v>
      </c>
      <c r="F338" s="88" t="s">
        <v>118</v>
      </c>
      <c r="G338" s="89" t="s">
        <v>118</v>
      </c>
      <c r="H338" s="84" t="s">
        <v>119</v>
      </c>
      <c r="I338" s="85" t="s">
        <v>1869</v>
      </c>
      <c r="J338" s="85" t="s">
        <v>1870</v>
      </c>
      <c r="K338" s="85" t="s">
        <v>1869</v>
      </c>
    </row>
    <row r="339" spans="1:11" ht="15" thickBot="1" x14ac:dyDescent="0.35">
      <c r="A339" s="84" t="s">
        <v>1420</v>
      </c>
      <c r="B339" s="84" t="s">
        <v>1421</v>
      </c>
      <c r="C339" s="85" t="s">
        <v>932</v>
      </c>
      <c r="D339" s="86" t="s">
        <v>385</v>
      </c>
      <c r="E339" s="87" t="s">
        <v>386</v>
      </c>
      <c r="F339" s="88" t="s">
        <v>386</v>
      </c>
      <c r="G339" s="89">
        <v>511501</v>
      </c>
      <c r="H339" s="84" t="s">
        <v>2014</v>
      </c>
      <c r="I339" s="85" t="s">
        <v>1869</v>
      </c>
      <c r="J339" s="85" t="s">
        <v>1870</v>
      </c>
      <c r="K339" s="85" t="s">
        <v>1869</v>
      </c>
    </row>
    <row r="340" spans="1:11" ht="15" thickBot="1" x14ac:dyDescent="0.35">
      <c r="A340" s="84" t="s">
        <v>1420</v>
      </c>
      <c r="B340" s="84" t="s">
        <v>1422</v>
      </c>
      <c r="C340" s="85" t="s">
        <v>932</v>
      </c>
      <c r="D340" s="86" t="s">
        <v>912</v>
      </c>
      <c r="E340" s="87" t="s">
        <v>386</v>
      </c>
      <c r="F340" s="88" t="s">
        <v>386</v>
      </c>
      <c r="G340" s="89" t="s">
        <v>386</v>
      </c>
      <c r="H340" s="84" t="s">
        <v>387</v>
      </c>
      <c r="I340" s="85" t="s">
        <v>1869</v>
      </c>
      <c r="J340" s="85" t="s">
        <v>1870</v>
      </c>
      <c r="K340" s="85" t="s">
        <v>1869</v>
      </c>
    </row>
    <row r="341" spans="1:11" ht="15" thickBot="1" x14ac:dyDescent="0.35">
      <c r="A341" s="84" t="s">
        <v>1420</v>
      </c>
      <c r="B341" s="84" t="s">
        <v>1423</v>
      </c>
      <c r="C341" s="85" t="s">
        <v>932</v>
      </c>
      <c r="D341" s="86" t="s">
        <v>669</v>
      </c>
      <c r="E341" s="87" t="s">
        <v>386</v>
      </c>
      <c r="F341" s="88" t="s">
        <v>386</v>
      </c>
      <c r="G341" s="89">
        <v>511504</v>
      </c>
      <c r="H341" s="84" t="s">
        <v>2015</v>
      </c>
      <c r="I341" s="85" t="s">
        <v>1869</v>
      </c>
      <c r="J341" s="85" t="s">
        <v>1870</v>
      </c>
      <c r="K341" s="85" t="s">
        <v>1869</v>
      </c>
    </row>
    <row r="342" spans="1:11" ht="15" thickBot="1" x14ac:dyDescent="0.35">
      <c r="A342" s="84" t="s">
        <v>1420</v>
      </c>
      <c r="B342" s="84" t="s">
        <v>1424</v>
      </c>
      <c r="C342" s="85" t="s">
        <v>932</v>
      </c>
      <c r="D342" s="86" t="s">
        <v>913</v>
      </c>
      <c r="E342" s="87" t="s">
        <v>386</v>
      </c>
      <c r="F342" s="88" t="s">
        <v>386</v>
      </c>
      <c r="G342" s="89" t="s">
        <v>386</v>
      </c>
      <c r="H342" s="84" t="s">
        <v>387</v>
      </c>
      <c r="I342" s="85" t="s">
        <v>1869</v>
      </c>
      <c r="J342" s="85" t="s">
        <v>1870</v>
      </c>
      <c r="K342" s="85" t="s">
        <v>1869</v>
      </c>
    </row>
    <row r="343" spans="1:11" ht="15" thickBot="1" x14ac:dyDescent="0.35">
      <c r="A343" s="84" t="s">
        <v>1420</v>
      </c>
      <c r="B343" s="84" t="s">
        <v>1425</v>
      </c>
      <c r="C343" s="85" t="s">
        <v>932</v>
      </c>
      <c r="D343" s="86" t="s">
        <v>388</v>
      </c>
      <c r="E343" s="87" t="s">
        <v>386</v>
      </c>
      <c r="F343" s="88" t="s">
        <v>386</v>
      </c>
      <c r="G343" s="89" t="s">
        <v>386</v>
      </c>
      <c r="H343" s="84" t="s">
        <v>387</v>
      </c>
      <c r="I343" s="85" t="s">
        <v>1869</v>
      </c>
      <c r="J343" s="85" t="s">
        <v>1870</v>
      </c>
      <c r="K343" s="85" t="s">
        <v>1869</v>
      </c>
    </row>
    <row r="344" spans="1:11" ht="15" thickBot="1" x14ac:dyDescent="0.35">
      <c r="A344" s="84" t="s">
        <v>1420</v>
      </c>
      <c r="B344" s="84" t="s">
        <v>1426</v>
      </c>
      <c r="C344" s="85" t="s">
        <v>932</v>
      </c>
      <c r="D344" s="86" t="s">
        <v>670</v>
      </c>
      <c r="E344" s="87" t="s">
        <v>386</v>
      </c>
      <c r="F344" s="88" t="s">
        <v>386</v>
      </c>
      <c r="G344" s="89" t="s">
        <v>386</v>
      </c>
      <c r="H344" s="84" t="s">
        <v>387</v>
      </c>
      <c r="I344" s="85" t="s">
        <v>1869</v>
      </c>
      <c r="J344" s="85" t="s">
        <v>1870</v>
      </c>
      <c r="K344" s="85" t="s">
        <v>1869</v>
      </c>
    </row>
    <row r="345" spans="1:11" ht="15" thickBot="1" x14ac:dyDescent="0.35">
      <c r="A345" s="84" t="s">
        <v>1420</v>
      </c>
      <c r="B345" s="84" t="s">
        <v>1427</v>
      </c>
      <c r="C345" s="85" t="s">
        <v>928</v>
      </c>
      <c r="D345" s="86" t="s">
        <v>240</v>
      </c>
      <c r="E345" s="87" t="s">
        <v>241</v>
      </c>
      <c r="F345" s="88" t="s">
        <v>241</v>
      </c>
      <c r="G345" s="89" t="s">
        <v>241</v>
      </c>
      <c r="H345" s="84" t="s">
        <v>242</v>
      </c>
      <c r="I345" s="85" t="s">
        <v>2016</v>
      </c>
      <c r="J345" s="85" t="s">
        <v>1870</v>
      </c>
      <c r="K345" s="85" t="s">
        <v>1869</v>
      </c>
    </row>
    <row r="346" spans="1:11" ht="15" thickBot="1" x14ac:dyDescent="0.35">
      <c r="A346" s="84" t="s">
        <v>1420</v>
      </c>
      <c r="B346" s="84" t="s">
        <v>1428</v>
      </c>
      <c r="C346" s="85" t="s">
        <v>928</v>
      </c>
      <c r="D346" s="86" t="s">
        <v>430</v>
      </c>
      <c r="E346" s="87" t="s">
        <v>431</v>
      </c>
      <c r="F346" s="88" t="s">
        <v>431</v>
      </c>
      <c r="G346" s="89" t="s">
        <v>431</v>
      </c>
      <c r="H346" s="84" t="s">
        <v>432</v>
      </c>
      <c r="I346" s="85" t="s">
        <v>2017</v>
      </c>
      <c r="J346" s="85" t="s">
        <v>1871</v>
      </c>
      <c r="K346" s="85">
        <v>2020</v>
      </c>
    </row>
    <row r="347" spans="1:11" ht="15" thickBot="1" x14ac:dyDescent="0.35">
      <c r="A347" s="84" t="s">
        <v>1420</v>
      </c>
      <c r="B347" s="84" t="s">
        <v>1429</v>
      </c>
      <c r="C347" s="85" t="s">
        <v>928</v>
      </c>
      <c r="D347" s="86" t="s">
        <v>243</v>
      </c>
      <c r="E347" s="87" t="s">
        <v>244</v>
      </c>
      <c r="F347" s="88" t="s">
        <v>244</v>
      </c>
      <c r="G347" s="89" t="s">
        <v>244</v>
      </c>
      <c r="H347" s="84" t="s">
        <v>245</v>
      </c>
      <c r="I347" s="85" t="s">
        <v>2018</v>
      </c>
      <c r="J347" s="85" t="s">
        <v>1871</v>
      </c>
      <c r="K347" s="85">
        <v>2020</v>
      </c>
    </row>
    <row r="348" spans="1:11" ht="15" thickBot="1" x14ac:dyDescent="0.35">
      <c r="A348" s="84" t="s">
        <v>1420</v>
      </c>
      <c r="B348" s="84" t="s">
        <v>1430</v>
      </c>
      <c r="C348" s="85" t="s">
        <v>928</v>
      </c>
      <c r="D348" s="86" t="s">
        <v>712</v>
      </c>
      <c r="E348" s="87" t="s">
        <v>713</v>
      </c>
      <c r="F348" s="88" t="s">
        <v>713</v>
      </c>
      <c r="G348" s="89" t="s">
        <v>713</v>
      </c>
      <c r="H348" s="84" t="s">
        <v>714</v>
      </c>
      <c r="I348" s="85" t="s">
        <v>2019</v>
      </c>
      <c r="J348" s="85" t="s">
        <v>1870</v>
      </c>
      <c r="K348" s="85" t="s">
        <v>1869</v>
      </c>
    </row>
    <row r="349" spans="1:11" ht="15" thickBot="1" x14ac:dyDescent="0.35">
      <c r="A349" s="84" t="s">
        <v>1420</v>
      </c>
      <c r="B349" s="84" t="s">
        <v>1431</v>
      </c>
      <c r="C349" s="85" t="s">
        <v>928</v>
      </c>
      <c r="D349" s="86" t="s">
        <v>715</v>
      </c>
      <c r="E349" s="87" t="s">
        <v>716</v>
      </c>
      <c r="F349" s="88" t="s">
        <v>716</v>
      </c>
      <c r="G349" s="89" t="s">
        <v>716</v>
      </c>
      <c r="H349" s="84" t="s">
        <v>717</v>
      </c>
      <c r="I349" s="85" t="s">
        <v>2020</v>
      </c>
      <c r="J349" s="85" t="s">
        <v>1871</v>
      </c>
      <c r="K349" s="85">
        <v>2020</v>
      </c>
    </row>
    <row r="350" spans="1:11" ht="15" thickBot="1" x14ac:dyDescent="0.35">
      <c r="A350" s="84" t="s">
        <v>1420</v>
      </c>
      <c r="B350" s="84" t="s">
        <v>1432</v>
      </c>
      <c r="C350" s="85" t="s">
        <v>963</v>
      </c>
      <c r="D350" s="86" t="s">
        <v>403</v>
      </c>
      <c r="E350" s="87" t="s">
        <v>386</v>
      </c>
      <c r="F350" s="88" t="s">
        <v>386</v>
      </c>
      <c r="G350" s="89" t="s">
        <v>386</v>
      </c>
      <c r="H350" s="84" t="s">
        <v>387</v>
      </c>
      <c r="I350" s="85" t="s">
        <v>1869</v>
      </c>
      <c r="J350" s="85" t="s">
        <v>1870</v>
      </c>
      <c r="K350" s="85" t="s">
        <v>1869</v>
      </c>
    </row>
    <row r="351" spans="1:11" ht="15" thickBot="1" x14ac:dyDescent="0.35">
      <c r="A351" s="84" t="s">
        <v>1433</v>
      </c>
      <c r="B351" s="84" t="s">
        <v>1434</v>
      </c>
      <c r="C351" s="85" t="s">
        <v>963</v>
      </c>
      <c r="D351" s="86" t="s">
        <v>1435</v>
      </c>
      <c r="E351" s="87" t="s">
        <v>168</v>
      </c>
      <c r="F351" s="88" t="s">
        <v>168</v>
      </c>
      <c r="G351" s="89">
        <v>111003</v>
      </c>
      <c r="H351" s="84" t="s">
        <v>2021</v>
      </c>
      <c r="I351" s="85" t="s">
        <v>1869</v>
      </c>
      <c r="J351" s="85" t="s">
        <v>1870</v>
      </c>
      <c r="K351" s="85" t="s">
        <v>1869</v>
      </c>
    </row>
    <row r="352" spans="1:11" ht="15" thickBot="1" x14ac:dyDescent="0.35">
      <c r="A352" s="84" t="s">
        <v>1433</v>
      </c>
      <c r="B352" s="84" t="s">
        <v>1436</v>
      </c>
      <c r="C352" s="85" t="s">
        <v>928</v>
      </c>
      <c r="D352" s="86" t="s">
        <v>1437</v>
      </c>
      <c r="E352" s="87" t="s">
        <v>235</v>
      </c>
      <c r="F352" s="88" t="s">
        <v>235</v>
      </c>
      <c r="G352" s="89" t="s">
        <v>235</v>
      </c>
      <c r="H352" s="84" t="s">
        <v>236</v>
      </c>
      <c r="I352" s="85" t="s">
        <v>2022</v>
      </c>
      <c r="J352" s="85" t="s">
        <v>1870</v>
      </c>
      <c r="K352" s="85" t="s">
        <v>1869</v>
      </c>
    </row>
    <row r="353" spans="1:11" ht="15" thickBot="1" x14ac:dyDescent="0.35">
      <c r="A353" s="84" t="s">
        <v>1433</v>
      </c>
      <c r="B353" s="84" t="s">
        <v>1438</v>
      </c>
      <c r="C353" s="85" t="s">
        <v>928</v>
      </c>
      <c r="D353" s="86" t="s">
        <v>1439</v>
      </c>
      <c r="E353" s="87" t="s">
        <v>168</v>
      </c>
      <c r="F353" s="88" t="s">
        <v>168</v>
      </c>
      <c r="G353" s="89" t="s">
        <v>168</v>
      </c>
      <c r="H353" s="84" t="s">
        <v>169</v>
      </c>
      <c r="I353" s="85" t="s">
        <v>2023</v>
      </c>
      <c r="J353" s="85" t="s">
        <v>1870</v>
      </c>
      <c r="K353" s="85" t="s">
        <v>1869</v>
      </c>
    </row>
    <row r="354" spans="1:11" ht="15" thickBot="1" x14ac:dyDescent="0.35">
      <c r="A354" s="84" t="s">
        <v>1433</v>
      </c>
      <c r="B354" s="84" t="s">
        <v>1440</v>
      </c>
      <c r="C354" s="85" t="s">
        <v>932</v>
      </c>
      <c r="D354" s="86" t="s">
        <v>418</v>
      </c>
      <c r="E354" s="87" t="s">
        <v>168</v>
      </c>
      <c r="F354" s="88" t="s">
        <v>168</v>
      </c>
      <c r="G354" s="89" t="s">
        <v>168</v>
      </c>
      <c r="H354" s="84" t="s">
        <v>169</v>
      </c>
      <c r="I354" s="85" t="s">
        <v>1869</v>
      </c>
      <c r="J354" s="85" t="s">
        <v>1870</v>
      </c>
      <c r="K354" s="85" t="s">
        <v>1869</v>
      </c>
    </row>
    <row r="355" spans="1:11" ht="15" thickBot="1" x14ac:dyDescent="0.35">
      <c r="A355" s="84" t="s">
        <v>1433</v>
      </c>
      <c r="B355" s="84" t="s">
        <v>1441</v>
      </c>
      <c r="C355" s="85" t="s">
        <v>932</v>
      </c>
      <c r="D355" s="86" t="s">
        <v>695</v>
      </c>
      <c r="E355" s="87" t="s">
        <v>168</v>
      </c>
      <c r="F355" s="88" t="s">
        <v>168</v>
      </c>
      <c r="G355" s="89" t="s">
        <v>168</v>
      </c>
      <c r="H355" s="84" t="s">
        <v>169</v>
      </c>
      <c r="I355" s="85" t="s">
        <v>1869</v>
      </c>
      <c r="J355" s="85" t="s">
        <v>1870</v>
      </c>
      <c r="K355" s="85" t="s">
        <v>1869</v>
      </c>
    </row>
    <row r="356" spans="1:11" ht="15" thickBot="1" x14ac:dyDescent="0.35">
      <c r="A356" s="84" t="s">
        <v>1433</v>
      </c>
      <c r="B356" s="84" t="s">
        <v>1442</v>
      </c>
      <c r="C356" s="85" t="s">
        <v>932</v>
      </c>
      <c r="D356" s="86" t="s">
        <v>217</v>
      </c>
      <c r="E356" s="87" t="s">
        <v>168</v>
      </c>
      <c r="F356" s="88" t="s">
        <v>168</v>
      </c>
      <c r="G356" s="89" t="s">
        <v>168</v>
      </c>
      <c r="H356" s="84" t="s">
        <v>169</v>
      </c>
      <c r="I356" s="85" t="s">
        <v>1869</v>
      </c>
      <c r="J356" s="85" t="s">
        <v>1870</v>
      </c>
      <c r="K356" s="85" t="s">
        <v>1869</v>
      </c>
    </row>
    <row r="357" spans="1:11" ht="15" thickBot="1" x14ac:dyDescent="0.35">
      <c r="A357" s="84" t="s">
        <v>1433</v>
      </c>
      <c r="B357" s="84" t="s">
        <v>1443</v>
      </c>
      <c r="C357" s="85" t="s">
        <v>932</v>
      </c>
      <c r="D357" s="86" t="s">
        <v>218</v>
      </c>
      <c r="E357" s="87" t="s">
        <v>168</v>
      </c>
      <c r="F357" s="88" t="s">
        <v>168</v>
      </c>
      <c r="G357" s="89" t="s">
        <v>168</v>
      </c>
      <c r="H357" s="84" t="s">
        <v>169</v>
      </c>
      <c r="I357" s="85" t="s">
        <v>1869</v>
      </c>
      <c r="J357" s="85" t="s">
        <v>1870</v>
      </c>
      <c r="K357" s="85" t="s">
        <v>1869</v>
      </c>
    </row>
    <row r="358" spans="1:11" ht="15" thickBot="1" x14ac:dyDescent="0.35">
      <c r="A358" s="84" t="s">
        <v>1433</v>
      </c>
      <c r="B358" s="84" t="s">
        <v>1444</v>
      </c>
      <c r="C358" s="85" t="s">
        <v>932</v>
      </c>
      <c r="D358" s="86" t="s">
        <v>502</v>
      </c>
      <c r="E358" s="87" t="s">
        <v>168</v>
      </c>
      <c r="F358" s="88" t="s">
        <v>168</v>
      </c>
      <c r="G358" s="89" t="s">
        <v>168</v>
      </c>
      <c r="H358" s="84" t="s">
        <v>169</v>
      </c>
      <c r="I358" s="85" t="s">
        <v>1869</v>
      </c>
      <c r="J358" s="85" t="s">
        <v>1870</v>
      </c>
      <c r="K358" s="85" t="s">
        <v>1869</v>
      </c>
    </row>
    <row r="359" spans="1:11" ht="15" thickBot="1" x14ac:dyDescent="0.35">
      <c r="A359" s="84" t="s">
        <v>1433</v>
      </c>
      <c r="B359" s="84" t="s">
        <v>1445</v>
      </c>
      <c r="C359" s="85" t="s">
        <v>928</v>
      </c>
      <c r="D359" s="86" t="s">
        <v>1446</v>
      </c>
      <c r="E359" s="87" t="s">
        <v>171</v>
      </c>
      <c r="F359" s="88" t="s">
        <v>171</v>
      </c>
      <c r="G359" s="89" t="s">
        <v>171</v>
      </c>
      <c r="H359" s="84" t="s">
        <v>172</v>
      </c>
      <c r="I359" s="85" t="s">
        <v>2024</v>
      </c>
      <c r="J359" s="85" t="s">
        <v>1870</v>
      </c>
      <c r="K359" s="85" t="s">
        <v>1869</v>
      </c>
    </row>
    <row r="360" spans="1:11" ht="15" thickBot="1" x14ac:dyDescent="0.35">
      <c r="A360" s="84" t="s">
        <v>1433</v>
      </c>
      <c r="B360" s="84" t="s">
        <v>1447</v>
      </c>
      <c r="C360" s="85" t="s">
        <v>932</v>
      </c>
      <c r="D360" s="86" t="s">
        <v>389</v>
      </c>
      <c r="E360" s="87" t="s">
        <v>171</v>
      </c>
      <c r="F360" s="88" t="s">
        <v>171</v>
      </c>
      <c r="G360" s="89" t="s">
        <v>171</v>
      </c>
      <c r="H360" s="84" t="s">
        <v>172</v>
      </c>
      <c r="I360" s="85" t="s">
        <v>1869</v>
      </c>
      <c r="J360" s="85" t="s">
        <v>1870</v>
      </c>
      <c r="K360" s="85" t="s">
        <v>1869</v>
      </c>
    </row>
    <row r="361" spans="1:11" ht="15" thickBot="1" x14ac:dyDescent="0.35">
      <c r="A361" s="84" t="s">
        <v>1433</v>
      </c>
      <c r="B361" s="84" t="s">
        <v>1448</v>
      </c>
      <c r="C361" s="85" t="s">
        <v>932</v>
      </c>
      <c r="D361" s="86" t="s">
        <v>810</v>
      </c>
      <c r="E361" s="87" t="s">
        <v>171</v>
      </c>
      <c r="F361" s="88" t="s">
        <v>171</v>
      </c>
      <c r="G361" s="89" t="s">
        <v>171</v>
      </c>
      <c r="H361" s="84" t="s">
        <v>172</v>
      </c>
      <c r="I361" s="85" t="s">
        <v>1869</v>
      </c>
      <c r="J361" s="85" t="s">
        <v>1870</v>
      </c>
      <c r="K361" s="85" t="s">
        <v>1869</v>
      </c>
    </row>
    <row r="362" spans="1:11" ht="15" thickBot="1" x14ac:dyDescent="0.35">
      <c r="A362" s="84" t="s">
        <v>1433</v>
      </c>
      <c r="B362" s="84" t="s">
        <v>1449</v>
      </c>
      <c r="C362" s="85" t="s">
        <v>932</v>
      </c>
      <c r="D362" s="86" t="s">
        <v>390</v>
      </c>
      <c r="E362" s="87" t="s">
        <v>391</v>
      </c>
      <c r="F362" s="88" t="s">
        <v>391</v>
      </c>
      <c r="G362" s="89" t="s">
        <v>391</v>
      </c>
      <c r="H362" s="84" t="s">
        <v>392</v>
      </c>
      <c r="I362" s="85" t="s">
        <v>1869</v>
      </c>
      <c r="J362" s="85" t="s">
        <v>1870</v>
      </c>
      <c r="K362" s="85" t="s">
        <v>1869</v>
      </c>
    </row>
    <row r="363" spans="1:11" ht="15" thickBot="1" x14ac:dyDescent="0.35">
      <c r="A363" s="84" t="s">
        <v>1433</v>
      </c>
      <c r="B363" s="84" t="s">
        <v>1450</v>
      </c>
      <c r="C363" s="85" t="s">
        <v>928</v>
      </c>
      <c r="D363" s="86" t="s">
        <v>1451</v>
      </c>
      <c r="E363" s="87" t="s">
        <v>391</v>
      </c>
      <c r="F363" s="88" t="s">
        <v>391</v>
      </c>
      <c r="G363" s="89" t="s">
        <v>391</v>
      </c>
      <c r="H363" s="84" t="s">
        <v>392</v>
      </c>
      <c r="I363" s="85" t="s">
        <v>2025</v>
      </c>
      <c r="J363" s="85" t="s">
        <v>1870</v>
      </c>
      <c r="K363" s="85" t="s">
        <v>1869</v>
      </c>
    </row>
    <row r="364" spans="1:11" ht="15" thickBot="1" x14ac:dyDescent="0.35">
      <c r="A364" s="84" t="s">
        <v>1433</v>
      </c>
      <c r="B364" s="84" t="s">
        <v>1452</v>
      </c>
      <c r="C364" s="85" t="s">
        <v>932</v>
      </c>
      <c r="D364" s="86" t="s">
        <v>811</v>
      </c>
      <c r="E364" s="87" t="s">
        <v>812</v>
      </c>
      <c r="F364" s="88" t="s">
        <v>812</v>
      </c>
      <c r="G364" s="89" t="s">
        <v>812</v>
      </c>
      <c r="H364" s="84" t="s">
        <v>813</v>
      </c>
      <c r="I364" s="85" t="s">
        <v>1869</v>
      </c>
      <c r="J364" s="85" t="s">
        <v>1870</v>
      </c>
      <c r="K364" s="85" t="s">
        <v>1869</v>
      </c>
    </row>
    <row r="365" spans="1:11" ht="15" thickBot="1" x14ac:dyDescent="0.35">
      <c r="A365" s="84" t="s">
        <v>1433</v>
      </c>
      <c r="B365" s="84" t="s">
        <v>1453</v>
      </c>
      <c r="C365" s="85" t="s">
        <v>932</v>
      </c>
      <c r="D365" s="86" t="s">
        <v>1454</v>
      </c>
      <c r="E365" s="87" t="s">
        <v>812</v>
      </c>
      <c r="F365" s="88" t="s">
        <v>812</v>
      </c>
      <c r="G365" s="89" t="s">
        <v>812</v>
      </c>
      <c r="H365" s="84" t="s">
        <v>813</v>
      </c>
      <c r="I365" s="85" t="s">
        <v>1869</v>
      </c>
      <c r="J365" s="85" t="s">
        <v>1870</v>
      </c>
      <c r="K365" s="85" t="s">
        <v>1869</v>
      </c>
    </row>
    <row r="366" spans="1:11" ht="15" thickBot="1" x14ac:dyDescent="0.35">
      <c r="A366" s="84" t="s">
        <v>1433</v>
      </c>
      <c r="B366" s="84" t="s">
        <v>1455</v>
      </c>
      <c r="C366" s="85" t="s">
        <v>932</v>
      </c>
      <c r="D366" s="86" t="s">
        <v>814</v>
      </c>
      <c r="E366" s="87" t="s">
        <v>812</v>
      </c>
      <c r="F366" s="88" t="s">
        <v>812</v>
      </c>
      <c r="G366" s="89" t="s">
        <v>812</v>
      </c>
      <c r="H366" s="84" t="s">
        <v>813</v>
      </c>
      <c r="I366" s="85" t="s">
        <v>1869</v>
      </c>
      <c r="J366" s="85" t="s">
        <v>1870</v>
      </c>
      <c r="K366" s="85" t="s">
        <v>1869</v>
      </c>
    </row>
    <row r="367" spans="1:11" ht="15" thickBot="1" x14ac:dyDescent="0.35">
      <c r="A367" s="84" t="s">
        <v>1433</v>
      </c>
      <c r="B367" s="84" t="s">
        <v>1456</v>
      </c>
      <c r="C367" s="85" t="s">
        <v>928</v>
      </c>
      <c r="D367" s="86" t="s">
        <v>1457</v>
      </c>
      <c r="E367" s="87" t="s">
        <v>812</v>
      </c>
      <c r="F367" s="88" t="s">
        <v>812</v>
      </c>
      <c r="G367" s="89" t="s">
        <v>812</v>
      </c>
      <c r="H367" s="84" t="s">
        <v>813</v>
      </c>
      <c r="I367" s="85" t="s">
        <v>2026</v>
      </c>
      <c r="J367" s="85" t="s">
        <v>1870</v>
      </c>
      <c r="K367" s="85" t="s">
        <v>1869</v>
      </c>
    </row>
    <row r="368" spans="1:11" ht="15" thickBot="1" x14ac:dyDescent="0.35">
      <c r="A368" s="84" t="s">
        <v>1433</v>
      </c>
      <c r="B368" s="84" t="s">
        <v>1458</v>
      </c>
      <c r="C368" s="85" t="s">
        <v>928</v>
      </c>
      <c r="D368" s="86" t="s">
        <v>1459</v>
      </c>
      <c r="E368" s="87" t="s">
        <v>812</v>
      </c>
      <c r="F368" s="88" t="s">
        <v>812</v>
      </c>
      <c r="G368" s="89" t="s">
        <v>812</v>
      </c>
      <c r="H368" s="84" t="s">
        <v>813</v>
      </c>
      <c r="I368" s="85" t="s">
        <v>2027</v>
      </c>
      <c r="J368" s="85" t="s">
        <v>1870</v>
      </c>
      <c r="K368" s="85" t="s">
        <v>1869</v>
      </c>
    </row>
    <row r="369" spans="1:11" ht="15" thickBot="1" x14ac:dyDescent="0.35">
      <c r="A369" s="84" t="s">
        <v>1433</v>
      </c>
      <c r="B369" s="84" t="s">
        <v>1460</v>
      </c>
      <c r="C369" s="85" t="s">
        <v>928</v>
      </c>
      <c r="D369" s="86" t="s">
        <v>1461</v>
      </c>
      <c r="E369" s="87" t="s">
        <v>812</v>
      </c>
      <c r="F369" s="88" t="s">
        <v>812</v>
      </c>
      <c r="G369" s="89" t="s">
        <v>812</v>
      </c>
      <c r="H369" s="84" t="s">
        <v>813</v>
      </c>
      <c r="I369" s="85" t="s">
        <v>2028</v>
      </c>
      <c r="J369" s="85" t="s">
        <v>1870</v>
      </c>
      <c r="K369" s="85" t="s">
        <v>1869</v>
      </c>
    </row>
    <row r="370" spans="1:11" ht="15" thickBot="1" x14ac:dyDescent="0.35">
      <c r="A370" s="84" t="s">
        <v>1433</v>
      </c>
      <c r="B370" s="84" t="s">
        <v>1462</v>
      </c>
      <c r="C370" s="85" t="s">
        <v>928</v>
      </c>
      <c r="D370" s="86" t="s">
        <v>1463</v>
      </c>
      <c r="E370" s="87" t="s">
        <v>115</v>
      </c>
      <c r="F370" s="88" t="s">
        <v>115</v>
      </c>
      <c r="G370" s="89">
        <v>111004</v>
      </c>
      <c r="H370" s="84" t="s">
        <v>2029</v>
      </c>
      <c r="I370" s="85" t="s">
        <v>2030</v>
      </c>
      <c r="J370" s="85" t="s">
        <v>1870</v>
      </c>
      <c r="K370" s="85" t="s">
        <v>1869</v>
      </c>
    </row>
    <row r="371" spans="1:11" ht="15" thickBot="1" x14ac:dyDescent="0.35">
      <c r="A371" s="84" t="s">
        <v>1433</v>
      </c>
      <c r="B371" s="84" t="s">
        <v>1464</v>
      </c>
      <c r="C371" s="85" t="s">
        <v>932</v>
      </c>
      <c r="D371" s="86" t="s">
        <v>421</v>
      </c>
      <c r="E371" s="87" t="s">
        <v>115</v>
      </c>
      <c r="F371" s="88" t="s">
        <v>115</v>
      </c>
      <c r="G371" s="89" t="s">
        <v>115</v>
      </c>
      <c r="H371" s="84" t="s">
        <v>116</v>
      </c>
      <c r="I371" s="85" t="s">
        <v>1869</v>
      </c>
      <c r="J371" s="85" t="s">
        <v>1870</v>
      </c>
      <c r="K371" s="85" t="s">
        <v>1869</v>
      </c>
    </row>
    <row r="372" spans="1:11" ht="15" thickBot="1" x14ac:dyDescent="0.35">
      <c r="A372" s="84" t="s">
        <v>1433</v>
      </c>
      <c r="B372" s="84" t="s">
        <v>1465</v>
      </c>
      <c r="C372" s="85" t="s">
        <v>928</v>
      </c>
      <c r="D372" s="86" t="s">
        <v>1466</v>
      </c>
      <c r="E372" s="87" t="s">
        <v>1467</v>
      </c>
      <c r="F372" s="88" t="s">
        <v>1467</v>
      </c>
      <c r="G372" s="89" t="s">
        <v>1467</v>
      </c>
      <c r="H372" s="84" t="s">
        <v>1468</v>
      </c>
      <c r="I372" s="85" t="s">
        <v>2031</v>
      </c>
      <c r="J372" s="85" t="s">
        <v>1871</v>
      </c>
      <c r="K372" s="85" t="s">
        <v>2032</v>
      </c>
    </row>
    <row r="373" spans="1:11" ht="15" thickBot="1" x14ac:dyDescent="0.35">
      <c r="A373" s="84" t="s">
        <v>1433</v>
      </c>
      <c r="B373" s="84" t="s">
        <v>1469</v>
      </c>
      <c r="C373" s="85" t="s">
        <v>928</v>
      </c>
      <c r="D373" s="86" t="s">
        <v>1470</v>
      </c>
      <c r="E373" s="87" t="s">
        <v>1471</v>
      </c>
      <c r="F373" s="88" t="s">
        <v>1471</v>
      </c>
      <c r="G373" s="89" t="s">
        <v>1471</v>
      </c>
      <c r="H373" s="84" t="s">
        <v>1472</v>
      </c>
      <c r="I373" s="85" t="s">
        <v>2033</v>
      </c>
      <c r="J373" s="85" t="s">
        <v>1870</v>
      </c>
      <c r="K373" s="85" t="s">
        <v>1869</v>
      </c>
    </row>
    <row r="374" spans="1:11" ht="15" thickBot="1" x14ac:dyDescent="0.35">
      <c r="A374" s="84" t="s">
        <v>1433</v>
      </c>
      <c r="B374" s="84" t="s">
        <v>1473</v>
      </c>
      <c r="C374" s="85" t="s">
        <v>928</v>
      </c>
      <c r="D374" s="86" t="s">
        <v>1474</v>
      </c>
      <c r="E374" s="87" t="s">
        <v>1471</v>
      </c>
      <c r="F374" s="88" t="s">
        <v>1471</v>
      </c>
      <c r="G374" s="89" t="s">
        <v>1471</v>
      </c>
      <c r="H374" s="84" t="s">
        <v>1472</v>
      </c>
      <c r="I374" s="85" t="s">
        <v>2034</v>
      </c>
      <c r="J374" s="85" t="s">
        <v>1870</v>
      </c>
      <c r="K374" s="85" t="s">
        <v>1869</v>
      </c>
    </row>
    <row r="375" spans="1:11" ht="15" thickBot="1" x14ac:dyDescent="0.35">
      <c r="A375" s="84" t="s">
        <v>1433</v>
      </c>
      <c r="B375" s="84" t="s">
        <v>1475</v>
      </c>
      <c r="C375" s="85" t="s">
        <v>928</v>
      </c>
      <c r="D375" s="86" t="s">
        <v>1476</v>
      </c>
      <c r="E375" s="87" t="s">
        <v>1477</v>
      </c>
      <c r="F375" s="88" t="s">
        <v>1477</v>
      </c>
      <c r="G375" s="89" t="s">
        <v>1477</v>
      </c>
      <c r="H375" s="84" t="s">
        <v>1478</v>
      </c>
      <c r="I375" s="85" t="s">
        <v>2035</v>
      </c>
      <c r="J375" s="85" t="s">
        <v>1870</v>
      </c>
      <c r="K375" s="85" t="s">
        <v>1869</v>
      </c>
    </row>
    <row r="376" spans="1:11" ht="15" thickBot="1" x14ac:dyDescent="0.35">
      <c r="A376" s="84" t="s">
        <v>1433</v>
      </c>
      <c r="B376" s="84" t="s">
        <v>1479</v>
      </c>
      <c r="C376" s="85" t="s">
        <v>928</v>
      </c>
      <c r="D376" s="86" t="s">
        <v>1480</v>
      </c>
      <c r="E376" s="87" t="s">
        <v>1477</v>
      </c>
      <c r="F376" s="88" t="s">
        <v>1477</v>
      </c>
      <c r="G376" s="89" t="s">
        <v>1477</v>
      </c>
      <c r="H376" s="84" t="s">
        <v>1478</v>
      </c>
      <c r="I376" s="85" t="s">
        <v>2036</v>
      </c>
      <c r="J376" s="85" t="s">
        <v>1870</v>
      </c>
      <c r="K376" s="85" t="s">
        <v>1869</v>
      </c>
    </row>
    <row r="377" spans="1:11" ht="15" thickBot="1" x14ac:dyDescent="0.35">
      <c r="A377" s="84" t="s">
        <v>1433</v>
      </c>
      <c r="B377" s="84" t="s">
        <v>1481</v>
      </c>
      <c r="C377" s="85" t="s">
        <v>928</v>
      </c>
      <c r="D377" s="86" t="s">
        <v>1482</v>
      </c>
      <c r="E377" s="87" t="s">
        <v>1477</v>
      </c>
      <c r="F377" s="88" t="s">
        <v>1477</v>
      </c>
      <c r="G377" s="89" t="s">
        <v>1477</v>
      </c>
      <c r="H377" s="84" t="s">
        <v>1478</v>
      </c>
      <c r="I377" s="85" t="s">
        <v>2037</v>
      </c>
      <c r="J377" s="85" t="s">
        <v>1870</v>
      </c>
      <c r="K377" s="85" t="s">
        <v>1869</v>
      </c>
    </row>
    <row r="378" spans="1:11" ht="15" thickBot="1" x14ac:dyDescent="0.35">
      <c r="A378" s="84" t="s">
        <v>1433</v>
      </c>
      <c r="B378" s="84" t="s">
        <v>1483</v>
      </c>
      <c r="C378" s="85" t="s">
        <v>932</v>
      </c>
      <c r="D378" s="86" t="s">
        <v>31</v>
      </c>
      <c r="E378" s="87" t="s">
        <v>32</v>
      </c>
      <c r="F378" s="88" t="s">
        <v>32</v>
      </c>
      <c r="G378" s="89" t="s">
        <v>32</v>
      </c>
      <c r="H378" s="84" t="s">
        <v>33</v>
      </c>
      <c r="I378" s="85" t="s">
        <v>1869</v>
      </c>
      <c r="J378" s="85" t="s">
        <v>1870</v>
      </c>
      <c r="K378" s="85" t="s">
        <v>1869</v>
      </c>
    </row>
    <row r="379" spans="1:11" ht="15" thickBot="1" x14ac:dyDescent="0.35">
      <c r="A379" s="84" t="s">
        <v>1433</v>
      </c>
      <c r="B379" s="84" t="s">
        <v>1484</v>
      </c>
      <c r="C379" s="85" t="s">
        <v>932</v>
      </c>
      <c r="D379" s="86" t="s">
        <v>219</v>
      </c>
      <c r="E379" s="87" t="s">
        <v>32</v>
      </c>
      <c r="F379" s="88" t="s">
        <v>32</v>
      </c>
      <c r="G379" s="89" t="s">
        <v>32</v>
      </c>
      <c r="H379" s="84" t="s">
        <v>33</v>
      </c>
      <c r="I379" s="85" t="s">
        <v>1869</v>
      </c>
      <c r="J379" s="85" t="s">
        <v>1870</v>
      </c>
      <c r="K379" s="85" t="s">
        <v>1869</v>
      </c>
    </row>
    <row r="380" spans="1:11" ht="15" thickBot="1" x14ac:dyDescent="0.35">
      <c r="A380" s="84" t="s">
        <v>1433</v>
      </c>
      <c r="B380" s="84" t="s">
        <v>1485</v>
      </c>
      <c r="C380" s="85" t="s">
        <v>932</v>
      </c>
      <c r="D380" s="86" t="s">
        <v>34</v>
      </c>
      <c r="E380" s="87" t="s">
        <v>32</v>
      </c>
      <c r="F380" s="88" t="s">
        <v>32</v>
      </c>
      <c r="G380" s="89" t="s">
        <v>32</v>
      </c>
      <c r="H380" s="84" t="s">
        <v>33</v>
      </c>
      <c r="I380" s="85" t="s">
        <v>1869</v>
      </c>
      <c r="J380" s="85" t="s">
        <v>1870</v>
      </c>
      <c r="K380" s="85" t="s">
        <v>1869</v>
      </c>
    </row>
    <row r="381" spans="1:11" ht="15" thickBot="1" x14ac:dyDescent="0.35">
      <c r="A381" s="84" t="s">
        <v>1433</v>
      </c>
      <c r="B381" s="84" t="s">
        <v>1486</v>
      </c>
      <c r="C381" s="85" t="s">
        <v>932</v>
      </c>
      <c r="D381" s="86" t="s">
        <v>541</v>
      </c>
      <c r="E381" s="87" t="s">
        <v>32</v>
      </c>
      <c r="F381" s="88" t="s">
        <v>32</v>
      </c>
      <c r="G381" s="89" t="s">
        <v>32</v>
      </c>
      <c r="H381" s="84" t="s">
        <v>33</v>
      </c>
      <c r="I381" s="85" t="s">
        <v>1869</v>
      </c>
      <c r="J381" s="85" t="s">
        <v>1870</v>
      </c>
      <c r="K381" s="85" t="s">
        <v>1869</v>
      </c>
    </row>
    <row r="382" spans="1:11" ht="15" thickBot="1" x14ac:dyDescent="0.35">
      <c r="A382" s="84" t="s">
        <v>1433</v>
      </c>
      <c r="B382" s="84" t="s">
        <v>1487</v>
      </c>
      <c r="C382" s="85" t="s">
        <v>932</v>
      </c>
      <c r="D382" s="86" t="s">
        <v>542</v>
      </c>
      <c r="E382" s="87" t="s">
        <v>32</v>
      </c>
      <c r="F382" s="88" t="s">
        <v>32</v>
      </c>
      <c r="G382" s="89" t="s">
        <v>32</v>
      </c>
      <c r="H382" s="84" t="s">
        <v>33</v>
      </c>
      <c r="I382" s="85" t="s">
        <v>1869</v>
      </c>
      <c r="J382" s="85" t="s">
        <v>1870</v>
      </c>
      <c r="K382" s="85" t="s">
        <v>1869</v>
      </c>
    </row>
    <row r="383" spans="1:11" ht="15" thickBot="1" x14ac:dyDescent="0.35">
      <c r="A383" s="84" t="s">
        <v>1433</v>
      </c>
      <c r="B383" s="84" t="s">
        <v>1488</v>
      </c>
      <c r="C383" s="85" t="s">
        <v>932</v>
      </c>
      <c r="D383" s="86" t="s">
        <v>220</v>
      </c>
      <c r="E383" s="87" t="s">
        <v>32</v>
      </c>
      <c r="F383" s="88" t="s">
        <v>32</v>
      </c>
      <c r="G383" s="89" t="s">
        <v>32</v>
      </c>
      <c r="H383" s="84" t="s">
        <v>33</v>
      </c>
      <c r="I383" s="85" t="s">
        <v>1869</v>
      </c>
      <c r="J383" s="85" t="s">
        <v>1870</v>
      </c>
      <c r="K383" s="85" t="s">
        <v>1869</v>
      </c>
    </row>
    <row r="384" spans="1:11" ht="15" thickBot="1" x14ac:dyDescent="0.35">
      <c r="A384" s="84" t="s">
        <v>1433</v>
      </c>
      <c r="B384" s="84" t="s">
        <v>1489</v>
      </c>
      <c r="C384" s="85" t="s">
        <v>932</v>
      </c>
      <c r="D384" s="86" t="s">
        <v>35</v>
      </c>
      <c r="E384" s="87" t="s">
        <v>32</v>
      </c>
      <c r="F384" s="88" t="s">
        <v>32</v>
      </c>
      <c r="G384" s="89" t="s">
        <v>32</v>
      </c>
      <c r="H384" s="84" t="s">
        <v>33</v>
      </c>
      <c r="I384" s="85" t="s">
        <v>1869</v>
      </c>
      <c r="J384" s="85" t="s">
        <v>1870</v>
      </c>
      <c r="K384" s="85" t="s">
        <v>1869</v>
      </c>
    </row>
    <row r="385" spans="1:11" ht="15" thickBot="1" x14ac:dyDescent="0.35">
      <c r="A385" s="84" t="s">
        <v>1433</v>
      </c>
      <c r="B385" s="84" t="s">
        <v>1490</v>
      </c>
      <c r="C385" s="85" t="s">
        <v>932</v>
      </c>
      <c r="D385" s="86" t="s">
        <v>221</v>
      </c>
      <c r="E385" s="87" t="s">
        <v>32</v>
      </c>
      <c r="F385" s="88" t="s">
        <v>32</v>
      </c>
      <c r="G385" s="89" t="s">
        <v>32</v>
      </c>
      <c r="H385" s="84" t="s">
        <v>33</v>
      </c>
      <c r="I385" s="85" t="s">
        <v>1869</v>
      </c>
      <c r="J385" s="85" t="s">
        <v>1870</v>
      </c>
      <c r="K385" s="85" t="s">
        <v>1869</v>
      </c>
    </row>
    <row r="386" spans="1:11" ht="15" thickBot="1" x14ac:dyDescent="0.35">
      <c r="A386" s="84" t="s">
        <v>1433</v>
      </c>
      <c r="B386" s="84" t="s">
        <v>1491</v>
      </c>
      <c r="C386" s="85" t="s">
        <v>932</v>
      </c>
      <c r="D386" s="86" t="s">
        <v>222</v>
      </c>
      <c r="E386" s="87" t="s">
        <v>32</v>
      </c>
      <c r="F386" s="88" t="s">
        <v>32</v>
      </c>
      <c r="G386" s="89" t="s">
        <v>32</v>
      </c>
      <c r="H386" s="84" t="s">
        <v>33</v>
      </c>
      <c r="I386" s="85" t="s">
        <v>1869</v>
      </c>
      <c r="J386" s="85" t="s">
        <v>1870</v>
      </c>
      <c r="K386" s="85" t="s">
        <v>1869</v>
      </c>
    </row>
    <row r="387" spans="1:11" ht="15" thickBot="1" x14ac:dyDescent="0.35">
      <c r="A387" s="84" t="s">
        <v>1433</v>
      </c>
      <c r="B387" s="84" t="s">
        <v>1492</v>
      </c>
      <c r="C387" s="85" t="s">
        <v>932</v>
      </c>
      <c r="D387" s="86" t="s">
        <v>36</v>
      </c>
      <c r="E387" s="87" t="s">
        <v>32</v>
      </c>
      <c r="F387" s="88" t="s">
        <v>32</v>
      </c>
      <c r="G387" s="89" t="s">
        <v>32</v>
      </c>
      <c r="H387" s="84" t="s">
        <v>33</v>
      </c>
      <c r="I387" s="85" t="s">
        <v>1869</v>
      </c>
      <c r="J387" s="85" t="s">
        <v>1870</v>
      </c>
      <c r="K387" s="85" t="s">
        <v>1869</v>
      </c>
    </row>
    <row r="388" spans="1:11" ht="15" thickBot="1" x14ac:dyDescent="0.35">
      <c r="A388" s="84" t="s">
        <v>1433</v>
      </c>
      <c r="B388" s="84" t="s">
        <v>1493</v>
      </c>
      <c r="C388" s="85" t="s">
        <v>932</v>
      </c>
      <c r="D388" s="86" t="s">
        <v>543</v>
      </c>
      <c r="E388" s="87" t="s">
        <v>32</v>
      </c>
      <c r="F388" s="88" t="s">
        <v>32</v>
      </c>
      <c r="G388" s="89" t="s">
        <v>32</v>
      </c>
      <c r="H388" s="84" t="s">
        <v>33</v>
      </c>
      <c r="I388" s="85" t="s">
        <v>1869</v>
      </c>
      <c r="J388" s="85" t="s">
        <v>1870</v>
      </c>
      <c r="K388" s="85" t="s">
        <v>1869</v>
      </c>
    </row>
    <row r="389" spans="1:11" ht="15" thickBot="1" x14ac:dyDescent="0.35">
      <c r="A389" s="84" t="s">
        <v>1433</v>
      </c>
      <c r="B389" s="84" t="s">
        <v>1494</v>
      </c>
      <c r="C389" s="85" t="s">
        <v>928</v>
      </c>
      <c r="D389" s="86" t="s">
        <v>1495</v>
      </c>
      <c r="E389" s="87" t="s">
        <v>32</v>
      </c>
      <c r="F389" s="88" t="s">
        <v>32</v>
      </c>
      <c r="G389" s="89" t="s">
        <v>32</v>
      </c>
      <c r="H389" s="84" t="s">
        <v>33</v>
      </c>
      <c r="I389" s="85" t="s">
        <v>2038</v>
      </c>
      <c r="J389" s="85" t="s">
        <v>1870</v>
      </c>
      <c r="K389" s="85" t="s">
        <v>1869</v>
      </c>
    </row>
    <row r="390" spans="1:11" ht="15" thickBot="1" x14ac:dyDescent="0.35">
      <c r="A390" s="84" t="s">
        <v>1433</v>
      </c>
      <c r="B390" s="84" t="s">
        <v>1496</v>
      </c>
      <c r="C390" s="85" t="s">
        <v>928</v>
      </c>
      <c r="D390" s="86" t="s">
        <v>1497</v>
      </c>
      <c r="E390" s="87" t="s">
        <v>32</v>
      </c>
      <c r="F390" s="88" t="s">
        <v>32</v>
      </c>
      <c r="G390" s="89" t="s">
        <v>32</v>
      </c>
      <c r="H390" s="84" t="s">
        <v>33</v>
      </c>
      <c r="I390" s="85" t="s">
        <v>2039</v>
      </c>
      <c r="J390" s="85" t="s">
        <v>1870</v>
      </c>
      <c r="K390" s="85" t="s">
        <v>1869</v>
      </c>
    </row>
    <row r="391" spans="1:11" ht="15" thickBot="1" x14ac:dyDescent="0.35">
      <c r="A391" s="84" t="s">
        <v>1433</v>
      </c>
      <c r="B391" s="84" t="s">
        <v>1498</v>
      </c>
      <c r="C391" s="85" t="s">
        <v>928</v>
      </c>
      <c r="D391" s="86" t="s">
        <v>590</v>
      </c>
      <c r="E391" s="87" t="s">
        <v>504</v>
      </c>
      <c r="F391" s="88" t="s">
        <v>504</v>
      </c>
      <c r="G391" s="89" t="s">
        <v>504</v>
      </c>
      <c r="H391" s="84" t="s">
        <v>505</v>
      </c>
      <c r="I391" s="85" t="s">
        <v>2040</v>
      </c>
      <c r="J391" s="85" t="s">
        <v>1870</v>
      </c>
      <c r="K391" s="85" t="s">
        <v>1869</v>
      </c>
    </row>
    <row r="392" spans="1:11" ht="15" thickBot="1" x14ac:dyDescent="0.35">
      <c r="A392" s="84" t="s">
        <v>1433</v>
      </c>
      <c r="B392" s="84" t="s">
        <v>1499</v>
      </c>
      <c r="C392" s="85" t="s">
        <v>928</v>
      </c>
      <c r="D392" s="86" t="s">
        <v>1500</v>
      </c>
      <c r="E392" s="87" t="s">
        <v>504</v>
      </c>
      <c r="F392" s="88" t="s">
        <v>504</v>
      </c>
      <c r="G392" s="89">
        <v>110902</v>
      </c>
      <c r="H392" s="84" t="s">
        <v>2041</v>
      </c>
      <c r="I392" s="85" t="s">
        <v>2042</v>
      </c>
      <c r="J392" s="85" t="s">
        <v>1870</v>
      </c>
      <c r="K392" s="85" t="s">
        <v>1869</v>
      </c>
    </row>
    <row r="393" spans="1:11" ht="15" thickBot="1" x14ac:dyDescent="0.35">
      <c r="A393" s="84" t="s">
        <v>1433</v>
      </c>
      <c r="B393" s="84" t="s">
        <v>1501</v>
      </c>
      <c r="C393" s="85" t="s">
        <v>932</v>
      </c>
      <c r="D393" s="86" t="s">
        <v>503</v>
      </c>
      <c r="E393" s="87" t="s">
        <v>504</v>
      </c>
      <c r="F393" s="88" t="s">
        <v>504</v>
      </c>
      <c r="G393" s="89" t="s">
        <v>504</v>
      </c>
      <c r="H393" s="84" t="s">
        <v>505</v>
      </c>
      <c r="I393" s="85" t="s">
        <v>1869</v>
      </c>
      <c r="J393" s="85" t="s">
        <v>1870</v>
      </c>
      <c r="K393" s="85" t="s">
        <v>1869</v>
      </c>
    </row>
    <row r="394" spans="1:11" ht="15" thickBot="1" x14ac:dyDescent="0.35">
      <c r="A394" s="84" t="s">
        <v>1433</v>
      </c>
      <c r="B394" s="84" t="s">
        <v>1502</v>
      </c>
      <c r="C394" s="85" t="s">
        <v>932</v>
      </c>
      <c r="D394" s="86" t="s">
        <v>1503</v>
      </c>
      <c r="E394" s="87" t="s">
        <v>752</v>
      </c>
      <c r="F394" s="88" t="s">
        <v>752</v>
      </c>
      <c r="G394" s="89" t="s">
        <v>752</v>
      </c>
      <c r="H394" s="84" t="s">
        <v>753</v>
      </c>
      <c r="I394" s="85" t="s">
        <v>1869</v>
      </c>
      <c r="J394" s="85" t="s">
        <v>1870</v>
      </c>
      <c r="K394" s="85" t="s">
        <v>1869</v>
      </c>
    </row>
    <row r="395" spans="1:11" ht="15" thickBot="1" x14ac:dyDescent="0.35">
      <c r="A395" s="84" t="s">
        <v>1433</v>
      </c>
      <c r="B395" s="84" t="s">
        <v>1504</v>
      </c>
      <c r="C395" s="85" t="s">
        <v>932</v>
      </c>
      <c r="D395" s="86" t="s">
        <v>1505</v>
      </c>
      <c r="E395" s="87" t="s">
        <v>752</v>
      </c>
      <c r="F395" s="88" t="s">
        <v>752</v>
      </c>
      <c r="G395" s="89" t="s">
        <v>752</v>
      </c>
      <c r="H395" s="84" t="s">
        <v>753</v>
      </c>
      <c r="I395" s="85" t="s">
        <v>1869</v>
      </c>
      <c r="J395" s="85" t="s">
        <v>1870</v>
      </c>
      <c r="K395" s="85" t="s">
        <v>1869</v>
      </c>
    </row>
    <row r="396" spans="1:11" ht="15" thickBot="1" x14ac:dyDescent="0.35">
      <c r="A396" s="84" t="s">
        <v>1433</v>
      </c>
      <c r="B396" s="84" t="s">
        <v>1506</v>
      </c>
      <c r="C396" s="85" t="s">
        <v>928</v>
      </c>
      <c r="D396" s="86" t="s">
        <v>1507</v>
      </c>
      <c r="E396" s="87" t="s">
        <v>1508</v>
      </c>
      <c r="F396" s="88" t="s">
        <v>1508</v>
      </c>
      <c r="G396" s="89" t="s">
        <v>1508</v>
      </c>
      <c r="H396" s="84" t="s">
        <v>1509</v>
      </c>
      <c r="I396" s="85" t="s">
        <v>2043</v>
      </c>
      <c r="J396" s="85" t="s">
        <v>1870</v>
      </c>
      <c r="K396" s="85" t="s">
        <v>1869</v>
      </c>
    </row>
    <row r="397" spans="1:11" ht="15" thickBot="1" x14ac:dyDescent="0.35">
      <c r="A397" s="84" t="s">
        <v>1433</v>
      </c>
      <c r="B397" s="84" t="s">
        <v>1510</v>
      </c>
      <c r="C397" s="85" t="s">
        <v>932</v>
      </c>
      <c r="D397" s="86" t="s">
        <v>223</v>
      </c>
      <c r="E397" s="87" t="s">
        <v>224</v>
      </c>
      <c r="F397" s="88" t="s">
        <v>224</v>
      </c>
      <c r="G397" s="89" t="s">
        <v>224</v>
      </c>
      <c r="H397" s="84" t="s">
        <v>225</v>
      </c>
      <c r="I397" s="85" t="s">
        <v>1869</v>
      </c>
      <c r="J397" s="85" t="s">
        <v>1870</v>
      </c>
      <c r="K397" s="85" t="s">
        <v>1869</v>
      </c>
    </row>
    <row r="398" spans="1:11" ht="15" thickBot="1" x14ac:dyDescent="0.35">
      <c r="A398" s="84" t="s">
        <v>1433</v>
      </c>
      <c r="B398" s="84" t="s">
        <v>1511</v>
      </c>
      <c r="C398" s="85" t="s">
        <v>928</v>
      </c>
      <c r="D398" s="86" t="s">
        <v>1512</v>
      </c>
      <c r="E398" s="87" t="s">
        <v>224</v>
      </c>
      <c r="F398" s="88" t="s">
        <v>224</v>
      </c>
      <c r="G398" s="89" t="s">
        <v>224</v>
      </c>
      <c r="H398" s="84" t="s">
        <v>225</v>
      </c>
      <c r="I398" s="85" t="s">
        <v>2044</v>
      </c>
      <c r="J398" s="85" t="s">
        <v>1871</v>
      </c>
      <c r="K398" s="85" t="s">
        <v>2032</v>
      </c>
    </row>
    <row r="399" spans="1:11" ht="15" thickBot="1" x14ac:dyDescent="0.35">
      <c r="A399" s="84" t="s">
        <v>1433</v>
      </c>
      <c r="B399" s="84" t="s">
        <v>1513</v>
      </c>
      <c r="C399" s="85" t="s">
        <v>928</v>
      </c>
      <c r="D399" s="86" t="s">
        <v>1514</v>
      </c>
      <c r="E399" s="87" t="s">
        <v>816</v>
      </c>
      <c r="F399" s="88" t="s">
        <v>816</v>
      </c>
      <c r="G399" s="89" t="s">
        <v>816</v>
      </c>
      <c r="H399" s="84" t="s">
        <v>817</v>
      </c>
      <c r="I399" s="85" t="s">
        <v>2045</v>
      </c>
      <c r="J399" s="85" t="s">
        <v>1870</v>
      </c>
      <c r="K399" s="85" t="s">
        <v>1869</v>
      </c>
    </row>
    <row r="400" spans="1:11" ht="15" thickBot="1" x14ac:dyDescent="0.35">
      <c r="A400" s="84" t="s">
        <v>1433</v>
      </c>
      <c r="B400" s="84" t="s">
        <v>1515</v>
      </c>
      <c r="C400" s="85" t="s">
        <v>928</v>
      </c>
      <c r="D400" s="86" t="s">
        <v>1516</v>
      </c>
      <c r="E400" s="87" t="s">
        <v>816</v>
      </c>
      <c r="F400" s="88" t="s">
        <v>816</v>
      </c>
      <c r="G400" s="89" t="s">
        <v>816</v>
      </c>
      <c r="H400" s="84" t="s">
        <v>817</v>
      </c>
      <c r="I400" s="85" t="s">
        <v>2046</v>
      </c>
      <c r="J400" s="85" t="s">
        <v>1870</v>
      </c>
      <c r="K400" s="85" t="s">
        <v>1869</v>
      </c>
    </row>
    <row r="401" spans="1:11" ht="15" thickBot="1" x14ac:dyDescent="0.35">
      <c r="A401" s="84" t="s">
        <v>1433</v>
      </c>
      <c r="B401" s="84" t="s">
        <v>1517</v>
      </c>
      <c r="C401" s="85" t="s">
        <v>928</v>
      </c>
      <c r="D401" s="86" t="s">
        <v>1518</v>
      </c>
      <c r="E401" s="87" t="s">
        <v>816</v>
      </c>
      <c r="F401" s="88" t="s">
        <v>816</v>
      </c>
      <c r="G401" s="89" t="s">
        <v>816</v>
      </c>
      <c r="H401" s="84" t="s">
        <v>817</v>
      </c>
      <c r="I401" s="85" t="s">
        <v>2047</v>
      </c>
      <c r="J401" s="85" t="s">
        <v>1870</v>
      </c>
      <c r="K401" s="85" t="s">
        <v>1869</v>
      </c>
    </row>
    <row r="402" spans="1:11" ht="15" thickBot="1" x14ac:dyDescent="0.35">
      <c r="A402" s="84" t="s">
        <v>1433</v>
      </c>
      <c r="B402" s="84" t="s">
        <v>1519</v>
      </c>
      <c r="C402" s="85" t="s">
        <v>928</v>
      </c>
      <c r="D402" s="86" t="s">
        <v>1520</v>
      </c>
      <c r="E402" s="87" t="s">
        <v>816</v>
      </c>
      <c r="F402" s="88" t="s">
        <v>816</v>
      </c>
      <c r="G402" s="89" t="s">
        <v>816</v>
      </c>
      <c r="H402" s="84" t="s">
        <v>817</v>
      </c>
      <c r="I402" s="85" t="s">
        <v>2048</v>
      </c>
      <c r="J402" s="85" t="s">
        <v>1871</v>
      </c>
      <c r="K402" s="85" t="s">
        <v>2032</v>
      </c>
    </row>
    <row r="403" spans="1:11" ht="15" thickBot="1" x14ac:dyDescent="0.35">
      <c r="A403" s="84" t="s">
        <v>1433</v>
      </c>
      <c r="B403" s="84" t="s">
        <v>1521</v>
      </c>
      <c r="C403" s="85" t="s">
        <v>932</v>
      </c>
      <c r="D403" s="86" t="s">
        <v>815</v>
      </c>
      <c r="E403" s="87" t="s">
        <v>816</v>
      </c>
      <c r="F403" s="88" t="s">
        <v>816</v>
      </c>
      <c r="G403" s="89" t="s">
        <v>816</v>
      </c>
      <c r="H403" s="84" t="s">
        <v>817</v>
      </c>
      <c r="I403" s="85" t="s">
        <v>1869</v>
      </c>
      <c r="J403" s="85" t="s">
        <v>1870</v>
      </c>
      <c r="K403" s="85" t="s">
        <v>1869</v>
      </c>
    </row>
    <row r="404" spans="1:11" ht="15" thickBot="1" x14ac:dyDescent="0.35">
      <c r="A404" s="84" t="s">
        <v>1433</v>
      </c>
      <c r="B404" s="84" t="s">
        <v>1522</v>
      </c>
      <c r="C404" s="85" t="s">
        <v>932</v>
      </c>
      <c r="D404" s="86" t="s">
        <v>764</v>
      </c>
      <c r="E404" s="87" t="s">
        <v>509</v>
      </c>
      <c r="F404" s="88" t="s">
        <v>509</v>
      </c>
      <c r="G404" s="89" t="s">
        <v>509</v>
      </c>
      <c r="H404" s="84" t="s">
        <v>510</v>
      </c>
      <c r="I404" s="85" t="s">
        <v>1869</v>
      </c>
      <c r="J404" s="85" t="s">
        <v>1870</v>
      </c>
      <c r="K404" s="85" t="s">
        <v>1869</v>
      </c>
    </row>
    <row r="405" spans="1:11" ht="15" thickBot="1" x14ac:dyDescent="0.35">
      <c r="A405" s="84" t="s">
        <v>1433</v>
      </c>
      <c r="B405" s="84" t="s">
        <v>1523</v>
      </c>
      <c r="C405" s="85" t="s">
        <v>932</v>
      </c>
      <c r="D405" s="86" t="s">
        <v>1524</v>
      </c>
      <c r="E405" s="87" t="s">
        <v>509</v>
      </c>
      <c r="F405" s="88" t="s">
        <v>509</v>
      </c>
      <c r="G405" s="89" t="s">
        <v>509</v>
      </c>
      <c r="H405" s="84" t="s">
        <v>510</v>
      </c>
      <c r="I405" s="85" t="s">
        <v>1869</v>
      </c>
      <c r="J405" s="85" t="s">
        <v>1870</v>
      </c>
      <c r="K405" s="85" t="s">
        <v>1869</v>
      </c>
    </row>
    <row r="406" spans="1:11" ht="15" thickBot="1" x14ac:dyDescent="0.35">
      <c r="A406" s="84" t="s">
        <v>1433</v>
      </c>
      <c r="B406" s="84" t="s">
        <v>1525</v>
      </c>
      <c r="C406" s="85" t="s">
        <v>932</v>
      </c>
      <c r="D406" s="86" t="s">
        <v>1526</v>
      </c>
      <c r="E406" s="87" t="s">
        <v>509</v>
      </c>
      <c r="F406" s="88" t="s">
        <v>509</v>
      </c>
      <c r="G406" s="89" t="s">
        <v>509</v>
      </c>
      <c r="H406" s="84" t="s">
        <v>510</v>
      </c>
      <c r="I406" s="85" t="s">
        <v>1869</v>
      </c>
      <c r="J406" s="85" t="s">
        <v>1870</v>
      </c>
      <c r="K406" s="85" t="s">
        <v>1869</v>
      </c>
    </row>
    <row r="407" spans="1:11" ht="15" thickBot="1" x14ac:dyDescent="0.35">
      <c r="A407" s="84" t="s">
        <v>1433</v>
      </c>
      <c r="B407" s="84" t="s">
        <v>1527</v>
      </c>
      <c r="C407" s="85" t="s">
        <v>932</v>
      </c>
      <c r="D407" s="86" t="s">
        <v>1528</v>
      </c>
      <c r="E407" s="87" t="s">
        <v>509</v>
      </c>
      <c r="F407" s="88" t="s">
        <v>509</v>
      </c>
      <c r="G407" s="89" t="s">
        <v>509</v>
      </c>
      <c r="H407" s="84" t="s">
        <v>510</v>
      </c>
      <c r="I407" s="85" t="s">
        <v>1869</v>
      </c>
      <c r="J407" s="85" t="s">
        <v>1870</v>
      </c>
      <c r="K407" s="85" t="s">
        <v>1869</v>
      </c>
    </row>
    <row r="408" spans="1:11" ht="15" thickBot="1" x14ac:dyDescent="0.35">
      <c r="A408" s="84" t="s">
        <v>1433</v>
      </c>
      <c r="B408" s="84" t="s">
        <v>1529</v>
      </c>
      <c r="C408" s="85" t="s">
        <v>932</v>
      </c>
      <c r="D408" s="86" t="s">
        <v>508</v>
      </c>
      <c r="E408" s="87" t="s">
        <v>509</v>
      </c>
      <c r="F408" s="88" t="s">
        <v>509</v>
      </c>
      <c r="G408" s="89" t="s">
        <v>509</v>
      </c>
      <c r="H408" s="84" t="s">
        <v>510</v>
      </c>
      <c r="I408" s="85" t="s">
        <v>1869</v>
      </c>
      <c r="J408" s="85" t="s">
        <v>1870</v>
      </c>
      <c r="K408" s="85" t="s">
        <v>1869</v>
      </c>
    </row>
    <row r="409" spans="1:11" ht="15" thickBot="1" x14ac:dyDescent="0.35">
      <c r="A409" s="84" t="s">
        <v>1433</v>
      </c>
      <c r="B409" s="84" t="s">
        <v>1530</v>
      </c>
      <c r="C409" s="85" t="s">
        <v>932</v>
      </c>
      <c r="D409" s="86" t="s">
        <v>818</v>
      </c>
      <c r="E409" s="87" t="s">
        <v>819</v>
      </c>
      <c r="F409" s="88" t="s">
        <v>819</v>
      </c>
      <c r="G409" s="89" t="s">
        <v>819</v>
      </c>
      <c r="H409" s="84" t="s">
        <v>820</v>
      </c>
      <c r="I409" s="85" t="s">
        <v>1869</v>
      </c>
      <c r="J409" s="85" t="s">
        <v>1870</v>
      </c>
      <c r="K409" s="85" t="s">
        <v>1869</v>
      </c>
    </row>
    <row r="410" spans="1:11" ht="15" thickBot="1" x14ac:dyDescent="0.35">
      <c r="A410" s="84" t="s">
        <v>1433</v>
      </c>
      <c r="B410" s="84" t="s">
        <v>1531</v>
      </c>
      <c r="C410" s="85" t="s">
        <v>932</v>
      </c>
      <c r="D410" s="86" t="s">
        <v>512</v>
      </c>
      <c r="E410" s="87" t="s">
        <v>513</v>
      </c>
      <c r="F410" s="88" t="s">
        <v>513</v>
      </c>
      <c r="G410" s="89" t="s">
        <v>513</v>
      </c>
      <c r="H410" s="84" t="s">
        <v>514</v>
      </c>
      <c r="I410" s="85" t="s">
        <v>1869</v>
      </c>
      <c r="J410" s="85" t="s">
        <v>1870</v>
      </c>
      <c r="K410" s="85" t="s">
        <v>1869</v>
      </c>
    </row>
    <row r="411" spans="1:11" ht="15" thickBot="1" x14ac:dyDescent="0.35">
      <c r="A411" s="84" t="s">
        <v>1433</v>
      </c>
      <c r="B411" s="84" t="s">
        <v>1532</v>
      </c>
      <c r="C411" s="85" t="s">
        <v>963</v>
      </c>
      <c r="D411" s="86" t="s">
        <v>346</v>
      </c>
      <c r="E411" s="87" t="s">
        <v>347</v>
      </c>
      <c r="F411" s="88" t="s">
        <v>347</v>
      </c>
      <c r="G411" s="89">
        <v>307001</v>
      </c>
      <c r="H411" s="84" t="s">
        <v>2049</v>
      </c>
      <c r="I411" s="85" t="s">
        <v>1869</v>
      </c>
      <c r="J411" s="85" t="s">
        <v>1870</v>
      </c>
      <c r="K411" s="85" t="s">
        <v>1869</v>
      </c>
    </row>
    <row r="412" spans="1:11" ht="15" thickBot="1" x14ac:dyDescent="0.35">
      <c r="A412" s="84" t="s">
        <v>1433</v>
      </c>
      <c r="B412" s="84" t="s">
        <v>1533</v>
      </c>
      <c r="C412" s="85" t="s">
        <v>963</v>
      </c>
      <c r="D412" s="86" t="s">
        <v>167</v>
      </c>
      <c r="E412" s="87" t="s">
        <v>168</v>
      </c>
      <c r="F412" s="88" t="s">
        <v>168</v>
      </c>
      <c r="G412" s="89" t="s">
        <v>168</v>
      </c>
      <c r="H412" s="84" t="s">
        <v>169</v>
      </c>
      <c r="I412" s="85" t="s">
        <v>1869</v>
      </c>
      <c r="J412" s="85" t="s">
        <v>1870</v>
      </c>
      <c r="K412" s="85" t="s">
        <v>1869</v>
      </c>
    </row>
    <row r="413" spans="1:11" ht="15" thickBot="1" x14ac:dyDescent="0.35">
      <c r="A413" s="84" t="s">
        <v>1433</v>
      </c>
      <c r="B413" s="84" t="s">
        <v>1534</v>
      </c>
      <c r="C413" s="85" t="s">
        <v>963</v>
      </c>
      <c r="D413" s="86" t="s">
        <v>464</v>
      </c>
      <c r="E413" s="87" t="s">
        <v>168</v>
      </c>
      <c r="F413" s="88" t="s">
        <v>168</v>
      </c>
      <c r="G413" s="89">
        <v>110802</v>
      </c>
      <c r="H413" s="84" t="s">
        <v>2050</v>
      </c>
      <c r="I413" s="85" t="s">
        <v>1869</v>
      </c>
      <c r="J413" s="85" t="s">
        <v>1870</v>
      </c>
      <c r="K413" s="85" t="s">
        <v>1869</v>
      </c>
    </row>
    <row r="414" spans="1:11" ht="15" thickBot="1" x14ac:dyDescent="0.35">
      <c r="A414" s="84" t="s">
        <v>1433</v>
      </c>
      <c r="B414" s="84" t="s">
        <v>1535</v>
      </c>
      <c r="C414" s="85" t="s">
        <v>963</v>
      </c>
      <c r="D414" s="86" t="s">
        <v>170</v>
      </c>
      <c r="E414" s="87" t="s">
        <v>171</v>
      </c>
      <c r="F414" s="88" t="s">
        <v>171</v>
      </c>
      <c r="G414" s="89" t="s">
        <v>171</v>
      </c>
      <c r="H414" s="84" t="s">
        <v>172</v>
      </c>
      <c r="I414" s="85" t="s">
        <v>1869</v>
      </c>
      <c r="J414" s="85" t="s">
        <v>1870</v>
      </c>
      <c r="K414" s="85" t="s">
        <v>1869</v>
      </c>
    </row>
    <row r="415" spans="1:11" ht="15" thickBot="1" x14ac:dyDescent="0.35">
      <c r="A415" s="84" t="s">
        <v>1433</v>
      </c>
      <c r="B415" s="84" t="s">
        <v>1536</v>
      </c>
      <c r="C415" s="85" t="s">
        <v>963</v>
      </c>
      <c r="D415" s="86" t="s">
        <v>404</v>
      </c>
      <c r="E415" s="87" t="s">
        <v>115</v>
      </c>
      <c r="F415" s="88" t="s">
        <v>115</v>
      </c>
      <c r="G415" s="89" t="s">
        <v>115</v>
      </c>
      <c r="H415" s="84" t="s">
        <v>116</v>
      </c>
      <c r="I415" s="85" t="s">
        <v>1869</v>
      </c>
      <c r="J415" s="85" t="s">
        <v>1871</v>
      </c>
      <c r="K415" s="85" t="s">
        <v>1908</v>
      </c>
    </row>
    <row r="416" spans="1:11" ht="15" thickBot="1" x14ac:dyDescent="0.35">
      <c r="A416" s="84" t="s">
        <v>1433</v>
      </c>
      <c r="B416" s="84" t="s">
        <v>1536</v>
      </c>
      <c r="C416" s="85" t="s">
        <v>963</v>
      </c>
      <c r="D416" s="86" t="s">
        <v>686</v>
      </c>
      <c r="E416" s="87" t="s">
        <v>115</v>
      </c>
      <c r="F416" s="88" t="s">
        <v>115</v>
      </c>
      <c r="G416" s="89">
        <v>111004</v>
      </c>
      <c r="H416" s="84" t="s">
        <v>2051</v>
      </c>
      <c r="I416" s="85" t="s">
        <v>1869</v>
      </c>
      <c r="J416" s="85" t="s">
        <v>1870</v>
      </c>
      <c r="K416" s="85" t="s">
        <v>1869</v>
      </c>
    </row>
    <row r="417" spans="1:11" ht="15" thickBot="1" x14ac:dyDescent="0.35">
      <c r="A417" s="84" t="s">
        <v>1433</v>
      </c>
      <c r="B417" s="84" t="s">
        <v>1537</v>
      </c>
      <c r="C417" s="85" t="s">
        <v>963</v>
      </c>
      <c r="D417" s="86" t="s">
        <v>106</v>
      </c>
      <c r="E417" s="87" t="s">
        <v>32</v>
      </c>
      <c r="F417" s="88" t="s">
        <v>32</v>
      </c>
      <c r="G417" s="89" t="s">
        <v>32</v>
      </c>
      <c r="H417" s="84" t="s">
        <v>33</v>
      </c>
      <c r="I417" s="85" t="s">
        <v>1869</v>
      </c>
      <c r="J417" s="85" t="s">
        <v>1870</v>
      </c>
      <c r="K417" s="85" t="s">
        <v>1869</v>
      </c>
    </row>
    <row r="418" spans="1:11" ht="15" thickBot="1" x14ac:dyDescent="0.35">
      <c r="A418" s="84" t="s">
        <v>1433</v>
      </c>
      <c r="B418" s="84" t="s">
        <v>1538</v>
      </c>
      <c r="C418" s="85" t="s">
        <v>963</v>
      </c>
      <c r="D418" s="86" t="s">
        <v>656</v>
      </c>
      <c r="E418" s="87" t="s">
        <v>504</v>
      </c>
      <c r="F418" s="88" t="s">
        <v>504</v>
      </c>
      <c r="G418" s="89" t="s">
        <v>504</v>
      </c>
      <c r="H418" s="84" t="s">
        <v>505</v>
      </c>
      <c r="I418" s="85" t="s">
        <v>1869</v>
      </c>
      <c r="J418" s="85" t="s">
        <v>1870</v>
      </c>
      <c r="K418" s="85" t="s">
        <v>1869</v>
      </c>
    </row>
    <row r="419" spans="1:11" ht="15" thickBot="1" x14ac:dyDescent="0.35">
      <c r="A419" s="84" t="s">
        <v>1433</v>
      </c>
      <c r="B419" s="84" t="s">
        <v>1539</v>
      </c>
      <c r="C419" s="85" t="s">
        <v>963</v>
      </c>
      <c r="D419" s="86" t="s">
        <v>725</v>
      </c>
      <c r="E419" s="87" t="s">
        <v>504</v>
      </c>
      <c r="F419" s="88" t="s">
        <v>504</v>
      </c>
      <c r="G419" s="89" t="s">
        <v>504</v>
      </c>
      <c r="H419" s="84" t="s">
        <v>505</v>
      </c>
      <c r="I419" s="85" t="s">
        <v>1869</v>
      </c>
      <c r="J419" s="85" t="s">
        <v>1870</v>
      </c>
      <c r="K419" s="85" t="s">
        <v>1869</v>
      </c>
    </row>
    <row r="420" spans="1:11" ht="15" thickBot="1" x14ac:dyDescent="0.35">
      <c r="A420" s="84" t="s">
        <v>1433</v>
      </c>
      <c r="B420" s="84" t="s">
        <v>1540</v>
      </c>
      <c r="C420" s="85" t="s">
        <v>963</v>
      </c>
      <c r="D420" s="86" t="s">
        <v>751</v>
      </c>
      <c r="E420" s="87" t="s">
        <v>752</v>
      </c>
      <c r="F420" s="88" t="s">
        <v>752</v>
      </c>
      <c r="G420" s="89" t="s">
        <v>752</v>
      </c>
      <c r="H420" s="84" t="s">
        <v>753</v>
      </c>
      <c r="I420" s="85" t="s">
        <v>1869</v>
      </c>
      <c r="J420" s="85" t="s">
        <v>1870</v>
      </c>
      <c r="K420" s="85" t="s">
        <v>1869</v>
      </c>
    </row>
    <row r="421" spans="1:11" ht="15" thickBot="1" x14ac:dyDescent="0.35">
      <c r="A421" s="84" t="s">
        <v>1433</v>
      </c>
      <c r="B421" s="84" t="s">
        <v>1541</v>
      </c>
      <c r="C421" s="85" t="s">
        <v>963</v>
      </c>
      <c r="D421" s="86" t="s">
        <v>841</v>
      </c>
      <c r="E421" s="87" t="s">
        <v>816</v>
      </c>
      <c r="F421" s="88" t="s">
        <v>816</v>
      </c>
      <c r="G421" s="89" t="s">
        <v>816</v>
      </c>
      <c r="H421" s="84" t="s">
        <v>817</v>
      </c>
      <c r="I421" s="85" t="s">
        <v>1869</v>
      </c>
      <c r="J421" s="85" t="s">
        <v>1870</v>
      </c>
      <c r="K421" s="85" t="s">
        <v>1869</v>
      </c>
    </row>
    <row r="422" spans="1:11" ht="15" thickBot="1" x14ac:dyDescent="0.35">
      <c r="A422" s="84" t="s">
        <v>1433</v>
      </c>
      <c r="B422" s="84" t="s">
        <v>1542</v>
      </c>
      <c r="C422" s="85" t="s">
        <v>963</v>
      </c>
      <c r="D422" s="86" t="s">
        <v>768</v>
      </c>
      <c r="E422" s="87" t="s">
        <v>509</v>
      </c>
      <c r="F422" s="88" t="s">
        <v>509</v>
      </c>
      <c r="G422" s="89" t="s">
        <v>509</v>
      </c>
      <c r="H422" s="84" t="s">
        <v>510</v>
      </c>
      <c r="I422" s="85" t="s">
        <v>1869</v>
      </c>
      <c r="J422" s="85" t="s">
        <v>1870</v>
      </c>
      <c r="K422" s="85" t="s">
        <v>1869</v>
      </c>
    </row>
    <row r="423" spans="1:11" ht="15" thickBot="1" x14ac:dyDescent="0.35">
      <c r="A423" s="84" t="s">
        <v>1433</v>
      </c>
      <c r="B423" s="84" t="s">
        <v>1543</v>
      </c>
      <c r="C423" s="85" t="s">
        <v>963</v>
      </c>
      <c r="D423" s="86" t="s">
        <v>842</v>
      </c>
      <c r="E423" s="87" t="s">
        <v>819</v>
      </c>
      <c r="F423" s="88" t="s">
        <v>819</v>
      </c>
      <c r="G423" s="89">
        <v>307001</v>
      </c>
      <c r="H423" s="84" t="s">
        <v>2052</v>
      </c>
      <c r="I423" s="85" t="s">
        <v>1869</v>
      </c>
      <c r="J423" s="85" t="s">
        <v>1870</v>
      </c>
      <c r="K423" s="85" t="s">
        <v>1869</v>
      </c>
    </row>
    <row r="424" spans="1:11" ht="15" thickBot="1" x14ac:dyDescent="0.35">
      <c r="A424" s="84" t="s">
        <v>1544</v>
      </c>
      <c r="B424" s="84" t="s">
        <v>1545</v>
      </c>
      <c r="C424" s="85" t="s">
        <v>928</v>
      </c>
      <c r="D424" s="86" t="s">
        <v>1546</v>
      </c>
      <c r="E424" s="87" t="s">
        <v>76</v>
      </c>
      <c r="F424" s="88" t="s">
        <v>76</v>
      </c>
      <c r="G424" s="89" t="s">
        <v>76</v>
      </c>
      <c r="H424" s="84" t="s">
        <v>77</v>
      </c>
      <c r="I424" s="85" t="s">
        <v>2053</v>
      </c>
      <c r="J424" s="85" t="s">
        <v>1870</v>
      </c>
      <c r="K424" s="85" t="s">
        <v>1869</v>
      </c>
    </row>
    <row r="425" spans="1:11" ht="15" thickBot="1" x14ac:dyDescent="0.35">
      <c r="A425" s="84" t="s">
        <v>1544</v>
      </c>
      <c r="B425" s="84" t="s">
        <v>1547</v>
      </c>
      <c r="C425" s="85" t="s">
        <v>928</v>
      </c>
      <c r="D425" s="86" t="s">
        <v>1548</v>
      </c>
      <c r="E425" s="87" t="s">
        <v>76</v>
      </c>
      <c r="F425" s="88" t="s">
        <v>76</v>
      </c>
      <c r="G425" s="89" t="s">
        <v>76</v>
      </c>
      <c r="H425" s="84" t="s">
        <v>77</v>
      </c>
      <c r="I425" s="85" t="s">
        <v>2054</v>
      </c>
      <c r="J425" s="85" t="s">
        <v>1870</v>
      </c>
      <c r="K425" s="85" t="s">
        <v>1869</v>
      </c>
    </row>
    <row r="426" spans="1:11" ht="15" thickBot="1" x14ac:dyDescent="0.35">
      <c r="A426" s="84" t="s">
        <v>1544</v>
      </c>
      <c r="B426" s="84" t="s">
        <v>1549</v>
      </c>
      <c r="C426" s="85" t="s">
        <v>928</v>
      </c>
      <c r="D426" s="86" t="s">
        <v>75</v>
      </c>
      <c r="E426" s="87" t="s">
        <v>76</v>
      </c>
      <c r="F426" s="88" t="s">
        <v>76</v>
      </c>
      <c r="G426" s="89" t="s">
        <v>76</v>
      </c>
      <c r="H426" s="84" t="s">
        <v>77</v>
      </c>
      <c r="I426" s="85" t="s">
        <v>2055</v>
      </c>
      <c r="J426" s="85" t="s">
        <v>1871</v>
      </c>
      <c r="K426" s="85" t="s">
        <v>1968</v>
      </c>
    </row>
    <row r="427" spans="1:11" ht="15" thickBot="1" x14ac:dyDescent="0.35">
      <c r="A427" s="84" t="s">
        <v>1544</v>
      </c>
      <c r="B427" s="84" t="s">
        <v>1550</v>
      </c>
      <c r="C427" s="85" t="s">
        <v>932</v>
      </c>
      <c r="D427" s="86" t="s">
        <v>641</v>
      </c>
      <c r="E427" s="87" t="s">
        <v>126</v>
      </c>
      <c r="F427" s="88" t="s">
        <v>126</v>
      </c>
      <c r="G427" s="89" t="s">
        <v>126</v>
      </c>
      <c r="H427" s="84" t="s">
        <v>127</v>
      </c>
      <c r="I427" s="85" t="s">
        <v>1869</v>
      </c>
      <c r="J427" s="85" t="s">
        <v>1870</v>
      </c>
      <c r="K427" s="85" t="s">
        <v>1869</v>
      </c>
    </row>
    <row r="428" spans="1:11" ht="15" thickBot="1" x14ac:dyDescent="0.35">
      <c r="A428" s="84" t="s">
        <v>1544</v>
      </c>
      <c r="B428" s="84" t="s">
        <v>1551</v>
      </c>
      <c r="C428" s="85" t="s">
        <v>928</v>
      </c>
      <c r="D428" s="86" t="s">
        <v>68</v>
      </c>
      <c r="E428" s="87" t="s">
        <v>69</v>
      </c>
      <c r="F428" s="88" t="s">
        <v>69</v>
      </c>
      <c r="G428" s="89" t="s">
        <v>69</v>
      </c>
      <c r="H428" s="84" t="s">
        <v>70</v>
      </c>
      <c r="I428" s="85" t="s">
        <v>2056</v>
      </c>
      <c r="J428" s="85" t="s">
        <v>1870</v>
      </c>
      <c r="K428" s="85" t="s">
        <v>1869</v>
      </c>
    </row>
    <row r="429" spans="1:11" ht="15" thickBot="1" x14ac:dyDescent="0.35">
      <c r="A429" s="84" t="s">
        <v>1544</v>
      </c>
      <c r="B429" s="84" t="s">
        <v>1552</v>
      </c>
      <c r="C429" s="85" t="s">
        <v>928</v>
      </c>
      <c r="D429" s="86" t="s">
        <v>1553</v>
      </c>
      <c r="E429" s="87" t="s">
        <v>69</v>
      </c>
      <c r="F429" s="88" t="s">
        <v>69</v>
      </c>
      <c r="G429" s="89" t="s">
        <v>69</v>
      </c>
      <c r="H429" s="84" t="s">
        <v>70</v>
      </c>
      <c r="I429" s="85" t="s">
        <v>2057</v>
      </c>
      <c r="J429" s="85" t="s">
        <v>1870</v>
      </c>
      <c r="K429" s="85" t="s">
        <v>1869</v>
      </c>
    </row>
    <row r="430" spans="1:11" ht="15" thickBot="1" x14ac:dyDescent="0.35">
      <c r="A430" s="84" t="s">
        <v>1544</v>
      </c>
      <c r="B430" s="84" t="s">
        <v>1554</v>
      </c>
      <c r="C430" s="85" t="s">
        <v>928</v>
      </c>
      <c r="D430" s="86" t="s">
        <v>1555</v>
      </c>
      <c r="E430" s="87" t="s">
        <v>69</v>
      </c>
      <c r="F430" s="88" t="s">
        <v>69</v>
      </c>
      <c r="G430" s="89" t="s">
        <v>69</v>
      </c>
      <c r="H430" s="84" t="s">
        <v>70</v>
      </c>
      <c r="I430" s="85" t="s">
        <v>2058</v>
      </c>
      <c r="J430" s="85" t="s">
        <v>1870</v>
      </c>
      <c r="K430" s="85" t="s">
        <v>1869</v>
      </c>
    </row>
    <row r="431" spans="1:11" ht="15" thickBot="1" x14ac:dyDescent="0.35">
      <c r="A431" s="84" t="s">
        <v>1544</v>
      </c>
      <c r="B431" s="84" t="s">
        <v>1556</v>
      </c>
      <c r="C431" s="85" t="s">
        <v>928</v>
      </c>
      <c r="D431" s="86" t="s">
        <v>484</v>
      </c>
      <c r="E431" s="87" t="s">
        <v>69</v>
      </c>
      <c r="F431" s="88" t="s">
        <v>69</v>
      </c>
      <c r="G431" s="89" t="s">
        <v>69</v>
      </c>
      <c r="H431" s="84" t="s">
        <v>70</v>
      </c>
      <c r="I431" s="85" t="s">
        <v>2059</v>
      </c>
      <c r="J431" s="85" t="s">
        <v>1870</v>
      </c>
      <c r="K431" s="85" t="s">
        <v>1869</v>
      </c>
    </row>
    <row r="432" spans="1:11" ht="15" thickBot="1" x14ac:dyDescent="0.35">
      <c r="A432" s="84" t="s">
        <v>1544</v>
      </c>
      <c r="B432" s="84" t="s">
        <v>1557</v>
      </c>
      <c r="C432" s="85" t="s">
        <v>928</v>
      </c>
      <c r="D432" s="86" t="s">
        <v>595</v>
      </c>
      <c r="E432" s="87" t="s">
        <v>69</v>
      </c>
      <c r="F432" s="88" t="s">
        <v>69</v>
      </c>
      <c r="G432" s="89" t="s">
        <v>69</v>
      </c>
      <c r="H432" s="84" t="s">
        <v>70</v>
      </c>
      <c r="I432" s="85" t="s">
        <v>2060</v>
      </c>
      <c r="J432" s="85" t="s">
        <v>1870</v>
      </c>
      <c r="K432" s="85" t="s">
        <v>1869</v>
      </c>
    </row>
    <row r="433" spans="1:11" ht="15" thickBot="1" x14ac:dyDescent="0.35">
      <c r="A433" s="84" t="s">
        <v>1544</v>
      </c>
      <c r="B433" s="84" t="s">
        <v>1558</v>
      </c>
      <c r="C433" s="85" t="s">
        <v>928</v>
      </c>
      <c r="D433" s="86" t="s">
        <v>1559</v>
      </c>
      <c r="E433" s="87" t="s">
        <v>69</v>
      </c>
      <c r="F433" s="88" t="s">
        <v>69</v>
      </c>
      <c r="G433" s="89" t="s">
        <v>69</v>
      </c>
      <c r="H433" s="84" t="s">
        <v>70</v>
      </c>
      <c r="I433" s="85" t="s">
        <v>2061</v>
      </c>
      <c r="J433" s="85" t="s">
        <v>1870</v>
      </c>
      <c r="K433" s="85" t="s">
        <v>1869</v>
      </c>
    </row>
    <row r="434" spans="1:11" ht="15" thickBot="1" x14ac:dyDescent="0.35">
      <c r="A434" s="84" t="s">
        <v>1544</v>
      </c>
      <c r="B434" s="84" t="s">
        <v>1560</v>
      </c>
      <c r="C434" s="85" t="s">
        <v>928</v>
      </c>
      <c r="D434" s="86" t="s">
        <v>1561</v>
      </c>
      <c r="E434" s="87" t="s">
        <v>69</v>
      </c>
      <c r="F434" s="88" t="s">
        <v>69</v>
      </c>
      <c r="G434" s="89" t="s">
        <v>69</v>
      </c>
      <c r="H434" s="84" t="s">
        <v>70</v>
      </c>
      <c r="I434" s="85" t="s">
        <v>2062</v>
      </c>
      <c r="J434" s="85" t="s">
        <v>1870</v>
      </c>
      <c r="K434" s="85" t="s">
        <v>1869</v>
      </c>
    </row>
    <row r="435" spans="1:11" ht="15" thickBot="1" x14ac:dyDescent="0.35">
      <c r="A435" s="84" t="s">
        <v>1544</v>
      </c>
      <c r="B435" s="84" t="s">
        <v>1562</v>
      </c>
      <c r="C435" s="85" t="s">
        <v>932</v>
      </c>
      <c r="D435" s="86" t="s">
        <v>316</v>
      </c>
      <c r="E435" s="87" t="s">
        <v>129</v>
      </c>
      <c r="F435" s="88" t="s">
        <v>129</v>
      </c>
      <c r="G435" s="89" t="s">
        <v>129</v>
      </c>
      <c r="H435" s="84" t="s">
        <v>130</v>
      </c>
      <c r="I435" s="85" t="s">
        <v>1869</v>
      </c>
      <c r="J435" s="85" t="s">
        <v>1870</v>
      </c>
      <c r="K435" s="85" t="s">
        <v>1869</v>
      </c>
    </row>
    <row r="436" spans="1:11" ht="15" thickBot="1" x14ac:dyDescent="0.35">
      <c r="A436" s="84" t="s">
        <v>1544</v>
      </c>
      <c r="B436" s="84" t="s">
        <v>1563</v>
      </c>
      <c r="C436" s="85" t="s">
        <v>932</v>
      </c>
      <c r="D436" s="86" t="s">
        <v>574</v>
      </c>
      <c r="E436" s="87" t="s">
        <v>129</v>
      </c>
      <c r="F436" s="88" t="s">
        <v>129</v>
      </c>
      <c r="G436" s="89" t="s">
        <v>129</v>
      </c>
      <c r="H436" s="84" t="s">
        <v>130</v>
      </c>
      <c r="I436" s="85" t="s">
        <v>1869</v>
      </c>
      <c r="J436" s="85" t="s">
        <v>1870</v>
      </c>
      <c r="K436" s="85" t="s">
        <v>1869</v>
      </c>
    </row>
    <row r="437" spans="1:11" ht="15" thickBot="1" x14ac:dyDescent="0.35">
      <c r="A437" s="84" t="s">
        <v>1544</v>
      </c>
      <c r="B437" s="84" t="s">
        <v>1564</v>
      </c>
      <c r="C437" s="85" t="s">
        <v>932</v>
      </c>
      <c r="D437" s="86" t="s">
        <v>395</v>
      </c>
      <c r="E437" s="87" t="s">
        <v>396</v>
      </c>
      <c r="F437" s="88" t="s">
        <v>397</v>
      </c>
      <c r="G437" s="89" t="s">
        <v>397</v>
      </c>
      <c r="H437" s="84" t="s">
        <v>398</v>
      </c>
      <c r="I437" s="85" t="s">
        <v>1869</v>
      </c>
      <c r="J437" s="85" t="s">
        <v>1870</v>
      </c>
      <c r="K437" s="85" t="s">
        <v>1869</v>
      </c>
    </row>
    <row r="438" spans="1:11" ht="15" thickBot="1" x14ac:dyDescent="0.35">
      <c r="A438" s="84" t="s">
        <v>1544</v>
      </c>
      <c r="B438" s="84" t="s">
        <v>1565</v>
      </c>
      <c r="C438" s="85" t="s">
        <v>928</v>
      </c>
      <c r="D438" s="86" t="s">
        <v>71</v>
      </c>
      <c r="E438" s="87" t="s">
        <v>72</v>
      </c>
      <c r="F438" s="88" t="s">
        <v>72</v>
      </c>
      <c r="G438" s="89" t="s">
        <v>72</v>
      </c>
      <c r="H438" s="84" t="s">
        <v>73</v>
      </c>
      <c r="I438" s="85" t="s">
        <v>2063</v>
      </c>
      <c r="J438" s="85" t="s">
        <v>1870</v>
      </c>
      <c r="K438" s="85" t="s">
        <v>1869</v>
      </c>
    </row>
    <row r="439" spans="1:11" ht="15" thickBot="1" x14ac:dyDescent="0.35">
      <c r="A439" s="84" t="s">
        <v>1544</v>
      </c>
      <c r="B439" s="84" t="s">
        <v>1566</v>
      </c>
      <c r="C439" s="85" t="s">
        <v>928</v>
      </c>
      <c r="D439" s="86" t="s">
        <v>74</v>
      </c>
      <c r="E439" s="87" t="s">
        <v>72</v>
      </c>
      <c r="F439" s="88" t="s">
        <v>72</v>
      </c>
      <c r="G439" s="89" t="s">
        <v>72</v>
      </c>
      <c r="H439" s="84" t="s">
        <v>73</v>
      </c>
      <c r="I439" s="85" t="s">
        <v>2064</v>
      </c>
      <c r="J439" s="85" t="s">
        <v>1870</v>
      </c>
      <c r="K439" s="85" t="s">
        <v>1869</v>
      </c>
    </row>
    <row r="440" spans="1:11" ht="15" thickBot="1" x14ac:dyDescent="0.35">
      <c r="A440" s="84" t="s">
        <v>1544</v>
      </c>
      <c r="B440" s="84" t="s">
        <v>1567</v>
      </c>
      <c r="C440" s="85" t="s">
        <v>928</v>
      </c>
      <c r="D440" s="86" t="s">
        <v>596</v>
      </c>
      <c r="E440" s="87" t="s">
        <v>72</v>
      </c>
      <c r="F440" s="88" t="s">
        <v>72</v>
      </c>
      <c r="G440" s="89" t="s">
        <v>72</v>
      </c>
      <c r="H440" s="84" t="s">
        <v>73</v>
      </c>
      <c r="I440" s="85" t="s">
        <v>2065</v>
      </c>
      <c r="J440" s="85" t="s">
        <v>1870</v>
      </c>
      <c r="K440" s="85" t="s">
        <v>1869</v>
      </c>
    </row>
    <row r="441" spans="1:11" ht="15" thickBot="1" x14ac:dyDescent="0.35">
      <c r="A441" s="84" t="s">
        <v>1544</v>
      </c>
      <c r="B441" s="84" t="s">
        <v>1568</v>
      </c>
      <c r="C441" s="85" t="s">
        <v>932</v>
      </c>
      <c r="D441" s="86" t="s">
        <v>1569</v>
      </c>
      <c r="E441" s="87" t="s">
        <v>72</v>
      </c>
      <c r="F441" s="88" t="s">
        <v>72</v>
      </c>
      <c r="G441" s="89" t="s">
        <v>72</v>
      </c>
      <c r="H441" s="84" t="s">
        <v>73</v>
      </c>
      <c r="I441" s="85" t="s">
        <v>1869</v>
      </c>
      <c r="J441" s="85" t="s">
        <v>1870</v>
      </c>
      <c r="K441" s="85" t="s">
        <v>2066</v>
      </c>
    </row>
    <row r="442" spans="1:11" ht="15" thickBot="1" x14ac:dyDescent="0.35">
      <c r="A442" s="84" t="s">
        <v>1544</v>
      </c>
      <c r="B442" s="84" t="s">
        <v>1570</v>
      </c>
      <c r="C442" s="85" t="s">
        <v>928</v>
      </c>
      <c r="D442" s="86" t="s">
        <v>702</v>
      </c>
      <c r="E442" s="87" t="s">
        <v>72</v>
      </c>
      <c r="F442" s="88" t="s">
        <v>72</v>
      </c>
      <c r="G442" s="89" t="s">
        <v>72</v>
      </c>
      <c r="H442" s="84" t="s">
        <v>73</v>
      </c>
      <c r="I442" s="85" t="s">
        <v>2067</v>
      </c>
      <c r="J442" s="85" t="s">
        <v>1870</v>
      </c>
      <c r="K442" s="85" t="s">
        <v>1869</v>
      </c>
    </row>
    <row r="443" spans="1:11" ht="15" thickBot="1" x14ac:dyDescent="0.35">
      <c r="A443" s="84" t="s">
        <v>1544</v>
      </c>
      <c r="B443" s="84" t="s">
        <v>1571</v>
      </c>
      <c r="C443" s="85" t="s">
        <v>928</v>
      </c>
      <c r="D443" s="86" t="s">
        <v>765</v>
      </c>
      <c r="E443" s="87" t="s">
        <v>72</v>
      </c>
      <c r="F443" s="88" t="s">
        <v>72</v>
      </c>
      <c r="G443" s="89" t="s">
        <v>72</v>
      </c>
      <c r="H443" s="84" t="s">
        <v>73</v>
      </c>
      <c r="I443" s="85" t="s">
        <v>2068</v>
      </c>
      <c r="J443" s="85" t="s">
        <v>1870</v>
      </c>
      <c r="K443" s="85" t="s">
        <v>1869</v>
      </c>
    </row>
    <row r="444" spans="1:11" ht="15" thickBot="1" x14ac:dyDescent="0.35">
      <c r="A444" s="84" t="s">
        <v>1544</v>
      </c>
      <c r="B444" s="84" t="s">
        <v>1572</v>
      </c>
      <c r="C444" s="85" t="s">
        <v>928</v>
      </c>
      <c r="D444" s="86" t="s">
        <v>834</v>
      </c>
      <c r="E444" s="87" t="s">
        <v>835</v>
      </c>
      <c r="F444" s="88" t="s">
        <v>835</v>
      </c>
      <c r="G444" s="89" t="s">
        <v>835</v>
      </c>
      <c r="H444" s="84" t="s">
        <v>836</v>
      </c>
      <c r="I444" s="85" t="s">
        <v>2069</v>
      </c>
      <c r="J444" s="85" t="s">
        <v>1870</v>
      </c>
      <c r="K444" s="85" t="s">
        <v>1869</v>
      </c>
    </row>
    <row r="445" spans="1:11" ht="15" thickBot="1" x14ac:dyDescent="0.35">
      <c r="A445" s="84" t="s">
        <v>1544</v>
      </c>
      <c r="B445" s="84" t="s">
        <v>1573</v>
      </c>
      <c r="C445" s="85" t="s">
        <v>928</v>
      </c>
      <c r="D445" s="86" t="s">
        <v>837</v>
      </c>
      <c r="E445" s="87" t="s">
        <v>835</v>
      </c>
      <c r="F445" s="88" t="s">
        <v>835</v>
      </c>
      <c r="G445" s="89" t="s">
        <v>835</v>
      </c>
      <c r="H445" s="84" t="s">
        <v>836</v>
      </c>
      <c r="I445" s="85" t="s">
        <v>2070</v>
      </c>
      <c r="J445" s="85" t="s">
        <v>1870</v>
      </c>
      <c r="K445" s="85" t="s">
        <v>1869</v>
      </c>
    </row>
    <row r="446" spans="1:11" ht="15" thickBot="1" x14ac:dyDescent="0.35">
      <c r="A446" s="84" t="s">
        <v>1544</v>
      </c>
      <c r="B446" s="84" t="s">
        <v>1574</v>
      </c>
      <c r="C446" s="85" t="s">
        <v>932</v>
      </c>
      <c r="D446" s="86" t="s">
        <v>575</v>
      </c>
      <c r="E446" s="87" t="s">
        <v>576</v>
      </c>
      <c r="F446" s="88" t="s">
        <v>576</v>
      </c>
      <c r="G446" s="89" t="s">
        <v>576</v>
      </c>
      <c r="H446" s="84" t="s">
        <v>577</v>
      </c>
      <c r="I446" s="85" t="s">
        <v>1869</v>
      </c>
      <c r="J446" s="85" t="s">
        <v>1870</v>
      </c>
      <c r="K446" s="85" t="s">
        <v>1869</v>
      </c>
    </row>
    <row r="447" spans="1:11" ht="15" thickBot="1" x14ac:dyDescent="0.35">
      <c r="A447" s="84" t="s">
        <v>1544</v>
      </c>
      <c r="B447" s="84" t="s">
        <v>1575</v>
      </c>
      <c r="C447" s="85" t="s">
        <v>928</v>
      </c>
      <c r="D447" s="86" t="s">
        <v>900</v>
      </c>
      <c r="E447" s="87" t="s">
        <v>749</v>
      </c>
      <c r="F447" s="88" t="s">
        <v>749</v>
      </c>
      <c r="G447" s="89" t="s">
        <v>749</v>
      </c>
      <c r="H447" s="84" t="s">
        <v>750</v>
      </c>
      <c r="I447" s="85" t="s">
        <v>2071</v>
      </c>
      <c r="J447" s="85" t="s">
        <v>1870</v>
      </c>
      <c r="K447" s="85" t="s">
        <v>1869</v>
      </c>
    </row>
    <row r="448" spans="1:11" ht="15" thickBot="1" x14ac:dyDescent="0.35">
      <c r="A448" s="84" t="s">
        <v>1544</v>
      </c>
      <c r="B448" s="84" t="s">
        <v>1576</v>
      </c>
      <c r="C448" s="85" t="s">
        <v>928</v>
      </c>
      <c r="D448" s="86" t="s">
        <v>748</v>
      </c>
      <c r="E448" s="87" t="s">
        <v>749</v>
      </c>
      <c r="F448" s="88" t="s">
        <v>749</v>
      </c>
      <c r="G448" s="89" t="s">
        <v>749</v>
      </c>
      <c r="H448" s="84" t="s">
        <v>750</v>
      </c>
      <c r="I448" s="85" t="s">
        <v>2072</v>
      </c>
      <c r="J448" s="85" t="s">
        <v>1870</v>
      </c>
      <c r="K448" s="85" t="s">
        <v>1869</v>
      </c>
    </row>
    <row r="449" spans="1:11" ht="15" thickBot="1" x14ac:dyDescent="0.35">
      <c r="A449" s="84" t="s">
        <v>1544</v>
      </c>
      <c r="B449" s="84" t="s">
        <v>1577</v>
      </c>
      <c r="C449" s="85" t="s">
        <v>932</v>
      </c>
      <c r="D449" s="86" t="s">
        <v>578</v>
      </c>
      <c r="E449" s="87" t="s">
        <v>376</v>
      </c>
      <c r="F449" s="88" t="s">
        <v>376</v>
      </c>
      <c r="G449" s="89" t="s">
        <v>376</v>
      </c>
      <c r="H449" s="84" t="s">
        <v>377</v>
      </c>
      <c r="I449" s="85" t="s">
        <v>1869</v>
      </c>
      <c r="J449" s="85" t="s">
        <v>1870</v>
      </c>
      <c r="K449" s="85" t="s">
        <v>1869</v>
      </c>
    </row>
    <row r="450" spans="1:11" ht="15" thickBot="1" x14ac:dyDescent="0.35">
      <c r="A450" s="84" t="s">
        <v>1544</v>
      </c>
      <c r="B450" s="84" t="s">
        <v>1578</v>
      </c>
      <c r="C450" s="85" t="s">
        <v>928</v>
      </c>
      <c r="D450" s="86" t="s">
        <v>318</v>
      </c>
      <c r="E450" s="87" t="s">
        <v>76</v>
      </c>
      <c r="F450" s="88" t="s">
        <v>76</v>
      </c>
      <c r="G450" s="89" t="s">
        <v>76</v>
      </c>
      <c r="H450" s="84" t="s">
        <v>77</v>
      </c>
      <c r="I450" s="85" t="s">
        <v>2073</v>
      </c>
      <c r="J450" s="85" t="s">
        <v>1870</v>
      </c>
      <c r="K450" s="85" t="s">
        <v>2032</v>
      </c>
    </row>
    <row r="451" spans="1:11" ht="15" thickBot="1" x14ac:dyDescent="0.35">
      <c r="A451" s="84" t="s">
        <v>1544</v>
      </c>
      <c r="B451" s="84" t="s">
        <v>1579</v>
      </c>
      <c r="C451" s="85" t="s">
        <v>928</v>
      </c>
      <c r="D451" s="86" t="s">
        <v>485</v>
      </c>
      <c r="E451" s="87" t="s">
        <v>76</v>
      </c>
      <c r="F451" s="88" t="s">
        <v>76</v>
      </c>
      <c r="G451" s="89" t="s">
        <v>76</v>
      </c>
      <c r="H451" s="84" t="s">
        <v>77</v>
      </c>
      <c r="I451" s="85" t="s">
        <v>2074</v>
      </c>
      <c r="J451" s="85" t="s">
        <v>1870</v>
      </c>
      <c r="K451" s="85" t="s">
        <v>2032</v>
      </c>
    </row>
    <row r="452" spans="1:11" ht="15" thickBot="1" x14ac:dyDescent="0.35">
      <c r="A452" s="84" t="s">
        <v>1544</v>
      </c>
      <c r="B452" s="84" t="s">
        <v>1580</v>
      </c>
      <c r="C452" s="85" t="s">
        <v>928</v>
      </c>
      <c r="D452" s="86" t="s">
        <v>606</v>
      </c>
      <c r="E452" s="87" t="s">
        <v>607</v>
      </c>
      <c r="F452" s="88" t="s">
        <v>607</v>
      </c>
      <c r="G452" s="89" t="s">
        <v>607</v>
      </c>
      <c r="H452" s="84" t="s">
        <v>608</v>
      </c>
      <c r="I452" s="85" t="s">
        <v>2075</v>
      </c>
      <c r="J452" s="85" t="s">
        <v>1870</v>
      </c>
      <c r="K452" s="85" t="s">
        <v>1869</v>
      </c>
    </row>
    <row r="453" spans="1:11" ht="15" thickBot="1" x14ac:dyDescent="0.35">
      <c r="A453" s="84" t="s">
        <v>1544</v>
      </c>
      <c r="B453" s="84" t="s">
        <v>1581</v>
      </c>
      <c r="C453" s="85" t="s">
        <v>963</v>
      </c>
      <c r="D453" s="86" t="s">
        <v>125</v>
      </c>
      <c r="E453" s="87" t="s">
        <v>126</v>
      </c>
      <c r="F453" s="88" t="s">
        <v>126</v>
      </c>
      <c r="G453" s="89" t="s">
        <v>126</v>
      </c>
      <c r="H453" s="84" t="s">
        <v>127</v>
      </c>
      <c r="I453" s="85" t="s">
        <v>1869</v>
      </c>
      <c r="J453" s="85" t="s">
        <v>1870</v>
      </c>
      <c r="K453" s="85" t="s">
        <v>1869</v>
      </c>
    </row>
    <row r="454" spans="1:11" ht="15" thickBot="1" x14ac:dyDescent="0.35">
      <c r="A454" s="84" t="s">
        <v>1544</v>
      </c>
      <c r="B454" s="84" t="s">
        <v>1582</v>
      </c>
      <c r="C454" s="85" t="s">
        <v>963</v>
      </c>
      <c r="D454" s="86" t="s">
        <v>128</v>
      </c>
      <c r="E454" s="87" t="s">
        <v>129</v>
      </c>
      <c r="F454" s="88" t="s">
        <v>129</v>
      </c>
      <c r="G454" s="89" t="s">
        <v>129</v>
      </c>
      <c r="H454" s="84" t="s">
        <v>130</v>
      </c>
      <c r="I454" s="85" t="s">
        <v>1869</v>
      </c>
      <c r="J454" s="85" t="s">
        <v>1870</v>
      </c>
      <c r="K454" s="85" t="s">
        <v>1869</v>
      </c>
    </row>
    <row r="455" spans="1:11" ht="15" thickBot="1" x14ac:dyDescent="0.35">
      <c r="A455" s="84" t="s">
        <v>1544</v>
      </c>
      <c r="B455" s="84" t="s">
        <v>1583</v>
      </c>
      <c r="C455" s="85" t="s">
        <v>963</v>
      </c>
      <c r="D455" s="86" t="s">
        <v>407</v>
      </c>
      <c r="E455" s="87" t="s">
        <v>396</v>
      </c>
      <c r="F455" s="88" t="s">
        <v>397</v>
      </c>
      <c r="G455" s="89" t="s">
        <v>397</v>
      </c>
      <c r="H455" s="84" t="s">
        <v>398</v>
      </c>
      <c r="I455" s="85" t="s">
        <v>1869</v>
      </c>
      <c r="J455" s="85" t="s">
        <v>1870</v>
      </c>
      <c r="K455" s="85" t="s">
        <v>1869</v>
      </c>
    </row>
    <row r="456" spans="1:11" ht="15" thickBot="1" x14ac:dyDescent="0.35">
      <c r="A456" s="84" t="s">
        <v>1544</v>
      </c>
      <c r="B456" s="84" t="s">
        <v>1584</v>
      </c>
      <c r="C456" s="85" t="s">
        <v>963</v>
      </c>
      <c r="D456" s="86" t="s">
        <v>688</v>
      </c>
      <c r="E456" s="87" t="s">
        <v>576</v>
      </c>
      <c r="F456" s="88" t="s">
        <v>576</v>
      </c>
      <c r="G456" s="89" t="s">
        <v>576</v>
      </c>
      <c r="H456" s="84" t="s">
        <v>577</v>
      </c>
      <c r="I456" s="85" t="s">
        <v>1869</v>
      </c>
      <c r="J456" s="85" t="s">
        <v>1870</v>
      </c>
      <c r="K456" s="85" t="s">
        <v>1869</v>
      </c>
    </row>
    <row r="457" spans="1:11" ht="15" thickBot="1" x14ac:dyDescent="0.35">
      <c r="A457" s="84" t="s">
        <v>1544</v>
      </c>
      <c r="B457" s="84" t="s">
        <v>1585</v>
      </c>
      <c r="C457" s="85" t="s">
        <v>963</v>
      </c>
      <c r="D457" s="86" t="s">
        <v>690</v>
      </c>
      <c r="E457" s="87" t="s">
        <v>691</v>
      </c>
      <c r="F457" s="88" t="s">
        <v>692</v>
      </c>
      <c r="G457" s="89" t="s">
        <v>692</v>
      </c>
      <c r="H457" s="84" t="s">
        <v>693</v>
      </c>
      <c r="I457" s="85" t="s">
        <v>1869</v>
      </c>
      <c r="J457" s="85" t="s">
        <v>1870</v>
      </c>
      <c r="K457" s="85" t="s">
        <v>1869</v>
      </c>
    </row>
    <row r="458" spans="1:11" ht="15" thickBot="1" x14ac:dyDescent="0.35">
      <c r="A458" s="84" t="s">
        <v>1544</v>
      </c>
      <c r="B458" s="84" t="s">
        <v>1586</v>
      </c>
      <c r="C458" s="85" t="s">
        <v>963</v>
      </c>
      <c r="D458" s="86" t="s">
        <v>375</v>
      </c>
      <c r="E458" s="87" t="s">
        <v>376</v>
      </c>
      <c r="F458" s="88" t="s">
        <v>376</v>
      </c>
      <c r="G458" s="89" t="s">
        <v>376</v>
      </c>
      <c r="H458" s="84" t="s">
        <v>377</v>
      </c>
      <c r="I458" s="85" t="s">
        <v>1869</v>
      </c>
      <c r="J458" s="85" t="s">
        <v>1870</v>
      </c>
      <c r="K458" s="85" t="s">
        <v>1869</v>
      </c>
    </row>
    <row r="459" spans="1:11" ht="15" thickBot="1" x14ac:dyDescent="0.35">
      <c r="A459" s="84" t="s">
        <v>1587</v>
      </c>
      <c r="B459" s="84" t="s">
        <v>1588</v>
      </c>
      <c r="C459" s="85" t="s">
        <v>932</v>
      </c>
      <c r="D459" s="86" t="s">
        <v>1589</v>
      </c>
      <c r="E459" s="87" t="s">
        <v>616</v>
      </c>
      <c r="F459" s="88" t="s">
        <v>616</v>
      </c>
      <c r="G459" s="89" t="s">
        <v>616</v>
      </c>
      <c r="H459" s="84" t="s">
        <v>617</v>
      </c>
      <c r="I459" s="85" t="s">
        <v>1869</v>
      </c>
      <c r="J459" s="85" t="s">
        <v>1870</v>
      </c>
      <c r="K459" s="85" t="s">
        <v>1869</v>
      </c>
    </row>
    <row r="460" spans="1:11" ht="15" thickBot="1" x14ac:dyDescent="0.35">
      <c r="A460" s="84" t="s">
        <v>1587</v>
      </c>
      <c r="B460" s="84" t="s">
        <v>1590</v>
      </c>
      <c r="C460" s="85" t="s">
        <v>963</v>
      </c>
      <c r="D460" s="86" t="s">
        <v>120</v>
      </c>
      <c r="E460" s="87" t="s">
        <v>51</v>
      </c>
      <c r="F460" s="88" t="s">
        <v>51</v>
      </c>
      <c r="G460" s="89" t="s">
        <v>51</v>
      </c>
      <c r="H460" s="84" t="s">
        <v>52</v>
      </c>
      <c r="I460" s="85" t="s">
        <v>1869</v>
      </c>
      <c r="J460" s="85" t="s">
        <v>1870</v>
      </c>
      <c r="K460" s="85" t="s">
        <v>1869</v>
      </c>
    </row>
    <row r="461" spans="1:11" ht="15" thickBot="1" x14ac:dyDescent="0.35">
      <c r="A461" s="84" t="s">
        <v>1587</v>
      </c>
      <c r="B461" s="84" t="s">
        <v>1591</v>
      </c>
      <c r="C461" s="85" t="s">
        <v>963</v>
      </c>
      <c r="D461" s="86" t="s">
        <v>847</v>
      </c>
      <c r="E461" s="87" t="s">
        <v>253</v>
      </c>
      <c r="F461" s="88" t="s">
        <v>253</v>
      </c>
      <c r="G461" s="89" t="s">
        <v>253</v>
      </c>
      <c r="H461" s="84" t="s">
        <v>254</v>
      </c>
      <c r="I461" s="85" t="s">
        <v>1869</v>
      </c>
      <c r="J461" s="85" t="s">
        <v>1870</v>
      </c>
      <c r="K461" s="85" t="s">
        <v>1869</v>
      </c>
    </row>
    <row r="462" spans="1:11" ht="15" thickBot="1" x14ac:dyDescent="0.35">
      <c r="A462" s="84" t="s">
        <v>1587</v>
      </c>
      <c r="B462" s="84" t="s">
        <v>1592</v>
      </c>
      <c r="C462" s="85" t="s">
        <v>928</v>
      </c>
      <c r="D462" s="86" t="s">
        <v>1593</v>
      </c>
      <c r="E462" s="87" t="s">
        <v>54</v>
      </c>
      <c r="F462" s="88" t="s">
        <v>54</v>
      </c>
      <c r="G462" s="89" t="s">
        <v>54</v>
      </c>
      <c r="H462" s="84" t="s">
        <v>55</v>
      </c>
      <c r="I462" s="85" t="s">
        <v>2076</v>
      </c>
      <c r="J462" s="85" t="s">
        <v>1870</v>
      </c>
      <c r="K462" s="85" t="s">
        <v>1869</v>
      </c>
    </row>
    <row r="463" spans="1:11" ht="15" thickBot="1" x14ac:dyDescent="0.35">
      <c r="A463" s="84" t="s">
        <v>1587</v>
      </c>
      <c r="B463" s="84" t="s">
        <v>1594</v>
      </c>
      <c r="C463" s="85" t="s">
        <v>932</v>
      </c>
      <c r="D463" s="86" t="s">
        <v>1595</v>
      </c>
      <c r="E463" s="87" t="s">
        <v>1477</v>
      </c>
      <c r="F463" s="88" t="s">
        <v>1477</v>
      </c>
      <c r="G463" s="89" t="s">
        <v>1477</v>
      </c>
      <c r="H463" s="84" t="s">
        <v>1478</v>
      </c>
      <c r="I463" s="85" t="s">
        <v>1869</v>
      </c>
      <c r="J463" s="85" t="s">
        <v>1871</v>
      </c>
      <c r="K463" s="85" t="s">
        <v>1936</v>
      </c>
    </row>
    <row r="464" spans="1:11" ht="15" thickBot="1" x14ac:dyDescent="0.35">
      <c r="A464" s="84" t="s">
        <v>1587</v>
      </c>
      <c r="B464" s="84" t="s">
        <v>1596</v>
      </c>
      <c r="C464" s="85" t="s">
        <v>932</v>
      </c>
      <c r="D464" s="86" t="s">
        <v>246</v>
      </c>
      <c r="E464" s="87" t="s">
        <v>51</v>
      </c>
      <c r="F464" s="88" t="s">
        <v>51</v>
      </c>
      <c r="G464" s="89" t="s">
        <v>51</v>
      </c>
      <c r="H464" s="84" t="s">
        <v>52</v>
      </c>
      <c r="I464" s="85" t="s">
        <v>1869</v>
      </c>
      <c r="J464" s="85" t="s">
        <v>1870</v>
      </c>
      <c r="K464" s="85" t="s">
        <v>1869</v>
      </c>
    </row>
    <row r="465" spans="1:11" ht="15" thickBot="1" x14ac:dyDescent="0.35">
      <c r="A465" s="84" t="s">
        <v>1587</v>
      </c>
      <c r="B465" s="84" t="s">
        <v>1597</v>
      </c>
      <c r="C465" s="85" t="s">
        <v>932</v>
      </c>
      <c r="D465" s="86" t="s">
        <v>799</v>
      </c>
      <c r="E465" s="87" t="s">
        <v>51</v>
      </c>
      <c r="F465" s="88" t="s">
        <v>51</v>
      </c>
      <c r="G465" s="89" t="s">
        <v>51</v>
      </c>
      <c r="H465" s="84" t="s">
        <v>52</v>
      </c>
      <c r="I465" s="85" t="s">
        <v>1869</v>
      </c>
      <c r="J465" s="85" t="s">
        <v>1870</v>
      </c>
      <c r="K465" s="85" t="s">
        <v>1869</v>
      </c>
    </row>
    <row r="466" spans="1:11" ht="15" thickBot="1" x14ac:dyDescent="0.35">
      <c r="A466" s="84" t="s">
        <v>1587</v>
      </c>
      <c r="B466" s="84" t="s">
        <v>1598</v>
      </c>
      <c r="C466" s="85" t="s">
        <v>932</v>
      </c>
      <c r="D466" s="86" t="s">
        <v>50</v>
      </c>
      <c r="E466" s="87" t="s">
        <v>51</v>
      </c>
      <c r="F466" s="88" t="s">
        <v>51</v>
      </c>
      <c r="G466" s="89" t="s">
        <v>51</v>
      </c>
      <c r="H466" s="84" t="s">
        <v>52</v>
      </c>
      <c r="I466" s="85" t="s">
        <v>1869</v>
      </c>
      <c r="J466" s="85" t="s">
        <v>1870</v>
      </c>
      <c r="K466" s="85" t="s">
        <v>1869</v>
      </c>
    </row>
    <row r="467" spans="1:11" ht="15" thickBot="1" x14ac:dyDescent="0.35">
      <c r="A467" s="84" t="s">
        <v>1587</v>
      </c>
      <c r="B467" s="84" t="s">
        <v>1599</v>
      </c>
      <c r="C467" s="85" t="s">
        <v>932</v>
      </c>
      <c r="D467" s="86" t="s">
        <v>247</v>
      </c>
      <c r="E467" s="87" t="s">
        <v>51</v>
      </c>
      <c r="F467" s="88" t="s">
        <v>51</v>
      </c>
      <c r="G467" s="89" t="s">
        <v>51</v>
      </c>
      <c r="H467" s="84" t="s">
        <v>52</v>
      </c>
      <c r="I467" s="85" t="s">
        <v>1869</v>
      </c>
      <c r="J467" s="85" t="s">
        <v>1870</v>
      </c>
      <c r="K467" s="85" t="s">
        <v>1869</v>
      </c>
    </row>
    <row r="468" spans="1:11" ht="15" thickBot="1" x14ac:dyDescent="0.35">
      <c r="A468" s="84" t="s">
        <v>1587</v>
      </c>
      <c r="B468" s="84" t="s">
        <v>1600</v>
      </c>
      <c r="C468" s="85" t="s">
        <v>932</v>
      </c>
      <c r="D468" s="86" t="s">
        <v>719</v>
      </c>
      <c r="E468" s="87" t="s">
        <v>51</v>
      </c>
      <c r="F468" s="88" t="s">
        <v>51</v>
      </c>
      <c r="G468" s="89" t="s">
        <v>51</v>
      </c>
      <c r="H468" s="84" t="s">
        <v>52</v>
      </c>
      <c r="I468" s="85" t="s">
        <v>1869</v>
      </c>
      <c r="J468" s="85" t="s">
        <v>1870</v>
      </c>
      <c r="K468" s="85" t="s">
        <v>1869</v>
      </c>
    </row>
    <row r="469" spans="1:11" ht="15" thickBot="1" x14ac:dyDescent="0.35">
      <c r="A469" s="84" t="s">
        <v>1587</v>
      </c>
      <c r="B469" s="84" t="s">
        <v>1601</v>
      </c>
      <c r="C469" s="85" t="s">
        <v>932</v>
      </c>
      <c r="D469" s="86" t="s">
        <v>556</v>
      </c>
      <c r="E469" s="87" t="s">
        <v>54</v>
      </c>
      <c r="F469" s="88" t="s">
        <v>54</v>
      </c>
      <c r="G469" s="89" t="s">
        <v>54</v>
      </c>
      <c r="H469" s="84" t="s">
        <v>55</v>
      </c>
      <c r="I469" s="85" t="s">
        <v>1869</v>
      </c>
      <c r="J469" s="85" t="s">
        <v>1870</v>
      </c>
      <c r="K469" s="85" t="s">
        <v>1869</v>
      </c>
    </row>
    <row r="470" spans="1:11" ht="15" thickBot="1" x14ac:dyDescent="0.35">
      <c r="A470" s="84" t="s">
        <v>1587</v>
      </c>
      <c r="B470" s="84" t="s">
        <v>1602</v>
      </c>
      <c r="C470" s="85" t="s">
        <v>932</v>
      </c>
      <c r="D470" s="86" t="s">
        <v>557</v>
      </c>
      <c r="E470" s="87" t="s">
        <v>54</v>
      </c>
      <c r="F470" s="88" t="s">
        <v>54</v>
      </c>
      <c r="G470" s="89" t="s">
        <v>54</v>
      </c>
      <c r="H470" s="84" t="s">
        <v>55</v>
      </c>
      <c r="I470" s="85" t="s">
        <v>1869</v>
      </c>
      <c r="J470" s="85" t="s">
        <v>1870</v>
      </c>
      <c r="K470" s="85" t="s">
        <v>1869</v>
      </c>
    </row>
    <row r="471" spans="1:11" ht="15" thickBot="1" x14ac:dyDescent="0.35">
      <c r="A471" s="84" t="s">
        <v>1587</v>
      </c>
      <c r="B471" s="84" t="s">
        <v>1603</v>
      </c>
      <c r="C471" s="85" t="s">
        <v>932</v>
      </c>
      <c r="D471" s="86" t="s">
        <v>53</v>
      </c>
      <c r="E471" s="87" t="s">
        <v>54</v>
      </c>
      <c r="F471" s="88" t="s">
        <v>54</v>
      </c>
      <c r="G471" s="89" t="s">
        <v>54</v>
      </c>
      <c r="H471" s="84" t="s">
        <v>55</v>
      </c>
      <c r="I471" s="85" t="s">
        <v>1869</v>
      </c>
      <c r="J471" s="85" t="s">
        <v>1870</v>
      </c>
      <c r="K471" s="85" t="s">
        <v>1869</v>
      </c>
    </row>
    <row r="472" spans="1:11" ht="15" thickBot="1" x14ac:dyDescent="0.35">
      <c r="A472" s="84" t="s">
        <v>1587</v>
      </c>
      <c r="B472" s="84" t="s">
        <v>1604</v>
      </c>
      <c r="C472" s="85" t="s">
        <v>928</v>
      </c>
      <c r="D472" s="86" t="s">
        <v>1605</v>
      </c>
      <c r="E472" s="87" t="s">
        <v>54</v>
      </c>
      <c r="F472" s="88" t="s">
        <v>54</v>
      </c>
      <c r="G472" s="89" t="s">
        <v>54</v>
      </c>
      <c r="H472" s="84" t="s">
        <v>55</v>
      </c>
      <c r="I472" s="85" t="s">
        <v>2077</v>
      </c>
      <c r="J472" s="85" t="s">
        <v>1870</v>
      </c>
      <c r="K472" s="85" t="s">
        <v>1869</v>
      </c>
    </row>
    <row r="473" spans="1:11" ht="15" thickBot="1" x14ac:dyDescent="0.35">
      <c r="A473" s="84" t="s">
        <v>1587</v>
      </c>
      <c r="B473" s="84" t="s">
        <v>1606</v>
      </c>
      <c r="C473" s="85" t="s">
        <v>928</v>
      </c>
      <c r="D473" s="86" t="s">
        <v>1607</v>
      </c>
      <c r="E473" s="87" t="s">
        <v>54</v>
      </c>
      <c r="F473" s="88" t="s">
        <v>54</v>
      </c>
      <c r="G473" s="89" t="s">
        <v>54</v>
      </c>
      <c r="H473" s="84" t="s">
        <v>55</v>
      </c>
      <c r="I473" s="85" t="s">
        <v>2078</v>
      </c>
      <c r="J473" s="85" t="s">
        <v>1870</v>
      </c>
      <c r="K473" s="85" t="s">
        <v>1869</v>
      </c>
    </row>
    <row r="474" spans="1:11" ht="15" thickBot="1" x14ac:dyDescent="0.35">
      <c r="A474" s="84" t="s">
        <v>1587</v>
      </c>
      <c r="B474" s="84" t="s">
        <v>1608</v>
      </c>
      <c r="C474" s="85" t="s">
        <v>928</v>
      </c>
      <c r="D474" s="86" t="s">
        <v>1609</v>
      </c>
      <c r="E474" s="87" t="s">
        <v>54</v>
      </c>
      <c r="F474" s="88" t="s">
        <v>54</v>
      </c>
      <c r="G474" s="89" t="s">
        <v>54</v>
      </c>
      <c r="H474" s="84" t="s">
        <v>55</v>
      </c>
      <c r="I474" s="85" t="s">
        <v>2079</v>
      </c>
      <c r="J474" s="85" t="s">
        <v>1870</v>
      </c>
      <c r="K474" s="85" t="s">
        <v>1869</v>
      </c>
    </row>
    <row r="475" spans="1:11" ht="15" thickBot="1" x14ac:dyDescent="0.35">
      <c r="A475" s="84" t="s">
        <v>1587</v>
      </c>
      <c r="B475" s="84" t="s">
        <v>1610</v>
      </c>
      <c r="C475" s="85" t="s">
        <v>932</v>
      </c>
      <c r="D475" s="86" t="s">
        <v>558</v>
      </c>
      <c r="E475" s="87" t="s">
        <v>559</v>
      </c>
      <c r="F475" s="88" t="s">
        <v>559</v>
      </c>
      <c r="G475" s="89" t="s">
        <v>559</v>
      </c>
      <c r="H475" s="84" t="s">
        <v>560</v>
      </c>
      <c r="I475" s="85" t="s">
        <v>1869</v>
      </c>
      <c r="J475" s="85" t="s">
        <v>1870</v>
      </c>
      <c r="K475" s="85" t="s">
        <v>1869</v>
      </c>
    </row>
    <row r="476" spans="1:11" ht="15" thickBot="1" x14ac:dyDescent="0.35">
      <c r="A476" s="84" t="s">
        <v>1587</v>
      </c>
      <c r="B476" s="84" t="s">
        <v>1611</v>
      </c>
      <c r="C476" s="85" t="s">
        <v>928</v>
      </c>
      <c r="D476" s="86" t="s">
        <v>1612</v>
      </c>
      <c r="E476" s="87" t="s">
        <v>616</v>
      </c>
      <c r="F476" s="88" t="s">
        <v>616</v>
      </c>
      <c r="G476" s="89" t="s">
        <v>616</v>
      </c>
      <c r="H476" s="84" t="s">
        <v>617</v>
      </c>
      <c r="I476" s="85" t="s">
        <v>2080</v>
      </c>
      <c r="J476" s="85" t="s">
        <v>1870</v>
      </c>
      <c r="K476" s="85" t="s">
        <v>1869</v>
      </c>
    </row>
    <row r="477" spans="1:11" ht="15" thickBot="1" x14ac:dyDescent="0.35">
      <c r="A477" s="84" t="s">
        <v>1587</v>
      </c>
      <c r="B477" s="84" t="s">
        <v>1613</v>
      </c>
      <c r="C477" s="85" t="s">
        <v>932</v>
      </c>
      <c r="D477" s="86" t="s">
        <v>671</v>
      </c>
      <c r="E477" s="87" t="s">
        <v>616</v>
      </c>
      <c r="F477" s="88" t="s">
        <v>616</v>
      </c>
      <c r="G477" s="89" t="s">
        <v>616</v>
      </c>
      <c r="H477" s="84" t="s">
        <v>617</v>
      </c>
      <c r="I477" s="85" t="s">
        <v>1869</v>
      </c>
      <c r="J477" s="85" t="s">
        <v>1870</v>
      </c>
      <c r="K477" s="85" t="s">
        <v>1869</v>
      </c>
    </row>
    <row r="478" spans="1:11" ht="15" thickBot="1" x14ac:dyDescent="0.35">
      <c r="A478" s="84" t="s">
        <v>1587</v>
      </c>
      <c r="B478" s="84" t="s">
        <v>1614</v>
      </c>
      <c r="C478" s="85" t="s">
        <v>928</v>
      </c>
      <c r="D478" s="86" t="s">
        <v>1615</v>
      </c>
      <c r="E478" s="87" t="s">
        <v>1616</v>
      </c>
      <c r="F478" s="88" t="s">
        <v>1616</v>
      </c>
      <c r="G478" s="89" t="s">
        <v>1616</v>
      </c>
      <c r="H478" s="84" t="s">
        <v>1617</v>
      </c>
      <c r="I478" s="85" t="s">
        <v>2081</v>
      </c>
      <c r="J478" s="85" t="s">
        <v>1870</v>
      </c>
      <c r="K478" s="85" t="s">
        <v>1869</v>
      </c>
    </row>
    <row r="479" spans="1:11" ht="15" thickBot="1" x14ac:dyDescent="0.35">
      <c r="A479" s="84" t="s">
        <v>1587</v>
      </c>
      <c r="B479" s="84" t="s">
        <v>1618</v>
      </c>
      <c r="C479" s="85" t="s">
        <v>928</v>
      </c>
      <c r="D479" s="86" t="s">
        <v>1619</v>
      </c>
      <c r="E479" s="87" t="s">
        <v>1616</v>
      </c>
      <c r="F479" s="88" t="s">
        <v>1616</v>
      </c>
      <c r="G479" s="89" t="s">
        <v>1616</v>
      </c>
      <c r="H479" s="84" t="s">
        <v>1617</v>
      </c>
      <c r="I479" s="85" t="s">
        <v>2082</v>
      </c>
      <c r="J479" s="85" t="s">
        <v>1870</v>
      </c>
      <c r="K479" s="85" t="s">
        <v>1869</v>
      </c>
    </row>
    <row r="480" spans="1:11" ht="15" thickBot="1" x14ac:dyDescent="0.35">
      <c r="A480" s="84" t="s">
        <v>1587</v>
      </c>
      <c r="B480" s="84" t="s">
        <v>1620</v>
      </c>
      <c r="C480" s="85" t="s">
        <v>928</v>
      </c>
      <c r="D480" s="86" t="s">
        <v>1621</v>
      </c>
      <c r="E480" s="87" t="s">
        <v>1616</v>
      </c>
      <c r="F480" s="88" t="s">
        <v>1616</v>
      </c>
      <c r="G480" s="89" t="s">
        <v>1616</v>
      </c>
      <c r="H480" s="84" t="s">
        <v>1617</v>
      </c>
      <c r="I480" s="85" t="s">
        <v>2083</v>
      </c>
      <c r="J480" s="85" t="s">
        <v>1870</v>
      </c>
      <c r="K480" s="85" t="s">
        <v>1869</v>
      </c>
    </row>
    <row r="481" spans="1:11" ht="15" thickBot="1" x14ac:dyDescent="0.35">
      <c r="A481" s="84" t="s">
        <v>1587</v>
      </c>
      <c r="B481" s="84" t="s">
        <v>1622</v>
      </c>
      <c r="C481" s="85" t="s">
        <v>932</v>
      </c>
      <c r="D481" s="86" t="s">
        <v>561</v>
      </c>
      <c r="E481" s="87" t="s">
        <v>562</v>
      </c>
      <c r="F481" s="88" t="s">
        <v>562</v>
      </c>
      <c r="G481" s="89" t="s">
        <v>562</v>
      </c>
      <c r="H481" s="84" t="s">
        <v>563</v>
      </c>
      <c r="I481" s="85" t="s">
        <v>1869</v>
      </c>
      <c r="J481" s="85" t="s">
        <v>1870</v>
      </c>
      <c r="K481" s="85" t="s">
        <v>1869</v>
      </c>
    </row>
    <row r="482" spans="1:11" ht="15" thickBot="1" x14ac:dyDescent="0.35">
      <c r="A482" s="84" t="s">
        <v>1587</v>
      </c>
      <c r="B482" s="84" t="s">
        <v>1623</v>
      </c>
      <c r="C482" s="85" t="s">
        <v>932</v>
      </c>
      <c r="D482" s="86" t="s">
        <v>56</v>
      </c>
      <c r="E482" s="87" t="s">
        <v>57</v>
      </c>
      <c r="F482" s="88" t="s">
        <v>57</v>
      </c>
      <c r="G482" s="89" t="s">
        <v>57</v>
      </c>
      <c r="H482" s="84" t="s">
        <v>58</v>
      </c>
      <c r="I482" s="85" t="s">
        <v>1869</v>
      </c>
      <c r="J482" s="85" t="s">
        <v>1870</v>
      </c>
      <c r="K482" s="85" t="s">
        <v>1869</v>
      </c>
    </row>
    <row r="483" spans="1:11" ht="15" thickBot="1" x14ac:dyDescent="0.35">
      <c r="A483" s="84" t="s">
        <v>1587</v>
      </c>
      <c r="B483" s="84" t="s">
        <v>1624</v>
      </c>
      <c r="C483" s="85" t="s">
        <v>928</v>
      </c>
      <c r="D483" s="86" t="s">
        <v>602</v>
      </c>
      <c r="E483" s="87" t="s">
        <v>57</v>
      </c>
      <c r="F483" s="88" t="s">
        <v>57</v>
      </c>
      <c r="G483" s="89" t="s">
        <v>57</v>
      </c>
      <c r="H483" s="84" t="s">
        <v>58</v>
      </c>
      <c r="I483" s="85" t="s">
        <v>2084</v>
      </c>
      <c r="J483" s="85" t="s">
        <v>1870</v>
      </c>
      <c r="K483" s="85" t="s">
        <v>1869</v>
      </c>
    </row>
    <row r="484" spans="1:11" ht="15" thickBot="1" x14ac:dyDescent="0.35">
      <c r="A484" s="84" t="s">
        <v>1587</v>
      </c>
      <c r="B484" s="84" t="s">
        <v>1625</v>
      </c>
      <c r="C484" s="85" t="s">
        <v>928</v>
      </c>
      <c r="D484" s="86" t="s">
        <v>1626</v>
      </c>
      <c r="E484" s="87" t="s">
        <v>1627</v>
      </c>
      <c r="F484" s="88" t="s">
        <v>1627</v>
      </c>
      <c r="G484" s="89" t="s">
        <v>1627</v>
      </c>
      <c r="H484" s="84" t="s">
        <v>1628</v>
      </c>
      <c r="I484" s="85" t="s">
        <v>2085</v>
      </c>
      <c r="J484" s="85" t="s">
        <v>1870</v>
      </c>
      <c r="K484" s="85" t="s">
        <v>1869</v>
      </c>
    </row>
    <row r="485" spans="1:11" ht="15" thickBot="1" x14ac:dyDescent="0.35">
      <c r="A485" s="84" t="s">
        <v>1587</v>
      </c>
      <c r="B485" s="84" t="s">
        <v>1629</v>
      </c>
      <c r="C485" s="85" t="s">
        <v>932</v>
      </c>
      <c r="D485" s="86" t="s">
        <v>733</v>
      </c>
      <c r="E485" s="87" t="s">
        <v>630</v>
      </c>
      <c r="F485" s="88" t="s">
        <v>631</v>
      </c>
      <c r="G485" s="89" t="s">
        <v>631</v>
      </c>
      <c r="H485" s="84" t="s">
        <v>632</v>
      </c>
      <c r="I485" s="85" t="s">
        <v>1869</v>
      </c>
      <c r="J485" s="85" t="s">
        <v>1870</v>
      </c>
      <c r="K485" s="85" t="s">
        <v>1869</v>
      </c>
    </row>
    <row r="486" spans="1:11" ht="15" thickBot="1" x14ac:dyDescent="0.35">
      <c r="A486" s="84" t="s">
        <v>1587</v>
      </c>
      <c r="B486" s="84" t="s">
        <v>1630</v>
      </c>
      <c r="C486" s="85" t="s">
        <v>932</v>
      </c>
      <c r="D486" s="86" t="s">
        <v>869</v>
      </c>
      <c r="E486" s="87" t="s">
        <v>870</v>
      </c>
      <c r="F486" s="88" t="s">
        <v>871</v>
      </c>
      <c r="G486" s="89" t="s">
        <v>871</v>
      </c>
      <c r="H486" s="84" t="s">
        <v>872</v>
      </c>
      <c r="I486" s="85" t="s">
        <v>1869</v>
      </c>
      <c r="J486" s="85" t="s">
        <v>1870</v>
      </c>
      <c r="K486" s="85" t="s">
        <v>1869</v>
      </c>
    </row>
    <row r="487" spans="1:11" ht="15" thickBot="1" x14ac:dyDescent="0.35">
      <c r="A487" s="84" t="s">
        <v>1587</v>
      </c>
      <c r="B487" s="84" t="s">
        <v>1631</v>
      </c>
      <c r="C487" s="85" t="s">
        <v>928</v>
      </c>
      <c r="D487" s="86" t="s">
        <v>1632</v>
      </c>
      <c r="E487" s="87" t="s">
        <v>916</v>
      </c>
      <c r="F487" s="88" t="s">
        <v>916</v>
      </c>
      <c r="G487" s="89" t="s">
        <v>916</v>
      </c>
      <c r="H487" s="84" t="s">
        <v>917</v>
      </c>
      <c r="I487" s="85" t="s">
        <v>2086</v>
      </c>
      <c r="J487" s="85" t="s">
        <v>1870</v>
      </c>
      <c r="K487" s="85" t="s">
        <v>1869</v>
      </c>
    </row>
    <row r="488" spans="1:11" ht="15" thickBot="1" x14ac:dyDescent="0.35">
      <c r="A488" s="84" t="s">
        <v>1587</v>
      </c>
      <c r="B488" s="84" t="s">
        <v>1633</v>
      </c>
      <c r="C488" s="85" t="s">
        <v>932</v>
      </c>
      <c r="D488" s="86" t="s">
        <v>915</v>
      </c>
      <c r="E488" s="87" t="s">
        <v>916</v>
      </c>
      <c r="F488" s="88" t="s">
        <v>916</v>
      </c>
      <c r="G488" s="89" t="s">
        <v>916</v>
      </c>
      <c r="H488" s="84" t="s">
        <v>917</v>
      </c>
      <c r="I488" s="85" t="s">
        <v>1869</v>
      </c>
      <c r="J488" s="85" t="s">
        <v>1870</v>
      </c>
      <c r="K488" s="85" t="s">
        <v>1869</v>
      </c>
    </row>
    <row r="489" spans="1:11" ht="15" thickBot="1" x14ac:dyDescent="0.35">
      <c r="A489" s="84" t="s">
        <v>1587</v>
      </c>
      <c r="B489" s="84" t="s">
        <v>1634</v>
      </c>
      <c r="C489" s="85" t="s">
        <v>932</v>
      </c>
      <c r="D489" s="86" t="s">
        <v>781</v>
      </c>
      <c r="E489" s="87" t="s">
        <v>253</v>
      </c>
      <c r="F489" s="88" t="s">
        <v>253</v>
      </c>
      <c r="G489" s="89" t="s">
        <v>253</v>
      </c>
      <c r="H489" s="84" t="s">
        <v>254</v>
      </c>
      <c r="I489" s="85" t="s">
        <v>1869</v>
      </c>
      <c r="J489" s="85" t="s">
        <v>1870</v>
      </c>
      <c r="K489" s="85" t="s">
        <v>1869</v>
      </c>
    </row>
    <row r="490" spans="1:11" ht="15" thickBot="1" x14ac:dyDescent="0.35">
      <c r="A490" s="84" t="s">
        <v>1587</v>
      </c>
      <c r="B490" s="84" t="s">
        <v>1635</v>
      </c>
      <c r="C490" s="85" t="s">
        <v>932</v>
      </c>
      <c r="D490" s="86" t="s">
        <v>252</v>
      </c>
      <c r="E490" s="87" t="s">
        <v>253</v>
      </c>
      <c r="F490" s="88" t="s">
        <v>253</v>
      </c>
      <c r="G490" s="89" t="s">
        <v>253</v>
      </c>
      <c r="H490" s="84" t="s">
        <v>254</v>
      </c>
      <c r="I490" s="85" t="s">
        <v>1869</v>
      </c>
      <c r="J490" s="85" t="s">
        <v>1870</v>
      </c>
      <c r="K490" s="85" t="s">
        <v>1869</v>
      </c>
    </row>
    <row r="491" spans="1:11" ht="15" thickBot="1" x14ac:dyDescent="0.35">
      <c r="A491" s="84" t="s">
        <v>1587</v>
      </c>
      <c r="B491" s="84" t="s">
        <v>1636</v>
      </c>
      <c r="C491" s="85" t="s">
        <v>932</v>
      </c>
      <c r="D491" s="86" t="s">
        <v>672</v>
      </c>
      <c r="E491" s="87" t="s">
        <v>517</v>
      </c>
      <c r="F491" s="88" t="s">
        <v>517</v>
      </c>
      <c r="G491" s="89" t="s">
        <v>517</v>
      </c>
      <c r="H491" s="84" t="s">
        <v>518</v>
      </c>
      <c r="I491" s="85" t="s">
        <v>1869</v>
      </c>
      <c r="J491" s="85" t="s">
        <v>1870</v>
      </c>
      <c r="K491" s="85" t="s">
        <v>1869</v>
      </c>
    </row>
    <row r="492" spans="1:11" ht="15" thickBot="1" x14ac:dyDescent="0.35">
      <c r="A492" s="84" t="s">
        <v>1587</v>
      </c>
      <c r="B492" s="84" t="s">
        <v>1637</v>
      </c>
      <c r="C492" s="85" t="s">
        <v>932</v>
      </c>
      <c r="D492" s="86" t="s">
        <v>516</v>
      </c>
      <c r="E492" s="87" t="s">
        <v>517</v>
      </c>
      <c r="F492" s="88" t="s">
        <v>517</v>
      </c>
      <c r="G492" s="89" t="s">
        <v>517</v>
      </c>
      <c r="H492" s="84" t="s">
        <v>518</v>
      </c>
      <c r="I492" s="85" t="s">
        <v>1869</v>
      </c>
      <c r="J492" s="85" t="s">
        <v>1870</v>
      </c>
      <c r="K492" s="85" t="s">
        <v>1869</v>
      </c>
    </row>
    <row r="493" spans="1:11" ht="15" thickBot="1" x14ac:dyDescent="0.35">
      <c r="A493" s="84" t="s">
        <v>1587</v>
      </c>
      <c r="B493" s="84" t="s">
        <v>1638</v>
      </c>
      <c r="C493" s="85" t="s">
        <v>932</v>
      </c>
      <c r="D493" s="86" t="s">
        <v>918</v>
      </c>
      <c r="E493" s="87" t="s">
        <v>470</v>
      </c>
      <c r="F493" s="88" t="s">
        <v>470</v>
      </c>
      <c r="G493" s="89" t="s">
        <v>470</v>
      </c>
      <c r="H493" s="84" t="s">
        <v>471</v>
      </c>
      <c r="I493" s="85" t="s">
        <v>1869</v>
      </c>
      <c r="J493" s="85" t="s">
        <v>1870</v>
      </c>
      <c r="K493" s="85" t="s">
        <v>1869</v>
      </c>
    </row>
    <row r="494" spans="1:11" ht="15" thickBot="1" x14ac:dyDescent="0.35">
      <c r="A494" s="84" t="s">
        <v>1587</v>
      </c>
      <c r="B494" s="84" t="s">
        <v>1639</v>
      </c>
      <c r="C494" s="85" t="s">
        <v>932</v>
      </c>
      <c r="D494" s="86" t="s">
        <v>919</v>
      </c>
      <c r="E494" s="87" t="s">
        <v>470</v>
      </c>
      <c r="F494" s="88" t="s">
        <v>470</v>
      </c>
      <c r="G494" s="89" t="s">
        <v>470</v>
      </c>
      <c r="H494" s="84" t="s">
        <v>471</v>
      </c>
      <c r="I494" s="85" t="s">
        <v>1869</v>
      </c>
      <c r="J494" s="85" t="s">
        <v>1870</v>
      </c>
      <c r="K494" s="85" t="s">
        <v>1869</v>
      </c>
    </row>
    <row r="495" spans="1:11" ht="15" thickBot="1" x14ac:dyDescent="0.35">
      <c r="A495" s="84" t="s">
        <v>1587</v>
      </c>
      <c r="B495" s="84" t="s">
        <v>1640</v>
      </c>
      <c r="C495" s="85" t="s">
        <v>932</v>
      </c>
      <c r="D495" s="86" t="s">
        <v>720</v>
      </c>
      <c r="E495" s="87" t="s">
        <v>520</v>
      </c>
      <c r="F495" s="88" t="s">
        <v>520</v>
      </c>
      <c r="G495" s="89" t="s">
        <v>520</v>
      </c>
      <c r="H495" s="84" t="s">
        <v>521</v>
      </c>
      <c r="I495" s="85" t="s">
        <v>1869</v>
      </c>
      <c r="J495" s="85" t="s">
        <v>1870</v>
      </c>
      <c r="K495" s="85" t="s">
        <v>1869</v>
      </c>
    </row>
    <row r="496" spans="1:11" ht="15" thickBot="1" x14ac:dyDescent="0.35">
      <c r="A496" s="84" t="s">
        <v>1587</v>
      </c>
      <c r="B496" s="84" t="s">
        <v>1641</v>
      </c>
      <c r="C496" s="85" t="s">
        <v>932</v>
      </c>
      <c r="D496" s="86" t="s">
        <v>519</v>
      </c>
      <c r="E496" s="87" t="s">
        <v>520</v>
      </c>
      <c r="F496" s="88" t="s">
        <v>520</v>
      </c>
      <c r="G496" s="89" t="s">
        <v>520</v>
      </c>
      <c r="H496" s="84" t="s">
        <v>521</v>
      </c>
      <c r="I496" s="85" t="s">
        <v>1869</v>
      </c>
      <c r="J496" s="85" t="s">
        <v>1870</v>
      </c>
      <c r="K496" s="85" t="s">
        <v>1869</v>
      </c>
    </row>
    <row r="497" spans="1:11" ht="15" thickBot="1" x14ac:dyDescent="0.35">
      <c r="A497" s="84" t="s">
        <v>1587</v>
      </c>
      <c r="B497" s="84" t="s">
        <v>1642</v>
      </c>
      <c r="C497" s="85" t="s">
        <v>932</v>
      </c>
      <c r="D497" s="86" t="s">
        <v>437</v>
      </c>
      <c r="E497" s="87" t="s">
        <v>438</v>
      </c>
      <c r="F497" s="88" t="s">
        <v>438</v>
      </c>
      <c r="G497" s="89" t="s">
        <v>438</v>
      </c>
      <c r="H497" s="84" t="s">
        <v>439</v>
      </c>
      <c r="I497" s="85" t="s">
        <v>1869</v>
      </c>
      <c r="J497" s="85" t="s">
        <v>1870</v>
      </c>
      <c r="K497" s="85" t="s">
        <v>1869</v>
      </c>
    </row>
    <row r="498" spans="1:11" ht="15" thickBot="1" x14ac:dyDescent="0.35">
      <c r="A498" s="84" t="s">
        <v>1587</v>
      </c>
      <c r="B498" s="84" t="s">
        <v>1643</v>
      </c>
      <c r="C498" s="85" t="s">
        <v>932</v>
      </c>
      <c r="D498" s="86" t="s">
        <v>1644</v>
      </c>
      <c r="E498" s="87" t="s">
        <v>193</v>
      </c>
      <c r="F498" s="88" t="s">
        <v>193</v>
      </c>
      <c r="G498" s="89" t="s">
        <v>193</v>
      </c>
      <c r="H498" s="84" t="s">
        <v>194</v>
      </c>
      <c r="I498" s="85" t="s">
        <v>1869</v>
      </c>
      <c r="J498" s="85" t="s">
        <v>1870</v>
      </c>
      <c r="K498" s="85" t="s">
        <v>1869</v>
      </c>
    </row>
    <row r="499" spans="1:11" ht="15" thickBot="1" x14ac:dyDescent="0.35">
      <c r="A499" s="84" t="s">
        <v>1587</v>
      </c>
      <c r="B499" s="84" t="s">
        <v>1645</v>
      </c>
      <c r="C499" s="85" t="s">
        <v>932</v>
      </c>
      <c r="D499" s="86" t="s">
        <v>268</v>
      </c>
      <c r="E499" s="87" t="s">
        <v>269</v>
      </c>
      <c r="F499" s="88" t="s">
        <v>269</v>
      </c>
      <c r="G499" s="89" t="s">
        <v>269</v>
      </c>
      <c r="H499" s="84" t="s">
        <v>270</v>
      </c>
      <c r="I499" s="85" t="s">
        <v>1869</v>
      </c>
      <c r="J499" s="85" t="s">
        <v>1870</v>
      </c>
      <c r="K499" s="85" t="s">
        <v>1869</v>
      </c>
    </row>
    <row r="500" spans="1:11" ht="15" thickBot="1" x14ac:dyDescent="0.35">
      <c r="A500" s="84" t="s">
        <v>1587</v>
      </c>
      <c r="B500" s="84" t="s">
        <v>1646</v>
      </c>
      <c r="C500" s="85" t="s">
        <v>932</v>
      </c>
      <c r="D500" s="86" t="s">
        <v>271</v>
      </c>
      <c r="E500" s="87" t="s">
        <v>269</v>
      </c>
      <c r="F500" s="88" t="s">
        <v>269</v>
      </c>
      <c r="G500" s="89" t="s">
        <v>269</v>
      </c>
      <c r="H500" s="84" t="s">
        <v>270</v>
      </c>
      <c r="I500" s="85" t="s">
        <v>1869</v>
      </c>
      <c r="J500" s="85" t="s">
        <v>1870</v>
      </c>
      <c r="K500" s="85" t="s">
        <v>1869</v>
      </c>
    </row>
    <row r="501" spans="1:11" ht="15" thickBot="1" x14ac:dyDescent="0.35">
      <c r="A501" s="84" t="s">
        <v>1587</v>
      </c>
      <c r="B501" s="84" t="s">
        <v>1647</v>
      </c>
      <c r="C501" s="85" t="s">
        <v>928</v>
      </c>
      <c r="D501" s="86" t="s">
        <v>1648</v>
      </c>
      <c r="E501" s="87" t="s">
        <v>1211</v>
      </c>
      <c r="F501" s="88" t="s">
        <v>1211</v>
      </c>
      <c r="G501" s="89" t="s">
        <v>1211</v>
      </c>
      <c r="H501" s="84" t="s">
        <v>1212</v>
      </c>
      <c r="I501" s="85" t="s">
        <v>2087</v>
      </c>
      <c r="J501" s="85" t="s">
        <v>1870</v>
      </c>
      <c r="K501" s="85" t="s">
        <v>1869</v>
      </c>
    </row>
    <row r="502" spans="1:11" ht="15" thickBot="1" x14ac:dyDescent="0.35">
      <c r="A502" s="84" t="s">
        <v>1587</v>
      </c>
      <c r="B502" s="84" t="s">
        <v>1649</v>
      </c>
      <c r="C502" s="85" t="s">
        <v>932</v>
      </c>
      <c r="D502" s="86" t="s">
        <v>443</v>
      </c>
      <c r="E502" s="87" t="s">
        <v>444</v>
      </c>
      <c r="F502" s="88" t="s">
        <v>444</v>
      </c>
      <c r="G502" s="89" t="s">
        <v>444</v>
      </c>
      <c r="H502" s="84" t="s">
        <v>445</v>
      </c>
      <c r="I502" s="85" t="s">
        <v>1869</v>
      </c>
      <c r="J502" s="85" t="s">
        <v>1870</v>
      </c>
      <c r="K502" s="85" t="s">
        <v>1869</v>
      </c>
    </row>
    <row r="503" spans="1:11" ht="15" thickBot="1" x14ac:dyDescent="0.35">
      <c r="A503" s="84" t="s">
        <v>1587</v>
      </c>
      <c r="B503" s="84" t="s">
        <v>1650</v>
      </c>
      <c r="C503" s="85" t="s">
        <v>928</v>
      </c>
      <c r="D503" s="86" t="s">
        <v>1651</v>
      </c>
      <c r="E503" s="87" t="s">
        <v>1652</v>
      </c>
      <c r="F503" s="88" t="s">
        <v>1652</v>
      </c>
      <c r="G503" s="89" t="s">
        <v>1652</v>
      </c>
      <c r="H503" s="84" t="s">
        <v>1653</v>
      </c>
      <c r="I503" s="85" t="s">
        <v>2088</v>
      </c>
      <c r="J503" s="85" t="s">
        <v>1870</v>
      </c>
      <c r="K503" s="85" t="s">
        <v>1869</v>
      </c>
    </row>
    <row r="504" spans="1:11" ht="15" thickBot="1" x14ac:dyDescent="0.35">
      <c r="A504" s="84" t="s">
        <v>1587</v>
      </c>
      <c r="B504" s="84" t="s">
        <v>1654</v>
      </c>
      <c r="C504" s="85" t="s">
        <v>928</v>
      </c>
      <c r="D504" s="86" t="s">
        <v>1655</v>
      </c>
      <c r="E504" s="87" t="s">
        <v>593</v>
      </c>
      <c r="F504" s="88" t="s">
        <v>593</v>
      </c>
      <c r="G504" s="89" t="s">
        <v>593</v>
      </c>
      <c r="H504" s="84" t="s">
        <v>594</v>
      </c>
      <c r="I504" s="85" t="s">
        <v>2089</v>
      </c>
      <c r="J504" s="85" t="s">
        <v>1870</v>
      </c>
      <c r="K504" s="85" t="s">
        <v>1869</v>
      </c>
    </row>
    <row r="505" spans="1:11" ht="15" thickBot="1" x14ac:dyDescent="0.35">
      <c r="A505" s="84" t="s">
        <v>1587</v>
      </c>
      <c r="B505" s="84" t="s">
        <v>1656</v>
      </c>
      <c r="C505" s="85" t="s">
        <v>928</v>
      </c>
      <c r="D505" s="86" t="s">
        <v>1657</v>
      </c>
      <c r="E505" s="87" t="s">
        <v>593</v>
      </c>
      <c r="F505" s="88" t="s">
        <v>593</v>
      </c>
      <c r="G505" s="89" t="s">
        <v>593</v>
      </c>
      <c r="H505" s="84" t="s">
        <v>594</v>
      </c>
      <c r="I505" s="85" t="s">
        <v>2090</v>
      </c>
      <c r="J505" s="85" t="s">
        <v>1870</v>
      </c>
      <c r="K505" s="85" t="s">
        <v>1869</v>
      </c>
    </row>
    <row r="506" spans="1:11" ht="15" thickBot="1" x14ac:dyDescent="0.35">
      <c r="A506" s="84" t="s">
        <v>1587</v>
      </c>
      <c r="B506" s="84" t="s">
        <v>1658</v>
      </c>
      <c r="C506" s="85" t="s">
        <v>928</v>
      </c>
      <c r="D506" s="86" t="s">
        <v>592</v>
      </c>
      <c r="E506" s="87" t="s">
        <v>593</v>
      </c>
      <c r="F506" s="88" t="s">
        <v>593</v>
      </c>
      <c r="G506" s="89" t="s">
        <v>593</v>
      </c>
      <c r="H506" s="84" t="s">
        <v>594</v>
      </c>
      <c r="I506" s="85" t="s">
        <v>2091</v>
      </c>
      <c r="J506" s="85" t="s">
        <v>1870</v>
      </c>
      <c r="K506" s="85" t="s">
        <v>1869</v>
      </c>
    </row>
    <row r="507" spans="1:11" ht="15" thickBot="1" x14ac:dyDescent="0.35">
      <c r="A507" s="84" t="s">
        <v>1587</v>
      </c>
      <c r="B507" s="84" t="s">
        <v>1659</v>
      </c>
      <c r="C507" s="85" t="s">
        <v>928</v>
      </c>
      <c r="D507" s="86" t="s">
        <v>1660</v>
      </c>
      <c r="E507" s="87" t="s">
        <v>593</v>
      </c>
      <c r="F507" s="88" t="s">
        <v>593</v>
      </c>
      <c r="G507" s="89" t="s">
        <v>593</v>
      </c>
      <c r="H507" s="84" t="s">
        <v>594</v>
      </c>
      <c r="I507" s="85" t="s">
        <v>2092</v>
      </c>
      <c r="J507" s="85" t="s">
        <v>1870</v>
      </c>
      <c r="K507" s="85" t="s">
        <v>1869</v>
      </c>
    </row>
    <row r="508" spans="1:11" ht="15" thickBot="1" x14ac:dyDescent="0.35">
      <c r="A508" s="84" t="s">
        <v>1587</v>
      </c>
      <c r="B508" s="84" t="s">
        <v>1661</v>
      </c>
      <c r="C508" s="85" t="s">
        <v>928</v>
      </c>
      <c r="D508" s="86" t="s">
        <v>1662</v>
      </c>
      <c r="E508" s="87" t="s">
        <v>593</v>
      </c>
      <c r="F508" s="88" t="s">
        <v>593</v>
      </c>
      <c r="G508" s="89" t="s">
        <v>593</v>
      </c>
      <c r="H508" s="84" t="s">
        <v>594</v>
      </c>
      <c r="I508" s="85" t="s">
        <v>2093</v>
      </c>
      <c r="J508" s="85" t="s">
        <v>1870</v>
      </c>
      <c r="K508" s="85" t="s">
        <v>1869</v>
      </c>
    </row>
    <row r="509" spans="1:11" ht="15" thickBot="1" x14ac:dyDescent="0.35">
      <c r="A509" s="84" t="s">
        <v>1587</v>
      </c>
      <c r="B509" s="84" t="s">
        <v>1663</v>
      </c>
      <c r="C509" s="85" t="s">
        <v>928</v>
      </c>
      <c r="D509" s="86" t="s">
        <v>1664</v>
      </c>
      <c r="E509" s="87" t="s">
        <v>593</v>
      </c>
      <c r="F509" s="88" t="s">
        <v>593</v>
      </c>
      <c r="G509" s="89" t="s">
        <v>593</v>
      </c>
      <c r="H509" s="84" t="s">
        <v>594</v>
      </c>
      <c r="I509" s="85" t="s">
        <v>2094</v>
      </c>
      <c r="J509" s="85" t="s">
        <v>1870</v>
      </c>
      <c r="K509" s="85" t="s">
        <v>1869</v>
      </c>
    </row>
    <row r="510" spans="1:11" ht="15" thickBot="1" x14ac:dyDescent="0.35">
      <c r="A510" s="84" t="s">
        <v>1587</v>
      </c>
      <c r="B510" s="84" t="s">
        <v>1665</v>
      </c>
      <c r="C510" s="85" t="s">
        <v>928</v>
      </c>
      <c r="D510" s="86" t="s">
        <v>1666</v>
      </c>
      <c r="E510" s="87" t="s">
        <v>1667</v>
      </c>
      <c r="F510" s="88" t="s">
        <v>1667</v>
      </c>
      <c r="G510" s="89" t="s">
        <v>1667</v>
      </c>
      <c r="H510" s="84" t="s">
        <v>1668</v>
      </c>
      <c r="I510" s="85" t="s">
        <v>2095</v>
      </c>
      <c r="J510" s="85" t="s">
        <v>1871</v>
      </c>
      <c r="K510" s="85" t="s">
        <v>1872</v>
      </c>
    </row>
    <row r="511" spans="1:11" ht="15" thickBot="1" x14ac:dyDescent="0.35">
      <c r="A511" s="84" t="s">
        <v>1587</v>
      </c>
      <c r="B511" s="84" t="s">
        <v>1669</v>
      </c>
      <c r="C511" s="85" t="s">
        <v>928</v>
      </c>
      <c r="D511" s="86" t="s">
        <v>1670</v>
      </c>
      <c r="E511" s="87" t="s">
        <v>1667</v>
      </c>
      <c r="F511" s="88" t="s">
        <v>1667</v>
      </c>
      <c r="G511" s="89" t="s">
        <v>1667</v>
      </c>
      <c r="H511" s="84" t="s">
        <v>1668</v>
      </c>
      <c r="I511" s="85" t="s">
        <v>2096</v>
      </c>
      <c r="J511" s="85" t="s">
        <v>1871</v>
      </c>
      <c r="K511" s="85" t="s">
        <v>1872</v>
      </c>
    </row>
    <row r="512" spans="1:11" ht="15" thickBot="1" x14ac:dyDescent="0.35">
      <c r="A512" s="84" t="s">
        <v>1587</v>
      </c>
      <c r="B512" s="84" t="s">
        <v>1671</v>
      </c>
      <c r="C512" s="85" t="s">
        <v>928</v>
      </c>
      <c r="D512" s="86" t="s">
        <v>1672</v>
      </c>
      <c r="E512" s="87" t="s">
        <v>1667</v>
      </c>
      <c r="F512" s="88" t="s">
        <v>1667</v>
      </c>
      <c r="G512" s="89" t="s">
        <v>1667</v>
      </c>
      <c r="H512" s="84" t="s">
        <v>1668</v>
      </c>
      <c r="I512" s="85" t="s">
        <v>2097</v>
      </c>
      <c r="J512" s="85" t="s">
        <v>1870</v>
      </c>
      <c r="K512" s="85" t="s">
        <v>1869</v>
      </c>
    </row>
    <row r="513" spans="1:11" ht="15" thickBot="1" x14ac:dyDescent="0.35">
      <c r="A513" s="84" t="s">
        <v>1587</v>
      </c>
      <c r="B513" s="84" t="s">
        <v>1673</v>
      </c>
      <c r="C513" s="85" t="s">
        <v>928</v>
      </c>
      <c r="D513" s="86" t="s">
        <v>1674</v>
      </c>
      <c r="E513" s="87" t="s">
        <v>1667</v>
      </c>
      <c r="F513" s="88" t="s">
        <v>1667</v>
      </c>
      <c r="G513" s="89" t="s">
        <v>1667</v>
      </c>
      <c r="H513" s="84" t="s">
        <v>1668</v>
      </c>
      <c r="I513" s="85" t="s">
        <v>2098</v>
      </c>
      <c r="J513" s="85" t="s">
        <v>1870</v>
      </c>
      <c r="K513" s="85" t="s">
        <v>1869</v>
      </c>
    </row>
    <row r="514" spans="1:11" ht="15" thickBot="1" x14ac:dyDescent="0.35">
      <c r="A514" s="84" t="s">
        <v>1587</v>
      </c>
      <c r="B514" s="84" t="s">
        <v>1675</v>
      </c>
      <c r="C514" s="85" t="s">
        <v>932</v>
      </c>
      <c r="D514" s="86" t="s">
        <v>920</v>
      </c>
      <c r="E514" s="87" t="s">
        <v>792</v>
      </c>
      <c r="F514" s="88" t="s">
        <v>792</v>
      </c>
      <c r="G514" s="89" t="s">
        <v>792</v>
      </c>
      <c r="H514" s="84" t="s">
        <v>793</v>
      </c>
      <c r="I514" s="85" t="s">
        <v>1869</v>
      </c>
      <c r="J514" s="85" t="s">
        <v>1870</v>
      </c>
      <c r="K514" s="85" t="s">
        <v>1869</v>
      </c>
    </row>
    <row r="515" spans="1:11" ht="15" thickBot="1" x14ac:dyDescent="0.35">
      <c r="A515" s="84" t="s">
        <v>1587</v>
      </c>
      <c r="B515" s="84" t="s">
        <v>1676</v>
      </c>
      <c r="C515" s="85" t="s">
        <v>928</v>
      </c>
      <c r="D515" s="86" t="s">
        <v>794</v>
      </c>
      <c r="E515" s="87" t="s">
        <v>454</v>
      </c>
      <c r="F515" s="88" t="s">
        <v>454</v>
      </c>
      <c r="G515" s="89" t="s">
        <v>454</v>
      </c>
      <c r="H515" s="84" t="s">
        <v>455</v>
      </c>
      <c r="I515" s="85" t="s">
        <v>2099</v>
      </c>
      <c r="J515" s="85" t="s">
        <v>1870</v>
      </c>
      <c r="K515" s="85" t="s">
        <v>1869</v>
      </c>
    </row>
    <row r="516" spans="1:11" ht="15" thickBot="1" x14ac:dyDescent="0.35">
      <c r="A516" s="84" t="s">
        <v>1587</v>
      </c>
      <c r="B516" s="84" t="s">
        <v>1677</v>
      </c>
      <c r="C516" s="85" t="s">
        <v>928</v>
      </c>
      <c r="D516" s="86" t="s">
        <v>453</v>
      </c>
      <c r="E516" s="87" t="s">
        <v>454</v>
      </c>
      <c r="F516" s="88" t="s">
        <v>454</v>
      </c>
      <c r="G516" s="89" t="s">
        <v>454</v>
      </c>
      <c r="H516" s="84" t="s">
        <v>455</v>
      </c>
      <c r="I516" s="85" t="s">
        <v>2100</v>
      </c>
      <c r="J516" s="85" t="s">
        <v>1870</v>
      </c>
      <c r="K516" s="85" t="s">
        <v>1869</v>
      </c>
    </row>
    <row r="517" spans="1:11" ht="15" thickBot="1" x14ac:dyDescent="0.35">
      <c r="A517" s="84" t="s">
        <v>1587</v>
      </c>
      <c r="B517" s="84" t="s">
        <v>1678</v>
      </c>
      <c r="C517" s="85" t="s">
        <v>928</v>
      </c>
      <c r="D517" s="86" t="s">
        <v>291</v>
      </c>
      <c r="E517" s="87" t="s">
        <v>292</v>
      </c>
      <c r="F517" s="88" t="s">
        <v>292</v>
      </c>
      <c r="G517" s="89" t="s">
        <v>292</v>
      </c>
      <c r="H517" s="84" t="s">
        <v>293</v>
      </c>
      <c r="I517" s="85" t="s">
        <v>2101</v>
      </c>
      <c r="J517" s="85" t="s">
        <v>1870</v>
      </c>
      <c r="K517" s="85" t="s">
        <v>1869</v>
      </c>
    </row>
    <row r="518" spans="1:11" ht="15" thickBot="1" x14ac:dyDescent="0.35">
      <c r="A518" s="84" t="s">
        <v>1587</v>
      </c>
      <c r="B518" s="84" t="s">
        <v>1679</v>
      </c>
      <c r="C518" s="85" t="s">
        <v>928</v>
      </c>
      <c r="D518" s="86" t="s">
        <v>456</v>
      </c>
      <c r="E518" s="87" t="s">
        <v>292</v>
      </c>
      <c r="F518" s="88" t="s">
        <v>292</v>
      </c>
      <c r="G518" s="89" t="s">
        <v>292</v>
      </c>
      <c r="H518" s="84" t="s">
        <v>293</v>
      </c>
      <c r="I518" s="85" t="s">
        <v>2102</v>
      </c>
      <c r="J518" s="85" t="s">
        <v>1870</v>
      </c>
      <c r="K518" s="85" t="s">
        <v>1869</v>
      </c>
    </row>
    <row r="519" spans="1:11" ht="15" thickBot="1" x14ac:dyDescent="0.35">
      <c r="A519" s="84" t="s">
        <v>1587</v>
      </c>
      <c r="B519" s="84" t="s">
        <v>1680</v>
      </c>
      <c r="C519" s="85" t="s">
        <v>932</v>
      </c>
      <c r="D519" s="86" t="s">
        <v>294</v>
      </c>
      <c r="E519" s="87" t="s">
        <v>295</v>
      </c>
      <c r="F519" s="88" t="s">
        <v>295</v>
      </c>
      <c r="G519" s="89" t="s">
        <v>295</v>
      </c>
      <c r="H519" s="84" t="s">
        <v>296</v>
      </c>
      <c r="I519" s="85" t="s">
        <v>1869</v>
      </c>
      <c r="J519" s="85" t="s">
        <v>1870</v>
      </c>
      <c r="K519" s="85" t="s">
        <v>1869</v>
      </c>
    </row>
    <row r="520" spans="1:11" ht="15" thickBot="1" x14ac:dyDescent="0.35">
      <c r="A520" s="84" t="s">
        <v>1587</v>
      </c>
      <c r="B520" s="84" t="s">
        <v>1681</v>
      </c>
      <c r="C520" s="85" t="s">
        <v>932</v>
      </c>
      <c r="D520" s="86" t="s">
        <v>570</v>
      </c>
      <c r="E520" s="87" t="s">
        <v>368</v>
      </c>
      <c r="F520" s="88" t="s">
        <v>368</v>
      </c>
      <c r="G520" s="89" t="s">
        <v>368</v>
      </c>
      <c r="H520" s="84" t="s">
        <v>369</v>
      </c>
      <c r="I520" s="85" t="s">
        <v>1869</v>
      </c>
      <c r="J520" s="85" t="s">
        <v>1870</v>
      </c>
      <c r="K520" s="85" t="s">
        <v>1869</v>
      </c>
    </row>
    <row r="521" spans="1:11" ht="15" thickBot="1" x14ac:dyDescent="0.35">
      <c r="A521" s="84" t="s">
        <v>1587</v>
      </c>
      <c r="B521" s="84" t="s">
        <v>1682</v>
      </c>
      <c r="C521" s="85" t="s">
        <v>963</v>
      </c>
      <c r="D521" s="86" t="s">
        <v>468</v>
      </c>
      <c r="E521" s="87" t="s">
        <v>54</v>
      </c>
      <c r="F521" s="88" t="s">
        <v>54</v>
      </c>
      <c r="G521" s="89" t="s">
        <v>54</v>
      </c>
      <c r="H521" s="84" t="s">
        <v>55</v>
      </c>
      <c r="I521" s="85" t="s">
        <v>1869</v>
      </c>
      <c r="J521" s="85" t="s">
        <v>1870</v>
      </c>
      <c r="K521" s="85" t="s">
        <v>1869</v>
      </c>
    </row>
    <row r="522" spans="1:11" ht="15" thickBot="1" x14ac:dyDescent="0.35">
      <c r="A522" s="84" t="s">
        <v>1587</v>
      </c>
      <c r="B522" s="84" t="s">
        <v>1683</v>
      </c>
      <c r="C522" s="85" t="s">
        <v>963</v>
      </c>
      <c r="D522" s="86" t="s">
        <v>615</v>
      </c>
      <c r="E522" s="87" t="s">
        <v>616</v>
      </c>
      <c r="F522" s="88" t="s">
        <v>616</v>
      </c>
      <c r="G522" s="89" t="s">
        <v>616</v>
      </c>
      <c r="H522" s="84" t="s">
        <v>617</v>
      </c>
      <c r="I522" s="85" t="s">
        <v>1869</v>
      </c>
      <c r="J522" s="85" t="s">
        <v>1870</v>
      </c>
      <c r="K522" s="85" t="s">
        <v>1869</v>
      </c>
    </row>
    <row r="523" spans="1:11" ht="15" thickBot="1" x14ac:dyDescent="0.35">
      <c r="A523" s="84" t="s">
        <v>1587</v>
      </c>
      <c r="B523" s="84" t="s">
        <v>1684</v>
      </c>
      <c r="C523" s="85" t="s">
        <v>963</v>
      </c>
      <c r="D523" s="86" t="s">
        <v>921</v>
      </c>
      <c r="E523" s="87" t="s">
        <v>470</v>
      </c>
      <c r="F523" s="88" t="s">
        <v>470</v>
      </c>
      <c r="G523" s="89" t="s">
        <v>470</v>
      </c>
      <c r="H523" s="84" t="s">
        <v>471</v>
      </c>
      <c r="I523" s="85" t="s">
        <v>1869</v>
      </c>
      <c r="J523" s="85" t="s">
        <v>1870</v>
      </c>
      <c r="K523" s="85" t="s">
        <v>1869</v>
      </c>
    </row>
    <row r="524" spans="1:11" ht="15" thickBot="1" x14ac:dyDescent="0.35">
      <c r="A524" s="84" t="s">
        <v>1587</v>
      </c>
      <c r="B524" s="84" t="s">
        <v>1685</v>
      </c>
      <c r="C524" s="85" t="s">
        <v>963</v>
      </c>
      <c r="D524" s="86" t="s">
        <v>469</v>
      </c>
      <c r="E524" s="87" t="s">
        <v>470</v>
      </c>
      <c r="F524" s="88" t="s">
        <v>470</v>
      </c>
      <c r="G524" s="89" t="s">
        <v>470</v>
      </c>
      <c r="H524" s="84" t="s">
        <v>471</v>
      </c>
      <c r="I524" s="85" t="s">
        <v>1869</v>
      </c>
      <c r="J524" s="85" t="s">
        <v>1870</v>
      </c>
      <c r="K524" s="85" t="s">
        <v>1869</v>
      </c>
    </row>
    <row r="525" spans="1:11" ht="15" thickBot="1" x14ac:dyDescent="0.35">
      <c r="A525" s="84" t="s">
        <v>1587</v>
      </c>
      <c r="B525" s="84" t="s">
        <v>1686</v>
      </c>
      <c r="C525" s="85" t="s">
        <v>963</v>
      </c>
      <c r="D525" s="86" t="s">
        <v>472</v>
      </c>
      <c r="E525" s="87" t="s">
        <v>473</v>
      </c>
      <c r="F525" s="88" t="s">
        <v>473</v>
      </c>
      <c r="G525" s="89" t="s">
        <v>473</v>
      </c>
      <c r="H525" s="84" t="s">
        <v>474</v>
      </c>
      <c r="I525" s="85" t="s">
        <v>1869</v>
      </c>
      <c r="J525" s="85" t="s">
        <v>1870</v>
      </c>
      <c r="K525" s="85" t="s">
        <v>1869</v>
      </c>
    </row>
    <row r="526" spans="1:11" ht="15" thickBot="1" x14ac:dyDescent="0.35">
      <c r="A526" s="84" t="s">
        <v>1587</v>
      </c>
      <c r="B526" s="84" t="s">
        <v>1687</v>
      </c>
      <c r="C526" s="85" t="s">
        <v>963</v>
      </c>
      <c r="D526" s="86" t="s">
        <v>406</v>
      </c>
      <c r="E526" s="87" t="s">
        <v>269</v>
      </c>
      <c r="F526" s="88" t="s">
        <v>269</v>
      </c>
      <c r="G526" s="89" t="s">
        <v>269</v>
      </c>
      <c r="H526" s="84" t="s">
        <v>270</v>
      </c>
      <c r="I526" s="85" t="s">
        <v>1869</v>
      </c>
      <c r="J526" s="85" t="s">
        <v>1870</v>
      </c>
      <c r="K526" s="85" t="s">
        <v>1869</v>
      </c>
    </row>
    <row r="527" spans="1:11" ht="15" thickBot="1" x14ac:dyDescent="0.35">
      <c r="A527" s="84" t="s">
        <v>1587</v>
      </c>
      <c r="B527" s="84" t="s">
        <v>1688</v>
      </c>
      <c r="C527" s="85" t="s">
        <v>963</v>
      </c>
      <c r="D527" s="86" t="s">
        <v>367</v>
      </c>
      <c r="E527" s="87" t="s">
        <v>368</v>
      </c>
      <c r="F527" s="88" t="s">
        <v>368</v>
      </c>
      <c r="G527" s="89" t="s">
        <v>368</v>
      </c>
      <c r="H527" s="84" t="s">
        <v>369</v>
      </c>
      <c r="I527" s="85" t="s">
        <v>1869</v>
      </c>
      <c r="J527" s="85" t="s">
        <v>1870</v>
      </c>
      <c r="K527" s="85" t="s">
        <v>1869</v>
      </c>
    </row>
    <row r="528" spans="1:11" ht="15" thickBot="1" x14ac:dyDescent="0.35">
      <c r="A528" s="84" t="s">
        <v>1689</v>
      </c>
      <c r="B528" s="84" t="s">
        <v>1690</v>
      </c>
      <c r="C528" s="85" t="s">
        <v>928</v>
      </c>
      <c r="D528" s="86" t="s">
        <v>1691</v>
      </c>
      <c r="E528" s="87" t="s">
        <v>1692</v>
      </c>
      <c r="F528" s="88" t="s">
        <v>1692</v>
      </c>
      <c r="G528" s="89" t="s">
        <v>1692</v>
      </c>
      <c r="H528" s="84" t="s">
        <v>1693</v>
      </c>
      <c r="I528" s="85" t="s">
        <v>2103</v>
      </c>
      <c r="J528" s="85" t="s">
        <v>1870</v>
      </c>
      <c r="K528" s="85" t="s">
        <v>1869</v>
      </c>
    </row>
    <row r="529" spans="1:11" ht="15" thickBot="1" x14ac:dyDescent="0.35">
      <c r="A529" s="84" t="s">
        <v>1689</v>
      </c>
      <c r="B529" s="84" t="s">
        <v>1694</v>
      </c>
      <c r="C529" s="85" t="s">
        <v>932</v>
      </c>
      <c r="D529" s="86" t="s">
        <v>143</v>
      </c>
      <c r="E529" s="87" t="s">
        <v>144</v>
      </c>
      <c r="F529" s="88" t="s">
        <v>144</v>
      </c>
      <c r="G529" s="89" t="s">
        <v>144</v>
      </c>
      <c r="H529" s="84" t="s">
        <v>145</v>
      </c>
      <c r="I529" s="85" t="s">
        <v>1869</v>
      </c>
      <c r="J529" s="85" t="s">
        <v>1870</v>
      </c>
      <c r="K529" s="85" t="s">
        <v>1869</v>
      </c>
    </row>
    <row r="530" spans="1:11" ht="15" thickBot="1" x14ac:dyDescent="0.35">
      <c r="A530" s="84" t="s">
        <v>1689</v>
      </c>
      <c r="B530" s="84" t="s">
        <v>1695</v>
      </c>
      <c r="C530" s="85" t="s">
        <v>932</v>
      </c>
      <c r="D530" s="86" t="s">
        <v>498</v>
      </c>
      <c r="E530" s="87" t="s">
        <v>499</v>
      </c>
      <c r="F530" s="88" t="s">
        <v>499</v>
      </c>
      <c r="G530" s="89" t="s">
        <v>499</v>
      </c>
      <c r="H530" s="84" t="s">
        <v>500</v>
      </c>
      <c r="I530" s="85" t="s">
        <v>1869</v>
      </c>
      <c r="J530" s="85" t="s">
        <v>1870</v>
      </c>
      <c r="K530" s="85" t="s">
        <v>1869</v>
      </c>
    </row>
    <row r="531" spans="1:11" ht="15" thickBot="1" x14ac:dyDescent="0.35">
      <c r="A531" s="84" t="s">
        <v>1689</v>
      </c>
      <c r="B531" s="84" t="s">
        <v>1696</v>
      </c>
      <c r="C531" s="85" t="s">
        <v>932</v>
      </c>
      <c r="D531" s="86" t="s">
        <v>809</v>
      </c>
      <c r="E531" s="87" t="s">
        <v>499</v>
      </c>
      <c r="F531" s="88" t="s">
        <v>499</v>
      </c>
      <c r="G531" s="89" t="s">
        <v>499</v>
      </c>
      <c r="H531" s="84" t="s">
        <v>500</v>
      </c>
      <c r="I531" s="85" t="s">
        <v>1869</v>
      </c>
      <c r="J531" s="85" t="s">
        <v>1870</v>
      </c>
      <c r="K531" s="85" t="s">
        <v>1869</v>
      </c>
    </row>
    <row r="532" spans="1:11" ht="15" thickBot="1" x14ac:dyDescent="0.35">
      <c r="A532" s="84" t="s">
        <v>1689</v>
      </c>
      <c r="B532" s="84" t="s">
        <v>1697</v>
      </c>
      <c r="C532" s="85" t="s">
        <v>928</v>
      </c>
      <c r="D532" s="86" t="s">
        <v>772</v>
      </c>
      <c r="E532" s="87" t="s">
        <v>180</v>
      </c>
      <c r="F532" s="88" t="s">
        <v>180</v>
      </c>
      <c r="G532" s="89" t="s">
        <v>180</v>
      </c>
      <c r="H532" s="84" t="s">
        <v>181</v>
      </c>
      <c r="I532" s="85" t="s">
        <v>2104</v>
      </c>
      <c r="J532" s="85" t="s">
        <v>1870</v>
      </c>
      <c r="K532" s="85" t="s">
        <v>1869</v>
      </c>
    </row>
    <row r="533" spans="1:11" ht="15" thickBot="1" x14ac:dyDescent="0.35">
      <c r="A533" s="84" t="s">
        <v>1689</v>
      </c>
      <c r="B533" s="84" t="s">
        <v>1698</v>
      </c>
      <c r="C533" s="85" t="s">
        <v>928</v>
      </c>
      <c r="D533" s="86" t="s">
        <v>179</v>
      </c>
      <c r="E533" s="87" t="s">
        <v>180</v>
      </c>
      <c r="F533" s="88" t="s">
        <v>180</v>
      </c>
      <c r="G533" s="89" t="s">
        <v>180</v>
      </c>
      <c r="H533" s="84" t="s">
        <v>181</v>
      </c>
      <c r="I533" s="85" t="s">
        <v>2105</v>
      </c>
      <c r="J533" s="85" t="s">
        <v>1870</v>
      </c>
      <c r="K533" s="85" t="s">
        <v>1869</v>
      </c>
    </row>
    <row r="534" spans="1:11" ht="15" thickBot="1" x14ac:dyDescent="0.35">
      <c r="A534" s="84" t="s">
        <v>1689</v>
      </c>
      <c r="B534" s="84" t="s">
        <v>1699</v>
      </c>
      <c r="C534" s="85" t="s">
        <v>932</v>
      </c>
      <c r="D534" s="86" t="s">
        <v>1700</v>
      </c>
      <c r="E534" s="87" t="s">
        <v>144</v>
      </c>
      <c r="F534" s="88" t="s">
        <v>144</v>
      </c>
      <c r="G534" s="89">
        <v>521404</v>
      </c>
      <c r="H534" s="84" t="s">
        <v>2106</v>
      </c>
      <c r="I534" s="85" t="s">
        <v>1869</v>
      </c>
      <c r="J534" s="85" t="s">
        <v>1870</v>
      </c>
      <c r="K534" s="85" t="s">
        <v>1869</v>
      </c>
    </row>
    <row r="535" spans="1:11" ht="15" thickBot="1" x14ac:dyDescent="0.35">
      <c r="A535" s="84" t="s">
        <v>1689</v>
      </c>
      <c r="B535" s="84" t="s">
        <v>1701</v>
      </c>
      <c r="C535" s="85" t="s">
        <v>928</v>
      </c>
      <c r="D535" s="86" t="s">
        <v>1702</v>
      </c>
      <c r="E535" s="87" t="s">
        <v>499</v>
      </c>
      <c r="F535" s="88" t="s">
        <v>499</v>
      </c>
      <c r="G535" s="89" t="s">
        <v>499</v>
      </c>
      <c r="H535" s="84" t="s">
        <v>500</v>
      </c>
      <c r="I535" s="85" t="s">
        <v>2107</v>
      </c>
      <c r="J535" s="85" t="s">
        <v>1870</v>
      </c>
      <c r="K535" s="85" t="s">
        <v>1869</v>
      </c>
    </row>
    <row r="536" spans="1:11" ht="15" thickBot="1" x14ac:dyDescent="0.35">
      <c r="A536" s="84" t="s">
        <v>1689</v>
      </c>
      <c r="B536" s="84" t="s">
        <v>1703</v>
      </c>
      <c r="C536" s="85" t="s">
        <v>963</v>
      </c>
      <c r="D536" s="86" t="s">
        <v>643</v>
      </c>
      <c r="E536" s="87" t="s">
        <v>499</v>
      </c>
      <c r="F536" s="88" t="s">
        <v>499</v>
      </c>
      <c r="G536" s="89" t="s">
        <v>499</v>
      </c>
      <c r="H536" s="84" t="s">
        <v>500</v>
      </c>
      <c r="I536" s="85" t="s">
        <v>1869</v>
      </c>
      <c r="J536" s="85" t="s">
        <v>1870</v>
      </c>
      <c r="K536" s="85" t="s">
        <v>1869</v>
      </c>
    </row>
    <row r="537" spans="1:11" ht="15" thickBot="1" x14ac:dyDescent="0.35">
      <c r="A537" s="84" t="s">
        <v>1689</v>
      </c>
      <c r="B537" s="84" t="s">
        <v>1704</v>
      </c>
      <c r="C537" s="85" t="s">
        <v>963</v>
      </c>
      <c r="D537" s="86" t="s">
        <v>1705</v>
      </c>
      <c r="E537" s="87" t="s">
        <v>1706</v>
      </c>
      <c r="F537" s="88" t="s">
        <v>1706</v>
      </c>
      <c r="G537" s="89" t="s">
        <v>1706</v>
      </c>
      <c r="H537" s="84" t="s">
        <v>1707</v>
      </c>
      <c r="I537" s="85" t="s">
        <v>1869</v>
      </c>
      <c r="J537" s="85" t="s">
        <v>1870</v>
      </c>
      <c r="K537" s="85" t="s">
        <v>1869</v>
      </c>
    </row>
    <row r="538" spans="1:11" ht="15" thickBot="1" x14ac:dyDescent="0.35">
      <c r="A538" s="84" t="s">
        <v>1708</v>
      </c>
      <c r="B538" s="84" t="s">
        <v>1709</v>
      </c>
      <c r="C538" s="85" t="s">
        <v>963</v>
      </c>
      <c r="D538" s="86" t="s">
        <v>755</v>
      </c>
      <c r="E538" s="87" t="s">
        <v>740</v>
      </c>
      <c r="F538" s="88" t="s">
        <v>740</v>
      </c>
      <c r="G538" s="89" t="s">
        <v>740</v>
      </c>
      <c r="H538" s="84" t="s">
        <v>741</v>
      </c>
      <c r="I538" s="85" t="s">
        <v>1869</v>
      </c>
      <c r="J538" s="85" t="s">
        <v>1870</v>
      </c>
      <c r="K538" s="85" t="s">
        <v>1869</v>
      </c>
    </row>
    <row r="539" spans="1:11" ht="15" thickBot="1" x14ac:dyDescent="0.35">
      <c r="A539" s="84" t="s">
        <v>1708</v>
      </c>
      <c r="B539" s="84" t="s">
        <v>1710</v>
      </c>
      <c r="C539" s="85" t="s">
        <v>932</v>
      </c>
      <c r="D539" s="86" t="s">
        <v>739</v>
      </c>
      <c r="E539" s="87" t="s">
        <v>740</v>
      </c>
      <c r="F539" s="88" t="s">
        <v>740</v>
      </c>
      <c r="G539" s="89" t="s">
        <v>740</v>
      </c>
      <c r="H539" s="84" t="s">
        <v>741</v>
      </c>
      <c r="I539" s="85" t="s">
        <v>1869</v>
      </c>
      <c r="J539" s="85" t="s">
        <v>1870</v>
      </c>
      <c r="K539" s="85" t="s">
        <v>1869</v>
      </c>
    </row>
    <row r="540" spans="1:11" ht="15" thickBot="1" x14ac:dyDescent="0.35">
      <c r="A540" s="84" t="s">
        <v>1708</v>
      </c>
      <c r="B540" s="84" t="s">
        <v>1711</v>
      </c>
      <c r="C540" s="85" t="s">
        <v>928</v>
      </c>
      <c r="D540" s="86" t="s">
        <v>449</v>
      </c>
      <c r="E540" s="87" t="s">
        <v>450</v>
      </c>
      <c r="F540" s="88" t="s">
        <v>450</v>
      </c>
      <c r="G540" s="89" t="s">
        <v>450</v>
      </c>
      <c r="H540" s="84" t="s">
        <v>451</v>
      </c>
      <c r="I540" s="85" t="s">
        <v>2108</v>
      </c>
      <c r="J540" s="85" t="s">
        <v>1871</v>
      </c>
      <c r="K540" s="85" t="s">
        <v>2109</v>
      </c>
    </row>
    <row r="541" spans="1:11" ht="15" thickBot="1" x14ac:dyDescent="0.35">
      <c r="A541" s="84" t="s">
        <v>1708</v>
      </c>
      <c r="B541" s="84" t="s">
        <v>1712</v>
      </c>
      <c r="C541" s="85" t="s">
        <v>928</v>
      </c>
      <c r="D541" s="86" t="s">
        <v>280</v>
      </c>
      <c r="E541" s="87" t="s">
        <v>157</v>
      </c>
      <c r="F541" s="88" t="s">
        <v>157</v>
      </c>
      <c r="G541" s="89" t="s">
        <v>157</v>
      </c>
      <c r="H541" s="84" t="s">
        <v>158</v>
      </c>
      <c r="I541" s="85" t="s">
        <v>2110</v>
      </c>
      <c r="J541" s="85" t="s">
        <v>1871</v>
      </c>
      <c r="K541" s="85" t="s">
        <v>1908</v>
      </c>
    </row>
    <row r="542" spans="1:11" ht="15" thickBot="1" x14ac:dyDescent="0.35">
      <c r="A542" s="84" t="s">
        <v>1708</v>
      </c>
      <c r="B542" s="84" t="s">
        <v>1713</v>
      </c>
      <c r="C542" s="85" t="s">
        <v>928</v>
      </c>
      <c r="D542" s="86" t="s">
        <v>1714</v>
      </c>
      <c r="E542" s="87" t="s">
        <v>740</v>
      </c>
      <c r="F542" s="88" t="s">
        <v>740</v>
      </c>
      <c r="G542" s="89" t="s">
        <v>740</v>
      </c>
      <c r="H542" s="84" t="s">
        <v>741</v>
      </c>
      <c r="I542" s="85" t="s">
        <v>2111</v>
      </c>
      <c r="J542" s="85" t="s">
        <v>1871</v>
      </c>
      <c r="K542" s="85" t="s">
        <v>1908</v>
      </c>
    </row>
    <row r="543" spans="1:11" ht="15" thickBot="1" x14ac:dyDescent="0.35">
      <c r="A543" s="84" t="s">
        <v>1708</v>
      </c>
      <c r="B543" s="84" t="s">
        <v>1715</v>
      </c>
      <c r="C543" s="85" t="s">
        <v>976</v>
      </c>
      <c r="D543" s="86" t="s">
        <v>255</v>
      </c>
      <c r="E543" s="87" t="s">
        <v>256</v>
      </c>
      <c r="F543" s="88" t="s">
        <v>256</v>
      </c>
      <c r="G543" s="89" t="s">
        <v>256</v>
      </c>
      <c r="H543" s="84" t="s">
        <v>257</v>
      </c>
      <c r="I543" s="85" t="s">
        <v>1869</v>
      </c>
      <c r="J543" s="85" t="s">
        <v>1870</v>
      </c>
      <c r="K543" s="85" t="s">
        <v>1869</v>
      </c>
    </row>
    <row r="544" spans="1:11" ht="15" thickBot="1" x14ac:dyDescent="0.35">
      <c r="A544" s="84" t="s">
        <v>1708</v>
      </c>
      <c r="B544" s="84" t="s">
        <v>1716</v>
      </c>
      <c r="C544" s="85" t="s">
        <v>932</v>
      </c>
      <c r="D544" s="86" t="s">
        <v>258</v>
      </c>
      <c r="E544" s="87" t="s">
        <v>256</v>
      </c>
      <c r="F544" s="88" t="s">
        <v>256</v>
      </c>
      <c r="G544" s="89" t="s">
        <v>256</v>
      </c>
      <c r="H544" s="84" t="s">
        <v>257</v>
      </c>
      <c r="I544" s="85" t="s">
        <v>1869</v>
      </c>
      <c r="J544" s="85" t="s">
        <v>1870</v>
      </c>
      <c r="K544" s="85" t="s">
        <v>1869</v>
      </c>
    </row>
    <row r="545" spans="1:11" ht="15" thickBot="1" x14ac:dyDescent="0.35">
      <c r="A545" s="84" t="s">
        <v>1708</v>
      </c>
      <c r="B545" s="84" t="s">
        <v>1717</v>
      </c>
      <c r="C545" s="85" t="s">
        <v>932</v>
      </c>
      <c r="D545" s="86" t="s">
        <v>633</v>
      </c>
      <c r="E545" s="87" t="s">
        <v>256</v>
      </c>
      <c r="F545" s="88" t="s">
        <v>256</v>
      </c>
      <c r="G545" s="89" t="s">
        <v>256</v>
      </c>
      <c r="H545" s="84" t="s">
        <v>257</v>
      </c>
      <c r="I545" s="85" t="s">
        <v>1869</v>
      </c>
      <c r="J545" s="85" t="s">
        <v>1870</v>
      </c>
      <c r="K545" s="85" t="s">
        <v>1869</v>
      </c>
    </row>
    <row r="546" spans="1:11" ht="15" thickBot="1" x14ac:dyDescent="0.35">
      <c r="A546" s="84" t="s">
        <v>1708</v>
      </c>
      <c r="B546" s="84" t="s">
        <v>1718</v>
      </c>
      <c r="C546" s="85" t="s">
        <v>928</v>
      </c>
      <c r="D546" s="86" t="s">
        <v>785</v>
      </c>
      <c r="E546" s="87" t="s">
        <v>786</v>
      </c>
      <c r="F546" s="88" t="s">
        <v>786</v>
      </c>
      <c r="G546" s="89" t="s">
        <v>786</v>
      </c>
      <c r="H546" s="84" t="s">
        <v>787</v>
      </c>
      <c r="I546" s="85" t="s">
        <v>2112</v>
      </c>
      <c r="J546" s="85" t="s">
        <v>1870</v>
      </c>
      <c r="K546" s="85" t="s">
        <v>1869</v>
      </c>
    </row>
    <row r="547" spans="1:11" ht="15" thickBot="1" x14ac:dyDescent="0.35">
      <c r="A547" s="84" t="s">
        <v>1708</v>
      </c>
      <c r="B547" s="84" t="s">
        <v>1719</v>
      </c>
      <c r="C547" s="85" t="s">
        <v>928</v>
      </c>
      <c r="D547" s="86" t="s">
        <v>446</v>
      </c>
      <c r="E547" s="87" t="s">
        <v>447</v>
      </c>
      <c r="F547" s="88" t="s">
        <v>447</v>
      </c>
      <c r="G547" s="89" t="s">
        <v>447</v>
      </c>
      <c r="H547" s="84" t="s">
        <v>448</v>
      </c>
      <c r="I547" s="85" t="s">
        <v>2113</v>
      </c>
      <c r="J547" s="85" t="s">
        <v>1870</v>
      </c>
      <c r="K547" s="85" t="s">
        <v>1869</v>
      </c>
    </row>
    <row r="548" spans="1:11" ht="15" thickBot="1" x14ac:dyDescent="0.35">
      <c r="A548" s="84" t="s">
        <v>1708</v>
      </c>
      <c r="B548" s="84" t="s">
        <v>1720</v>
      </c>
      <c r="C548" s="85" t="s">
        <v>928</v>
      </c>
      <c r="D548" s="86" t="s">
        <v>1721</v>
      </c>
      <c r="E548" s="87" t="s">
        <v>450</v>
      </c>
      <c r="F548" s="88" t="s">
        <v>450</v>
      </c>
      <c r="G548" s="89" t="s">
        <v>450</v>
      </c>
      <c r="H548" s="84" t="s">
        <v>451</v>
      </c>
      <c r="I548" s="85" t="s">
        <v>2114</v>
      </c>
      <c r="J548" s="85" t="s">
        <v>1870</v>
      </c>
      <c r="K548" s="85" t="s">
        <v>1869</v>
      </c>
    </row>
    <row r="549" spans="1:11" ht="15" thickBot="1" x14ac:dyDescent="0.35">
      <c r="A549" s="84" t="s">
        <v>1708</v>
      </c>
      <c r="B549" s="84" t="s">
        <v>1722</v>
      </c>
      <c r="C549" s="85" t="s">
        <v>976</v>
      </c>
      <c r="D549" s="86" t="s">
        <v>1723</v>
      </c>
      <c r="E549" s="87" t="s">
        <v>450</v>
      </c>
      <c r="F549" s="88" t="s">
        <v>450</v>
      </c>
      <c r="G549" s="89" t="s">
        <v>450</v>
      </c>
      <c r="H549" s="84" t="s">
        <v>451</v>
      </c>
      <c r="I549" s="85" t="s">
        <v>1869</v>
      </c>
      <c r="J549" s="85" t="s">
        <v>1870</v>
      </c>
      <c r="K549" s="85" t="s">
        <v>1869</v>
      </c>
    </row>
    <row r="550" spans="1:11" ht="15" thickBot="1" x14ac:dyDescent="0.35">
      <c r="A550" s="84" t="s">
        <v>1708</v>
      </c>
      <c r="B550" s="84" t="s">
        <v>1724</v>
      </c>
      <c r="C550" s="85" t="s">
        <v>928</v>
      </c>
      <c r="D550" s="86" t="s">
        <v>788</v>
      </c>
      <c r="E550" s="87" t="s">
        <v>450</v>
      </c>
      <c r="F550" s="88" t="s">
        <v>450</v>
      </c>
      <c r="G550" s="89" t="s">
        <v>450</v>
      </c>
      <c r="H550" s="84" t="s">
        <v>451</v>
      </c>
      <c r="I550" s="85" t="s">
        <v>2115</v>
      </c>
      <c r="J550" s="85" t="s">
        <v>1870</v>
      </c>
      <c r="K550" s="85" t="s">
        <v>1869</v>
      </c>
    </row>
    <row r="551" spans="1:11" ht="15" thickBot="1" x14ac:dyDescent="0.35">
      <c r="A551" s="84" t="s">
        <v>1708</v>
      </c>
      <c r="B551" s="84" t="s">
        <v>1725</v>
      </c>
      <c r="C551" s="85" t="s">
        <v>928</v>
      </c>
      <c r="D551" s="86" t="s">
        <v>789</v>
      </c>
      <c r="E551" s="87" t="s">
        <v>450</v>
      </c>
      <c r="F551" s="88" t="s">
        <v>450</v>
      </c>
      <c r="G551" s="89" t="s">
        <v>450</v>
      </c>
      <c r="H551" s="84" t="s">
        <v>451</v>
      </c>
      <c r="I551" s="85" t="s">
        <v>2116</v>
      </c>
      <c r="J551" s="85" t="s">
        <v>1870</v>
      </c>
      <c r="K551" s="85" t="s">
        <v>1869</v>
      </c>
    </row>
    <row r="552" spans="1:11" ht="15" thickBot="1" x14ac:dyDescent="0.35">
      <c r="A552" s="84" t="s">
        <v>1708</v>
      </c>
      <c r="B552" s="84" t="s">
        <v>1726</v>
      </c>
      <c r="C552" s="85" t="s">
        <v>928</v>
      </c>
      <c r="D552" s="86" t="s">
        <v>822</v>
      </c>
      <c r="E552" s="87" t="s">
        <v>450</v>
      </c>
      <c r="F552" s="88" t="s">
        <v>450</v>
      </c>
      <c r="G552" s="89" t="s">
        <v>450</v>
      </c>
      <c r="H552" s="84" t="s">
        <v>451</v>
      </c>
      <c r="I552" s="85" t="s">
        <v>2117</v>
      </c>
      <c r="J552" s="85" t="s">
        <v>1870</v>
      </c>
      <c r="K552" s="85" t="s">
        <v>1869</v>
      </c>
    </row>
    <row r="553" spans="1:11" ht="15" thickBot="1" x14ac:dyDescent="0.35">
      <c r="A553" s="84" t="s">
        <v>1708</v>
      </c>
      <c r="B553" s="84" t="s">
        <v>1727</v>
      </c>
      <c r="C553" s="85" t="s">
        <v>928</v>
      </c>
      <c r="D553" s="86" t="s">
        <v>1728</v>
      </c>
      <c r="E553" s="87" t="s">
        <v>450</v>
      </c>
      <c r="F553" s="88" t="s">
        <v>450</v>
      </c>
      <c r="G553" s="89" t="s">
        <v>450</v>
      </c>
      <c r="H553" s="84" t="s">
        <v>451</v>
      </c>
      <c r="I553" s="85" t="s">
        <v>2118</v>
      </c>
      <c r="J553" s="85" t="s">
        <v>1870</v>
      </c>
      <c r="K553" s="85" t="s">
        <v>1869</v>
      </c>
    </row>
    <row r="554" spans="1:11" ht="15" thickBot="1" x14ac:dyDescent="0.35">
      <c r="A554" s="84" t="s">
        <v>1708</v>
      </c>
      <c r="B554" s="84" t="s">
        <v>1729</v>
      </c>
      <c r="C554" s="85" t="s">
        <v>932</v>
      </c>
      <c r="D554" s="86" t="s">
        <v>734</v>
      </c>
      <c r="E554" s="87" t="s">
        <v>450</v>
      </c>
      <c r="F554" s="88" t="s">
        <v>450</v>
      </c>
      <c r="G554" s="89" t="s">
        <v>450</v>
      </c>
      <c r="H554" s="84" t="s">
        <v>451</v>
      </c>
      <c r="I554" s="85" t="s">
        <v>1869</v>
      </c>
      <c r="J554" s="85" t="s">
        <v>1870</v>
      </c>
      <c r="K554" s="85" t="s">
        <v>1869</v>
      </c>
    </row>
    <row r="555" spans="1:11" ht="15" thickBot="1" x14ac:dyDescent="0.35">
      <c r="A555" s="84" t="s">
        <v>1708</v>
      </c>
      <c r="B555" s="84" t="s">
        <v>1730</v>
      </c>
      <c r="C555" s="85" t="s">
        <v>932</v>
      </c>
      <c r="D555" s="86" t="s">
        <v>735</v>
      </c>
      <c r="E555" s="87" t="s">
        <v>450</v>
      </c>
      <c r="F555" s="88" t="s">
        <v>450</v>
      </c>
      <c r="G555" s="89" t="s">
        <v>450</v>
      </c>
      <c r="H555" s="84" t="s">
        <v>451</v>
      </c>
      <c r="I555" s="85" t="s">
        <v>1869</v>
      </c>
      <c r="J555" s="85" t="s">
        <v>1870</v>
      </c>
      <c r="K555" s="85" t="s">
        <v>1869</v>
      </c>
    </row>
    <row r="556" spans="1:11" ht="15" thickBot="1" x14ac:dyDescent="0.35">
      <c r="A556" s="84" t="s">
        <v>1708</v>
      </c>
      <c r="B556" s="84" t="s">
        <v>1731</v>
      </c>
      <c r="C556" s="85" t="s">
        <v>928</v>
      </c>
      <c r="D556" s="86" t="s">
        <v>1732</v>
      </c>
      <c r="E556" s="87" t="s">
        <v>450</v>
      </c>
      <c r="F556" s="88" t="s">
        <v>450</v>
      </c>
      <c r="G556" s="89" t="s">
        <v>450</v>
      </c>
      <c r="H556" s="84" t="s">
        <v>451</v>
      </c>
      <c r="I556" s="85" t="s">
        <v>2119</v>
      </c>
      <c r="J556" s="85" t="s">
        <v>1870</v>
      </c>
      <c r="K556" s="85" t="s">
        <v>1869</v>
      </c>
    </row>
    <row r="557" spans="1:11" ht="15" thickBot="1" x14ac:dyDescent="0.35">
      <c r="A557" s="84" t="s">
        <v>1708</v>
      </c>
      <c r="B557" s="84" t="s">
        <v>1733</v>
      </c>
      <c r="C557" s="85" t="s">
        <v>928</v>
      </c>
      <c r="D557" s="86" t="s">
        <v>1734</v>
      </c>
      <c r="E557" s="87" t="s">
        <v>450</v>
      </c>
      <c r="F557" s="88" t="s">
        <v>450</v>
      </c>
      <c r="G557" s="89" t="s">
        <v>450</v>
      </c>
      <c r="H557" s="84" t="s">
        <v>451</v>
      </c>
      <c r="I557" s="85" t="s">
        <v>2120</v>
      </c>
      <c r="J557" s="85" t="s">
        <v>1870</v>
      </c>
      <c r="K557" s="85" t="s">
        <v>1869</v>
      </c>
    </row>
    <row r="558" spans="1:11" ht="15" thickBot="1" x14ac:dyDescent="0.35">
      <c r="A558" s="84" t="s">
        <v>1708</v>
      </c>
      <c r="B558" s="84" t="s">
        <v>1735</v>
      </c>
      <c r="C558" s="85" t="s">
        <v>928</v>
      </c>
      <c r="D558" s="86" t="s">
        <v>790</v>
      </c>
      <c r="E558" s="87" t="s">
        <v>450</v>
      </c>
      <c r="F558" s="88" t="s">
        <v>450</v>
      </c>
      <c r="G558" s="89" t="s">
        <v>450</v>
      </c>
      <c r="H558" s="84" t="s">
        <v>451</v>
      </c>
      <c r="I558" s="85" t="s">
        <v>2121</v>
      </c>
      <c r="J558" s="85" t="s">
        <v>1870</v>
      </c>
      <c r="K558" s="85" t="s">
        <v>1869</v>
      </c>
    </row>
    <row r="559" spans="1:11" ht="15" thickBot="1" x14ac:dyDescent="0.35">
      <c r="A559" s="84" t="s">
        <v>1708</v>
      </c>
      <c r="B559" s="84" t="s">
        <v>1736</v>
      </c>
      <c r="C559" s="85" t="s">
        <v>928</v>
      </c>
      <c r="D559" s="86" t="s">
        <v>1737</v>
      </c>
      <c r="E559" s="87" t="s">
        <v>450</v>
      </c>
      <c r="F559" s="88" t="s">
        <v>450</v>
      </c>
      <c r="G559" s="89" t="s">
        <v>450</v>
      </c>
      <c r="H559" s="84" t="s">
        <v>451</v>
      </c>
      <c r="I559" s="85" t="s">
        <v>2122</v>
      </c>
      <c r="J559" s="85" t="s">
        <v>1870</v>
      </c>
      <c r="K559" s="85" t="s">
        <v>1869</v>
      </c>
    </row>
    <row r="560" spans="1:11" ht="15" thickBot="1" x14ac:dyDescent="0.35">
      <c r="A560" s="84" t="s">
        <v>1708</v>
      </c>
      <c r="B560" s="84" t="s">
        <v>1738</v>
      </c>
      <c r="C560" s="85" t="s">
        <v>928</v>
      </c>
      <c r="D560" s="86" t="s">
        <v>1739</v>
      </c>
      <c r="E560" s="87" t="s">
        <v>450</v>
      </c>
      <c r="F560" s="88" t="s">
        <v>450</v>
      </c>
      <c r="G560" s="89" t="s">
        <v>450</v>
      </c>
      <c r="H560" s="84" t="s">
        <v>451</v>
      </c>
      <c r="I560" s="85" t="s">
        <v>2123</v>
      </c>
      <c r="J560" s="85" t="s">
        <v>1870</v>
      </c>
      <c r="K560" s="85" t="s">
        <v>1869</v>
      </c>
    </row>
    <row r="561" spans="1:11" ht="15" thickBot="1" x14ac:dyDescent="0.35">
      <c r="A561" s="84" t="s">
        <v>1708</v>
      </c>
      <c r="B561" s="84" t="s">
        <v>1740</v>
      </c>
      <c r="C561" s="85" t="s">
        <v>928</v>
      </c>
      <c r="D561" s="86" t="s">
        <v>1741</v>
      </c>
      <c r="E561" s="87" t="s">
        <v>450</v>
      </c>
      <c r="F561" s="88" t="s">
        <v>450</v>
      </c>
      <c r="G561" s="89" t="s">
        <v>450</v>
      </c>
      <c r="H561" s="84" t="s">
        <v>451</v>
      </c>
      <c r="I561" s="85" t="s">
        <v>2124</v>
      </c>
      <c r="J561" s="85" t="s">
        <v>1870</v>
      </c>
      <c r="K561" s="85" t="s">
        <v>1869</v>
      </c>
    </row>
    <row r="562" spans="1:11" ht="15" thickBot="1" x14ac:dyDescent="0.35">
      <c r="A562" s="84" t="s">
        <v>1708</v>
      </c>
      <c r="B562" s="84" t="s">
        <v>1742</v>
      </c>
      <c r="C562" s="85" t="s">
        <v>928</v>
      </c>
      <c r="D562" s="86" t="s">
        <v>1743</v>
      </c>
      <c r="E562" s="87" t="s">
        <v>450</v>
      </c>
      <c r="F562" s="88" t="s">
        <v>450</v>
      </c>
      <c r="G562" s="89" t="s">
        <v>450</v>
      </c>
      <c r="H562" s="84" t="s">
        <v>451</v>
      </c>
      <c r="I562" s="85" t="s">
        <v>2125</v>
      </c>
      <c r="J562" s="85" t="s">
        <v>1870</v>
      </c>
      <c r="K562" s="85" t="s">
        <v>1869</v>
      </c>
    </row>
    <row r="563" spans="1:11" ht="15" thickBot="1" x14ac:dyDescent="0.35">
      <c r="A563" s="84" t="s">
        <v>1708</v>
      </c>
      <c r="B563" s="84" t="s">
        <v>1744</v>
      </c>
      <c r="C563" s="85" t="s">
        <v>928</v>
      </c>
      <c r="D563" s="86" t="s">
        <v>1745</v>
      </c>
      <c r="E563" s="87" t="s">
        <v>450</v>
      </c>
      <c r="F563" s="88" t="s">
        <v>450</v>
      </c>
      <c r="G563" s="89" t="s">
        <v>450</v>
      </c>
      <c r="H563" s="84" t="s">
        <v>451</v>
      </c>
      <c r="I563" s="85" t="s">
        <v>2126</v>
      </c>
      <c r="J563" s="85" t="s">
        <v>1870</v>
      </c>
      <c r="K563" s="85" t="s">
        <v>1869</v>
      </c>
    </row>
    <row r="564" spans="1:11" ht="15" thickBot="1" x14ac:dyDescent="0.35">
      <c r="A564" s="84" t="s">
        <v>1708</v>
      </c>
      <c r="B564" s="84" t="s">
        <v>1746</v>
      </c>
      <c r="C564" s="85" t="s">
        <v>976</v>
      </c>
      <c r="D564" s="86" t="s">
        <v>156</v>
      </c>
      <c r="E564" s="87" t="s">
        <v>157</v>
      </c>
      <c r="F564" s="88" t="s">
        <v>157</v>
      </c>
      <c r="G564" s="89" t="s">
        <v>157</v>
      </c>
      <c r="H564" s="84" t="s">
        <v>158</v>
      </c>
      <c r="I564" s="85" t="s">
        <v>1869</v>
      </c>
      <c r="J564" s="85" t="s">
        <v>1870</v>
      </c>
      <c r="K564" s="85" t="s">
        <v>1869</v>
      </c>
    </row>
    <row r="565" spans="1:11" ht="15" thickBot="1" x14ac:dyDescent="0.35">
      <c r="A565" s="84" t="s">
        <v>1708</v>
      </c>
      <c r="B565" s="84" t="s">
        <v>1747</v>
      </c>
      <c r="C565" s="85" t="s">
        <v>932</v>
      </c>
      <c r="D565" s="86" t="s">
        <v>736</v>
      </c>
      <c r="E565" s="87" t="s">
        <v>157</v>
      </c>
      <c r="F565" s="88" t="s">
        <v>157</v>
      </c>
      <c r="G565" s="89" t="s">
        <v>157</v>
      </c>
      <c r="H565" s="84" t="s">
        <v>158</v>
      </c>
      <c r="I565" s="85" t="s">
        <v>1869</v>
      </c>
      <c r="J565" s="85" t="s">
        <v>1870</v>
      </c>
      <c r="K565" s="85" t="s">
        <v>1869</v>
      </c>
    </row>
    <row r="566" spans="1:11" ht="15" thickBot="1" x14ac:dyDescent="0.35">
      <c r="A566" s="84" t="s">
        <v>1708</v>
      </c>
      <c r="B566" s="84" t="s">
        <v>1748</v>
      </c>
      <c r="C566" s="85" t="s">
        <v>932</v>
      </c>
      <c r="D566" s="86" t="s">
        <v>737</v>
      </c>
      <c r="E566" s="87" t="s">
        <v>157</v>
      </c>
      <c r="F566" s="88" t="s">
        <v>157</v>
      </c>
      <c r="G566" s="89" t="s">
        <v>157</v>
      </c>
      <c r="H566" s="84" t="s">
        <v>158</v>
      </c>
      <c r="I566" s="85" t="s">
        <v>1869</v>
      </c>
      <c r="J566" s="85" t="s">
        <v>1870</v>
      </c>
      <c r="K566" s="85" t="s">
        <v>1869</v>
      </c>
    </row>
    <row r="567" spans="1:11" ht="15" thickBot="1" x14ac:dyDescent="0.35">
      <c r="A567" s="84" t="s">
        <v>1708</v>
      </c>
      <c r="B567" s="84" t="s">
        <v>1749</v>
      </c>
      <c r="C567" s="85" t="s">
        <v>932</v>
      </c>
      <c r="D567" s="86" t="s">
        <v>159</v>
      </c>
      <c r="E567" s="87" t="s">
        <v>157</v>
      </c>
      <c r="F567" s="88" t="s">
        <v>157</v>
      </c>
      <c r="G567" s="89" t="s">
        <v>157</v>
      </c>
      <c r="H567" s="84" t="s">
        <v>158</v>
      </c>
      <c r="I567" s="85" t="s">
        <v>1869</v>
      </c>
      <c r="J567" s="85" t="s">
        <v>1870</v>
      </c>
      <c r="K567" s="85" t="s">
        <v>1869</v>
      </c>
    </row>
    <row r="568" spans="1:11" ht="15" thickBot="1" x14ac:dyDescent="0.35">
      <c r="A568" s="84" t="s">
        <v>1708</v>
      </c>
      <c r="B568" s="84" t="s">
        <v>1750</v>
      </c>
      <c r="C568" s="85" t="s">
        <v>932</v>
      </c>
      <c r="D568" s="86" t="s">
        <v>738</v>
      </c>
      <c r="E568" s="87" t="s">
        <v>157</v>
      </c>
      <c r="F568" s="88" t="s">
        <v>157</v>
      </c>
      <c r="G568" s="89" t="s">
        <v>157</v>
      </c>
      <c r="H568" s="84" t="s">
        <v>158</v>
      </c>
      <c r="I568" s="85" t="s">
        <v>1869</v>
      </c>
      <c r="J568" s="85" t="s">
        <v>1870</v>
      </c>
      <c r="K568" s="85" t="s">
        <v>1869</v>
      </c>
    </row>
    <row r="569" spans="1:11" ht="15" thickBot="1" x14ac:dyDescent="0.35">
      <c r="A569" s="84" t="s">
        <v>1708</v>
      </c>
      <c r="B569" s="84" t="s">
        <v>1751</v>
      </c>
      <c r="C569" s="85" t="s">
        <v>928</v>
      </c>
      <c r="D569" s="86" t="s">
        <v>1752</v>
      </c>
      <c r="E569" s="87" t="s">
        <v>157</v>
      </c>
      <c r="F569" s="88" t="s">
        <v>157</v>
      </c>
      <c r="G569" s="89" t="s">
        <v>157</v>
      </c>
      <c r="H569" s="84" t="s">
        <v>158</v>
      </c>
      <c r="I569" s="85" t="s">
        <v>2127</v>
      </c>
      <c r="J569" s="85" t="s">
        <v>1870</v>
      </c>
      <c r="K569" s="85" t="s">
        <v>1869</v>
      </c>
    </row>
    <row r="570" spans="1:11" ht="15" thickBot="1" x14ac:dyDescent="0.35">
      <c r="A570" s="84" t="s">
        <v>1708</v>
      </c>
      <c r="B570" s="84" t="s">
        <v>1753</v>
      </c>
      <c r="C570" s="85" t="s">
        <v>932</v>
      </c>
      <c r="D570" s="86" t="s">
        <v>160</v>
      </c>
      <c r="E570" s="87" t="s">
        <v>157</v>
      </c>
      <c r="F570" s="88" t="s">
        <v>157</v>
      </c>
      <c r="G570" s="89" t="s">
        <v>157</v>
      </c>
      <c r="H570" s="84" t="s">
        <v>158</v>
      </c>
      <c r="I570" s="85" t="s">
        <v>1869</v>
      </c>
      <c r="J570" s="85" t="s">
        <v>1870</v>
      </c>
      <c r="K570" s="85" t="s">
        <v>1869</v>
      </c>
    </row>
    <row r="571" spans="1:11" ht="15" thickBot="1" x14ac:dyDescent="0.35">
      <c r="A571" s="84" t="s">
        <v>1708</v>
      </c>
      <c r="B571" s="84" t="s">
        <v>1754</v>
      </c>
      <c r="C571" s="85" t="s">
        <v>928</v>
      </c>
      <c r="D571" s="86" t="s">
        <v>1755</v>
      </c>
      <c r="E571" s="87" t="s">
        <v>1756</v>
      </c>
      <c r="F571" s="88" t="s">
        <v>1756</v>
      </c>
      <c r="G571" s="89" t="s">
        <v>1756</v>
      </c>
      <c r="H571" s="84" t="s">
        <v>1757</v>
      </c>
      <c r="I571" s="85" t="s">
        <v>2128</v>
      </c>
      <c r="J571" s="85" t="s">
        <v>1870</v>
      </c>
      <c r="K571" s="85" t="s">
        <v>1869</v>
      </c>
    </row>
    <row r="572" spans="1:11" ht="15" thickBot="1" x14ac:dyDescent="0.35">
      <c r="A572" s="84" t="s">
        <v>1708</v>
      </c>
      <c r="B572" s="84" t="s">
        <v>1758</v>
      </c>
      <c r="C572" s="85" t="s">
        <v>928</v>
      </c>
      <c r="D572" s="86" t="s">
        <v>282</v>
      </c>
      <c r="E572" s="87" t="s">
        <v>283</v>
      </c>
      <c r="F572" s="88" t="s">
        <v>283</v>
      </c>
      <c r="G572" s="89" t="s">
        <v>283</v>
      </c>
      <c r="H572" s="84" t="s">
        <v>284</v>
      </c>
      <c r="I572" s="85" t="s">
        <v>2129</v>
      </c>
      <c r="J572" s="85" t="s">
        <v>1870</v>
      </c>
      <c r="K572" s="85" t="s">
        <v>1869</v>
      </c>
    </row>
    <row r="573" spans="1:11" ht="15" thickBot="1" x14ac:dyDescent="0.35">
      <c r="A573" s="84" t="s">
        <v>1708</v>
      </c>
      <c r="B573" s="84" t="s">
        <v>1759</v>
      </c>
      <c r="C573" s="85" t="s">
        <v>928</v>
      </c>
      <c r="D573" s="86" t="s">
        <v>285</v>
      </c>
      <c r="E573" s="87" t="s">
        <v>286</v>
      </c>
      <c r="F573" s="88" t="s">
        <v>286</v>
      </c>
      <c r="G573" s="89" t="s">
        <v>286</v>
      </c>
      <c r="H573" s="84" t="s">
        <v>287</v>
      </c>
      <c r="I573" s="85" t="s">
        <v>2130</v>
      </c>
      <c r="J573" s="85" t="s">
        <v>1870</v>
      </c>
      <c r="K573" s="85" t="s">
        <v>1869</v>
      </c>
    </row>
    <row r="574" spans="1:11" ht="15" thickBot="1" x14ac:dyDescent="0.35">
      <c r="A574" s="84" t="s">
        <v>1708</v>
      </c>
      <c r="B574" s="84" t="s">
        <v>1760</v>
      </c>
      <c r="C574" s="85" t="s">
        <v>928</v>
      </c>
      <c r="D574" s="86" t="s">
        <v>1761</v>
      </c>
      <c r="E574" s="87" t="s">
        <v>740</v>
      </c>
      <c r="F574" s="88" t="s">
        <v>740</v>
      </c>
      <c r="G574" s="89" t="s">
        <v>740</v>
      </c>
      <c r="H574" s="84" t="s">
        <v>741</v>
      </c>
      <c r="I574" s="85" t="s">
        <v>2131</v>
      </c>
      <c r="J574" s="85" t="s">
        <v>1871</v>
      </c>
      <c r="K574" s="85" t="s">
        <v>1908</v>
      </c>
    </row>
    <row r="575" spans="1:11" ht="15" thickBot="1" x14ac:dyDescent="0.35">
      <c r="A575" s="84" t="s">
        <v>1708</v>
      </c>
      <c r="B575" s="84" t="s">
        <v>1762</v>
      </c>
      <c r="C575" s="85" t="s">
        <v>928</v>
      </c>
      <c r="D575" s="86" t="s">
        <v>1763</v>
      </c>
      <c r="E575" s="87" t="s">
        <v>740</v>
      </c>
      <c r="F575" s="88" t="s">
        <v>740</v>
      </c>
      <c r="G575" s="89" t="s">
        <v>740</v>
      </c>
      <c r="H575" s="84" t="s">
        <v>741</v>
      </c>
      <c r="I575" s="85" t="s">
        <v>2132</v>
      </c>
      <c r="J575" s="85" t="s">
        <v>1870</v>
      </c>
      <c r="K575" s="85" t="s">
        <v>1869</v>
      </c>
    </row>
    <row r="576" spans="1:11" ht="15" thickBot="1" x14ac:dyDescent="0.35">
      <c r="A576" s="84" t="s">
        <v>1708</v>
      </c>
      <c r="B576" s="84" t="s">
        <v>1764</v>
      </c>
      <c r="C576" s="85" t="s">
        <v>928</v>
      </c>
      <c r="D576" s="86" t="s">
        <v>288</v>
      </c>
      <c r="E576" s="87" t="s">
        <v>289</v>
      </c>
      <c r="F576" s="88" t="s">
        <v>289</v>
      </c>
      <c r="G576" s="89" t="s">
        <v>289</v>
      </c>
      <c r="H576" s="84" t="s">
        <v>290</v>
      </c>
      <c r="I576" s="85" t="s">
        <v>2133</v>
      </c>
      <c r="J576" s="85" t="s">
        <v>1870</v>
      </c>
      <c r="K576" s="85" t="s">
        <v>1869</v>
      </c>
    </row>
    <row r="577" spans="1:11" ht="15" thickBot="1" x14ac:dyDescent="0.35">
      <c r="A577" s="84" t="s">
        <v>1708</v>
      </c>
      <c r="B577" s="84" t="s">
        <v>1765</v>
      </c>
      <c r="C577" s="85" t="s">
        <v>928</v>
      </c>
      <c r="D577" s="86" t="s">
        <v>1766</v>
      </c>
      <c r="E577" s="87" t="s">
        <v>289</v>
      </c>
      <c r="F577" s="88" t="s">
        <v>289</v>
      </c>
      <c r="G577" s="89" t="s">
        <v>289</v>
      </c>
      <c r="H577" s="84" t="s">
        <v>290</v>
      </c>
      <c r="I577" s="85" t="s">
        <v>2134</v>
      </c>
      <c r="J577" s="85" t="s">
        <v>1870</v>
      </c>
      <c r="K577" s="85" t="s">
        <v>1869</v>
      </c>
    </row>
    <row r="578" spans="1:11" ht="15" thickBot="1" x14ac:dyDescent="0.35">
      <c r="A578" s="84" t="s">
        <v>1708</v>
      </c>
      <c r="B578" s="84" t="s">
        <v>1767</v>
      </c>
      <c r="C578" s="85" t="s">
        <v>928</v>
      </c>
      <c r="D578" s="86" t="s">
        <v>896</v>
      </c>
      <c r="E578" s="87" t="s">
        <v>289</v>
      </c>
      <c r="F578" s="88" t="s">
        <v>289</v>
      </c>
      <c r="G578" s="89" t="s">
        <v>289</v>
      </c>
      <c r="H578" s="84" t="s">
        <v>290</v>
      </c>
      <c r="I578" s="85" t="s">
        <v>2135</v>
      </c>
      <c r="J578" s="85" t="s">
        <v>1870</v>
      </c>
      <c r="K578" s="85" t="s">
        <v>1869</v>
      </c>
    </row>
    <row r="579" spans="1:11" ht="15" thickBot="1" x14ac:dyDescent="0.35">
      <c r="A579" s="84" t="s">
        <v>1708</v>
      </c>
      <c r="B579" s="84" t="s">
        <v>1768</v>
      </c>
      <c r="C579" s="85" t="s">
        <v>928</v>
      </c>
      <c r="D579" s="86" t="s">
        <v>897</v>
      </c>
      <c r="E579" s="87" t="s">
        <v>289</v>
      </c>
      <c r="F579" s="88" t="s">
        <v>289</v>
      </c>
      <c r="G579" s="89" t="s">
        <v>289</v>
      </c>
      <c r="H579" s="84" t="s">
        <v>290</v>
      </c>
      <c r="I579" s="85" t="s">
        <v>2136</v>
      </c>
      <c r="J579" s="85" t="s">
        <v>1870</v>
      </c>
      <c r="K579" s="85" t="s">
        <v>1869</v>
      </c>
    </row>
    <row r="580" spans="1:11" ht="15" thickBot="1" x14ac:dyDescent="0.35">
      <c r="A580" s="84" t="s">
        <v>1708</v>
      </c>
      <c r="B580" s="84" t="s">
        <v>1769</v>
      </c>
      <c r="C580" s="85" t="s">
        <v>928</v>
      </c>
      <c r="D580" s="86" t="s">
        <v>898</v>
      </c>
      <c r="E580" s="87" t="s">
        <v>289</v>
      </c>
      <c r="F580" s="88" t="s">
        <v>289</v>
      </c>
      <c r="G580" s="89" t="s">
        <v>289</v>
      </c>
      <c r="H580" s="84" t="s">
        <v>290</v>
      </c>
      <c r="I580" s="85" t="s">
        <v>2137</v>
      </c>
      <c r="J580" s="85" t="s">
        <v>1870</v>
      </c>
      <c r="K580" s="85" t="s">
        <v>1869</v>
      </c>
    </row>
    <row r="581" spans="1:11" ht="15" thickBot="1" x14ac:dyDescent="0.35">
      <c r="A581" s="84" t="s">
        <v>1708</v>
      </c>
      <c r="B581" s="84" t="s">
        <v>1770</v>
      </c>
      <c r="C581" s="85" t="s">
        <v>928</v>
      </c>
      <c r="D581" s="86" t="s">
        <v>791</v>
      </c>
      <c r="E581" s="87" t="s">
        <v>792</v>
      </c>
      <c r="F581" s="88" t="s">
        <v>792</v>
      </c>
      <c r="G581" s="89" t="s">
        <v>792</v>
      </c>
      <c r="H581" s="84" t="s">
        <v>793</v>
      </c>
      <c r="I581" s="85" t="s">
        <v>2138</v>
      </c>
      <c r="J581" s="85" t="s">
        <v>1870</v>
      </c>
      <c r="K581" s="85" t="s">
        <v>1869</v>
      </c>
    </row>
    <row r="582" spans="1:11" ht="15" thickBot="1" x14ac:dyDescent="0.35">
      <c r="A582" s="84" t="s">
        <v>1708</v>
      </c>
      <c r="B582" s="84" t="s">
        <v>1771</v>
      </c>
      <c r="C582" s="85" t="s">
        <v>932</v>
      </c>
      <c r="D582" s="86" t="s">
        <v>297</v>
      </c>
      <c r="E582" s="87" t="s">
        <v>298</v>
      </c>
      <c r="F582" s="88" t="s">
        <v>298</v>
      </c>
      <c r="G582" s="89" t="s">
        <v>298</v>
      </c>
      <c r="H582" s="84" t="s">
        <v>299</v>
      </c>
      <c r="I582" s="85" t="s">
        <v>1869</v>
      </c>
      <c r="J582" s="85" t="s">
        <v>1870</v>
      </c>
      <c r="K582" s="85" t="s">
        <v>1869</v>
      </c>
    </row>
    <row r="583" spans="1:11" ht="15" thickBot="1" x14ac:dyDescent="0.35">
      <c r="A583" s="84" t="s">
        <v>1708</v>
      </c>
      <c r="B583" s="84" t="s">
        <v>1772</v>
      </c>
      <c r="C583" s="85" t="s">
        <v>932</v>
      </c>
      <c r="D583" s="86" t="s">
        <v>824</v>
      </c>
      <c r="E583" s="87" t="s">
        <v>301</v>
      </c>
      <c r="F583" s="88" t="s">
        <v>301</v>
      </c>
      <c r="G583" s="89" t="s">
        <v>301</v>
      </c>
      <c r="H583" s="84" t="s">
        <v>302</v>
      </c>
      <c r="I583" s="85" t="s">
        <v>1869</v>
      </c>
      <c r="J583" s="85" t="s">
        <v>1870</v>
      </c>
      <c r="K583" s="85" t="s">
        <v>1869</v>
      </c>
    </row>
    <row r="584" spans="1:11" ht="15" thickBot="1" x14ac:dyDescent="0.35">
      <c r="A584" s="84" t="s">
        <v>1708</v>
      </c>
      <c r="B584" s="84" t="s">
        <v>1773</v>
      </c>
      <c r="C584" s="85" t="s">
        <v>932</v>
      </c>
      <c r="D584" s="86" t="s">
        <v>825</v>
      </c>
      <c r="E584" s="87" t="s">
        <v>301</v>
      </c>
      <c r="F584" s="88" t="s">
        <v>301</v>
      </c>
      <c r="G584" s="89" t="s">
        <v>301</v>
      </c>
      <c r="H584" s="84" t="s">
        <v>302</v>
      </c>
      <c r="I584" s="85" t="s">
        <v>1869</v>
      </c>
      <c r="J584" s="85" t="s">
        <v>1870</v>
      </c>
      <c r="K584" s="85" t="s">
        <v>1869</v>
      </c>
    </row>
    <row r="585" spans="1:11" ht="15" thickBot="1" x14ac:dyDescent="0.35">
      <c r="A585" s="84" t="s">
        <v>1708</v>
      </c>
      <c r="B585" s="84" t="s">
        <v>1774</v>
      </c>
      <c r="C585" s="85" t="s">
        <v>932</v>
      </c>
      <c r="D585" s="86" t="s">
        <v>742</v>
      </c>
      <c r="E585" s="87" t="s">
        <v>301</v>
      </c>
      <c r="F585" s="88" t="s">
        <v>301</v>
      </c>
      <c r="G585" s="89" t="s">
        <v>301</v>
      </c>
      <c r="H585" s="84" t="s">
        <v>302</v>
      </c>
      <c r="I585" s="85" t="s">
        <v>1869</v>
      </c>
      <c r="J585" s="85" t="s">
        <v>1870</v>
      </c>
      <c r="K585" s="85" t="s">
        <v>1869</v>
      </c>
    </row>
    <row r="586" spans="1:11" ht="15" thickBot="1" x14ac:dyDescent="0.35">
      <c r="A586" s="84" t="s">
        <v>1708</v>
      </c>
      <c r="B586" s="84" t="s">
        <v>1775</v>
      </c>
      <c r="C586" s="85" t="s">
        <v>932</v>
      </c>
      <c r="D586" s="86" t="s">
        <v>826</v>
      </c>
      <c r="E586" s="87" t="s">
        <v>301</v>
      </c>
      <c r="F586" s="88" t="s">
        <v>301</v>
      </c>
      <c r="G586" s="89" t="s">
        <v>301</v>
      </c>
      <c r="H586" s="84" t="s">
        <v>302</v>
      </c>
      <c r="I586" s="85" t="s">
        <v>1869</v>
      </c>
      <c r="J586" s="85" t="s">
        <v>1870</v>
      </c>
      <c r="K586" s="85" t="s">
        <v>1869</v>
      </c>
    </row>
    <row r="587" spans="1:11" ht="15" thickBot="1" x14ac:dyDescent="0.35">
      <c r="A587" s="84" t="s">
        <v>1708</v>
      </c>
      <c r="B587" s="84" t="s">
        <v>1776</v>
      </c>
      <c r="C587" s="85" t="s">
        <v>932</v>
      </c>
      <c r="D587" s="86" t="s">
        <v>300</v>
      </c>
      <c r="E587" s="87" t="s">
        <v>301</v>
      </c>
      <c r="F587" s="88" t="s">
        <v>301</v>
      </c>
      <c r="G587" s="89" t="s">
        <v>301</v>
      </c>
      <c r="H587" s="84" t="s">
        <v>302</v>
      </c>
      <c r="I587" s="85" t="s">
        <v>1869</v>
      </c>
      <c r="J587" s="85" t="s">
        <v>1870</v>
      </c>
      <c r="K587" s="85" t="s">
        <v>1869</v>
      </c>
    </row>
    <row r="588" spans="1:11" ht="15" thickBot="1" x14ac:dyDescent="0.35">
      <c r="A588" s="84" t="s">
        <v>1708</v>
      </c>
      <c r="B588" s="84" t="s">
        <v>1758</v>
      </c>
      <c r="C588" s="85" t="s">
        <v>932</v>
      </c>
      <c r="D588" s="86" t="s">
        <v>303</v>
      </c>
      <c r="E588" s="87" t="s">
        <v>301</v>
      </c>
      <c r="F588" s="88" t="s">
        <v>301</v>
      </c>
      <c r="G588" s="89" t="s">
        <v>301</v>
      </c>
      <c r="H588" s="84" t="s">
        <v>302</v>
      </c>
      <c r="I588" s="85" t="s">
        <v>1869</v>
      </c>
      <c r="J588" s="85" t="s">
        <v>1870</v>
      </c>
      <c r="K588" s="85" t="s">
        <v>1869</v>
      </c>
    </row>
    <row r="589" spans="1:11" ht="15" thickBot="1" x14ac:dyDescent="0.35">
      <c r="A589" s="84" t="s">
        <v>1708</v>
      </c>
      <c r="B589" s="84" t="s">
        <v>1759</v>
      </c>
      <c r="C589" s="85" t="s">
        <v>932</v>
      </c>
      <c r="D589" s="86" t="s">
        <v>743</v>
      </c>
      <c r="E589" s="87" t="s">
        <v>301</v>
      </c>
      <c r="F589" s="88" t="s">
        <v>301</v>
      </c>
      <c r="G589" s="89" t="s">
        <v>301</v>
      </c>
      <c r="H589" s="84" t="s">
        <v>302</v>
      </c>
      <c r="I589" s="85" t="s">
        <v>1869</v>
      </c>
      <c r="J589" s="85" t="s">
        <v>1870</v>
      </c>
      <c r="K589" s="85" t="s">
        <v>1869</v>
      </c>
    </row>
    <row r="590" spans="1:11" ht="15" thickBot="1" x14ac:dyDescent="0.35">
      <c r="A590" s="84" t="s">
        <v>1708</v>
      </c>
      <c r="B590" s="84" t="s">
        <v>1777</v>
      </c>
      <c r="C590" s="85" t="s">
        <v>932</v>
      </c>
      <c r="D590" s="86" t="s">
        <v>1778</v>
      </c>
      <c r="E590" s="87" t="s">
        <v>301</v>
      </c>
      <c r="F590" s="88" t="s">
        <v>301</v>
      </c>
      <c r="G590" s="89" t="s">
        <v>301</v>
      </c>
      <c r="H590" s="84" t="s">
        <v>302</v>
      </c>
      <c r="I590" s="85" t="s">
        <v>1869</v>
      </c>
      <c r="J590" s="85" t="s">
        <v>1870</v>
      </c>
      <c r="K590" s="85" t="s">
        <v>1869</v>
      </c>
    </row>
    <row r="591" spans="1:11" ht="15" thickBot="1" x14ac:dyDescent="0.35">
      <c r="A591" s="84" t="s">
        <v>1708</v>
      </c>
      <c r="B591" s="84" t="s">
        <v>1779</v>
      </c>
      <c r="C591" s="85" t="s">
        <v>928</v>
      </c>
      <c r="D591" s="86" t="s">
        <v>1780</v>
      </c>
      <c r="E591" s="87" t="s">
        <v>1781</v>
      </c>
      <c r="F591" s="88" t="s">
        <v>1781</v>
      </c>
      <c r="G591" s="89" t="s">
        <v>1781</v>
      </c>
      <c r="H591" s="84" t="s">
        <v>1782</v>
      </c>
      <c r="I591" s="85" t="s">
        <v>2139</v>
      </c>
      <c r="J591" s="85" t="s">
        <v>1870</v>
      </c>
      <c r="K591" s="85" t="s">
        <v>1869</v>
      </c>
    </row>
    <row r="592" spans="1:11" ht="15" thickBot="1" x14ac:dyDescent="0.35">
      <c r="A592" s="84" t="s">
        <v>1708</v>
      </c>
      <c r="B592" s="84" t="s">
        <v>1783</v>
      </c>
      <c r="C592" s="85" t="s">
        <v>928</v>
      </c>
      <c r="D592" s="86" t="s">
        <v>1784</v>
      </c>
      <c r="E592" s="87" t="s">
        <v>1781</v>
      </c>
      <c r="F592" s="88" t="s">
        <v>1781</v>
      </c>
      <c r="G592" s="89" t="s">
        <v>1781</v>
      </c>
      <c r="H592" s="84" t="s">
        <v>1782</v>
      </c>
      <c r="I592" s="85" t="s">
        <v>2140</v>
      </c>
      <c r="J592" s="85" t="s">
        <v>1870</v>
      </c>
      <c r="K592" s="85" t="s">
        <v>1869</v>
      </c>
    </row>
    <row r="593" spans="1:11" ht="15" thickBot="1" x14ac:dyDescent="0.35">
      <c r="A593" s="84" t="s">
        <v>1708</v>
      </c>
      <c r="B593" s="84" t="s">
        <v>1785</v>
      </c>
      <c r="C593" s="85" t="s">
        <v>928</v>
      </c>
      <c r="D593" s="86" t="s">
        <v>304</v>
      </c>
      <c r="E593" s="87" t="s">
        <v>305</v>
      </c>
      <c r="F593" s="88" t="s">
        <v>305</v>
      </c>
      <c r="G593" s="89" t="s">
        <v>305</v>
      </c>
      <c r="H593" s="84" t="s">
        <v>306</v>
      </c>
      <c r="I593" s="85" t="s">
        <v>2141</v>
      </c>
      <c r="J593" s="85" t="s">
        <v>1870</v>
      </c>
      <c r="K593" s="85" t="s">
        <v>1869</v>
      </c>
    </row>
    <row r="594" spans="1:11" ht="15" thickBot="1" x14ac:dyDescent="0.35">
      <c r="A594" s="84" t="s">
        <v>1708</v>
      </c>
      <c r="B594" s="84" t="s">
        <v>1786</v>
      </c>
      <c r="C594" s="85" t="s">
        <v>928</v>
      </c>
      <c r="D594" s="86" t="s">
        <v>1787</v>
      </c>
      <c r="E594" s="87" t="s">
        <v>305</v>
      </c>
      <c r="F594" s="88" t="s">
        <v>305</v>
      </c>
      <c r="G594" s="89" t="s">
        <v>305</v>
      </c>
      <c r="H594" s="84" t="s">
        <v>306</v>
      </c>
      <c r="I594" s="85" t="s">
        <v>2142</v>
      </c>
      <c r="J594" s="85" t="s">
        <v>1870</v>
      </c>
      <c r="K594" s="85" t="s">
        <v>1869</v>
      </c>
    </row>
    <row r="595" spans="1:11" ht="15" thickBot="1" x14ac:dyDescent="0.35">
      <c r="A595" s="84" t="s">
        <v>1708</v>
      </c>
      <c r="B595" s="84" t="s">
        <v>1788</v>
      </c>
      <c r="C595" s="85" t="s">
        <v>928</v>
      </c>
      <c r="D595" s="86" t="s">
        <v>308</v>
      </c>
      <c r="E595" s="87" t="s">
        <v>309</v>
      </c>
      <c r="F595" s="88" t="s">
        <v>309</v>
      </c>
      <c r="G595" s="89" t="s">
        <v>309</v>
      </c>
      <c r="H595" s="84" t="s">
        <v>310</v>
      </c>
      <c r="I595" s="85" t="s">
        <v>2143</v>
      </c>
      <c r="J595" s="85" t="s">
        <v>1870</v>
      </c>
      <c r="K595" s="85" t="s">
        <v>1869</v>
      </c>
    </row>
    <row r="596" spans="1:11" ht="15" thickBot="1" x14ac:dyDescent="0.35">
      <c r="A596" s="84" t="s">
        <v>1708</v>
      </c>
      <c r="B596" s="84" t="s">
        <v>1789</v>
      </c>
      <c r="C596" s="85" t="s">
        <v>932</v>
      </c>
      <c r="D596" s="86" t="s">
        <v>827</v>
      </c>
      <c r="E596" s="87" t="s">
        <v>309</v>
      </c>
      <c r="F596" s="88" t="s">
        <v>309</v>
      </c>
      <c r="G596" s="89" t="s">
        <v>309</v>
      </c>
      <c r="H596" s="84" t="s">
        <v>310</v>
      </c>
      <c r="I596" s="85" t="s">
        <v>1869</v>
      </c>
      <c r="J596" s="85" t="s">
        <v>1870</v>
      </c>
      <c r="K596" s="85" t="s">
        <v>1869</v>
      </c>
    </row>
    <row r="597" spans="1:11" ht="15" thickBot="1" x14ac:dyDescent="0.35">
      <c r="A597" s="84" t="s">
        <v>1708</v>
      </c>
      <c r="B597" s="84" t="s">
        <v>1790</v>
      </c>
      <c r="C597" s="85" t="s">
        <v>932</v>
      </c>
      <c r="D597" s="86" t="s">
        <v>828</v>
      </c>
      <c r="E597" s="87" t="s">
        <v>309</v>
      </c>
      <c r="F597" s="88" t="s">
        <v>309</v>
      </c>
      <c r="G597" s="89" t="s">
        <v>309</v>
      </c>
      <c r="H597" s="84" t="s">
        <v>310</v>
      </c>
      <c r="I597" s="85" t="s">
        <v>1869</v>
      </c>
      <c r="J597" s="85" t="s">
        <v>1870</v>
      </c>
      <c r="K597" s="85" t="s">
        <v>1869</v>
      </c>
    </row>
    <row r="598" spans="1:11" ht="15" thickBot="1" x14ac:dyDescent="0.35">
      <c r="A598" s="84" t="s">
        <v>1708</v>
      </c>
      <c r="B598" s="84" t="s">
        <v>1791</v>
      </c>
      <c r="C598" s="85" t="s">
        <v>932</v>
      </c>
      <c r="D598" s="86" t="s">
        <v>65</v>
      </c>
      <c r="E598" s="87" t="s">
        <v>66</v>
      </c>
      <c r="F598" s="88" t="s">
        <v>66</v>
      </c>
      <c r="G598" s="89" t="s">
        <v>66</v>
      </c>
      <c r="H598" s="84" t="s">
        <v>67</v>
      </c>
      <c r="I598" s="85" t="s">
        <v>1869</v>
      </c>
      <c r="J598" s="85" t="s">
        <v>1870</v>
      </c>
      <c r="K598" s="85" t="s">
        <v>1869</v>
      </c>
    </row>
    <row r="599" spans="1:11" ht="15" thickBot="1" x14ac:dyDescent="0.35">
      <c r="A599" s="84" t="s">
        <v>1708</v>
      </c>
      <c r="B599" s="84" t="s">
        <v>1792</v>
      </c>
      <c r="C599" s="85" t="s">
        <v>963</v>
      </c>
      <c r="D599" s="86" t="s">
        <v>769</v>
      </c>
      <c r="E599" s="87" t="s">
        <v>470</v>
      </c>
      <c r="F599" s="88" t="s">
        <v>470</v>
      </c>
      <c r="G599" s="89" t="s">
        <v>470</v>
      </c>
      <c r="H599" s="84" t="s">
        <v>471</v>
      </c>
      <c r="I599" s="85" t="s">
        <v>1869</v>
      </c>
      <c r="J599" s="85" t="s">
        <v>1870</v>
      </c>
      <c r="K599" s="85" t="s">
        <v>1869</v>
      </c>
    </row>
    <row r="600" spans="1:11" ht="15" thickBot="1" x14ac:dyDescent="0.35">
      <c r="A600" s="84" t="s">
        <v>1708</v>
      </c>
      <c r="B600" s="84" t="s">
        <v>1793</v>
      </c>
      <c r="C600" s="85" t="s">
        <v>963</v>
      </c>
      <c r="D600" s="86" t="s">
        <v>361</v>
      </c>
      <c r="E600" s="87" t="s">
        <v>283</v>
      </c>
      <c r="F600" s="88" t="s">
        <v>283</v>
      </c>
      <c r="G600" s="89" t="s">
        <v>283</v>
      </c>
      <c r="H600" s="84" t="s">
        <v>284</v>
      </c>
      <c r="I600" s="85" t="s">
        <v>1869</v>
      </c>
      <c r="J600" s="85" t="s">
        <v>1870</v>
      </c>
      <c r="K600" s="85" t="s">
        <v>1869</v>
      </c>
    </row>
    <row r="601" spans="1:11" ht="15" thickBot="1" x14ac:dyDescent="0.35">
      <c r="A601" s="84" t="s">
        <v>1708</v>
      </c>
      <c r="B601" s="84" t="s">
        <v>1794</v>
      </c>
      <c r="C601" s="85" t="s">
        <v>963</v>
      </c>
      <c r="D601" s="86" t="s">
        <v>362</v>
      </c>
      <c r="E601" s="87" t="s">
        <v>298</v>
      </c>
      <c r="F601" s="88" t="s">
        <v>298</v>
      </c>
      <c r="G601" s="89" t="s">
        <v>298</v>
      </c>
      <c r="H601" s="84" t="s">
        <v>299</v>
      </c>
      <c r="I601" s="85" t="s">
        <v>1869</v>
      </c>
      <c r="J601" s="85" t="s">
        <v>1870</v>
      </c>
      <c r="K601" s="85" t="s">
        <v>1869</v>
      </c>
    </row>
    <row r="602" spans="1:11" ht="15" thickBot="1" x14ac:dyDescent="0.35">
      <c r="A602" s="84" t="s">
        <v>1708</v>
      </c>
      <c r="B602" s="84" t="s">
        <v>1795</v>
      </c>
      <c r="C602" s="85" t="s">
        <v>963</v>
      </c>
      <c r="D602" s="86" t="s">
        <v>364</v>
      </c>
      <c r="E602" s="87" t="s">
        <v>301</v>
      </c>
      <c r="F602" s="88" t="s">
        <v>301</v>
      </c>
      <c r="G602" s="89" t="s">
        <v>301</v>
      </c>
      <c r="H602" s="84" t="s">
        <v>302</v>
      </c>
      <c r="I602" s="85" t="s">
        <v>1869</v>
      </c>
      <c r="J602" s="85" t="s">
        <v>1870</v>
      </c>
      <c r="K602" s="85" t="s">
        <v>1869</v>
      </c>
    </row>
    <row r="603" spans="1:11" ht="15" thickBot="1" x14ac:dyDescent="0.35">
      <c r="A603" s="84" t="s">
        <v>1708</v>
      </c>
      <c r="B603" s="84" t="s">
        <v>1796</v>
      </c>
      <c r="C603" s="85" t="s">
        <v>963</v>
      </c>
      <c r="D603" s="86" t="s">
        <v>365</v>
      </c>
      <c r="E603" s="87" t="s">
        <v>301</v>
      </c>
      <c r="F603" s="88" t="s">
        <v>301</v>
      </c>
      <c r="G603" s="89" t="s">
        <v>301</v>
      </c>
      <c r="H603" s="84" t="s">
        <v>302</v>
      </c>
      <c r="I603" s="85" t="s">
        <v>1869</v>
      </c>
      <c r="J603" s="85" t="s">
        <v>1870</v>
      </c>
      <c r="K603" s="85" t="s">
        <v>1869</v>
      </c>
    </row>
    <row r="604" spans="1:11" ht="15" thickBot="1" x14ac:dyDescent="0.35">
      <c r="A604" s="84" t="s">
        <v>1708</v>
      </c>
      <c r="B604" s="84" t="s">
        <v>1797</v>
      </c>
      <c r="C604" s="85" t="s">
        <v>963</v>
      </c>
      <c r="D604" s="86" t="s">
        <v>366</v>
      </c>
      <c r="E604" s="87" t="s">
        <v>301</v>
      </c>
      <c r="F604" s="88" t="s">
        <v>301</v>
      </c>
      <c r="G604" s="89" t="s">
        <v>301</v>
      </c>
      <c r="H604" s="84" t="s">
        <v>302</v>
      </c>
      <c r="I604" s="85" t="s">
        <v>1869</v>
      </c>
      <c r="J604" s="85" t="s">
        <v>1870</v>
      </c>
      <c r="K604" s="85" t="s">
        <v>1869</v>
      </c>
    </row>
    <row r="605" spans="1:11" ht="15" thickBot="1" x14ac:dyDescent="0.35">
      <c r="A605" s="84" t="s">
        <v>1708</v>
      </c>
      <c r="B605" s="84" t="s">
        <v>1798</v>
      </c>
      <c r="C605" s="85" t="s">
        <v>963</v>
      </c>
      <c r="D605" s="86" t="s">
        <v>849</v>
      </c>
      <c r="E605" s="87" t="s">
        <v>309</v>
      </c>
      <c r="F605" s="88" t="s">
        <v>309</v>
      </c>
      <c r="G605" s="89" t="s">
        <v>309</v>
      </c>
      <c r="H605" s="84" t="s">
        <v>310</v>
      </c>
      <c r="I605" s="85" t="s">
        <v>1869</v>
      </c>
      <c r="J605" s="85" t="s">
        <v>1870</v>
      </c>
      <c r="K605" s="85" t="s">
        <v>1869</v>
      </c>
    </row>
    <row r="606" spans="1:11" ht="15" thickBot="1" x14ac:dyDescent="0.35">
      <c r="A606" s="84" t="s">
        <v>1708</v>
      </c>
      <c r="B606" s="84" t="s">
        <v>1799</v>
      </c>
      <c r="C606" s="85" t="s">
        <v>963</v>
      </c>
      <c r="D606" s="86" t="s">
        <v>371</v>
      </c>
      <c r="E606" s="87" t="s">
        <v>66</v>
      </c>
      <c r="F606" s="88" t="s">
        <v>66</v>
      </c>
      <c r="G606" s="89" t="s">
        <v>66</v>
      </c>
      <c r="H606" s="84" t="s">
        <v>67</v>
      </c>
      <c r="I606" s="85" t="s">
        <v>1869</v>
      </c>
      <c r="J606" s="85" t="s">
        <v>1870</v>
      </c>
      <c r="K606" s="85" t="s">
        <v>1869</v>
      </c>
    </row>
    <row r="607" spans="1:11" ht="15" thickBot="1" x14ac:dyDescent="0.35">
      <c r="A607" s="84" t="s">
        <v>1248</v>
      </c>
      <c r="B607" s="84" t="s">
        <v>1812</v>
      </c>
      <c r="C607" s="85" t="s">
        <v>928</v>
      </c>
      <c r="D607" s="86" t="s">
        <v>10</v>
      </c>
      <c r="E607" s="90" t="s">
        <v>526</v>
      </c>
      <c r="F607" s="88" t="s">
        <v>526</v>
      </c>
      <c r="G607" s="91" t="s">
        <v>526</v>
      </c>
      <c r="H607" s="84" t="s">
        <v>527</v>
      </c>
      <c r="I607" s="85" t="s">
        <v>2181</v>
      </c>
      <c r="J607" s="85"/>
      <c r="K607" s="85"/>
    </row>
    <row r="608" spans="1:11" ht="15" thickBot="1" x14ac:dyDescent="0.35">
      <c r="A608" s="84" t="s">
        <v>1248</v>
      </c>
      <c r="B608" s="84" t="s">
        <v>2179</v>
      </c>
      <c r="C608" s="85" t="s">
        <v>928</v>
      </c>
      <c r="D608" s="86" t="s">
        <v>2186</v>
      </c>
      <c r="E608" s="90" t="s">
        <v>196</v>
      </c>
      <c r="F608" s="88" t="s">
        <v>196</v>
      </c>
      <c r="G608" s="91" t="s">
        <v>196</v>
      </c>
      <c r="H608" s="84" t="s">
        <v>197</v>
      </c>
      <c r="I608" s="85" t="s">
        <v>2182</v>
      </c>
      <c r="J608" s="85"/>
      <c r="K608" s="85"/>
    </row>
    <row r="609" spans="1:11" ht="15" thickBot="1" x14ac:dyDescent="0.35">
      <c r="A609" s="84" t="s">
        <v>1248</v>
      </c>
      <c r="B609" s="84" t="s">
        <v>1821</v>
      </c>
      <c r="C609" s="85" t="s">
        <v>928</v>
      </c>
      <c r="D609" s="86" t="s">
        <v>203</v>
      </c>
      <c r="E609" s="90" t="s">
        <v>12</v>
      </c>
      <c r="F609" s="88" t="s">
        <v>12</v>
      </c>
      <c r="G609" s="91" t="s">
        <v>12</v>
      </c>
      <c r="H609" s="84" t="s">
        <v>13</v>
      </c>
      <c r="I609" s="85" t="s">
        <v>2183</v>
      </c>
      <c r="J609" s="85"/>
      <c r="K609" s="85"/>
    </row>
    <row r="610" spans="1:11" ht="15" thickBot="1" x14ac:dyDescent="0.35">
      <c r="A610" s="84" t="s">
        <v>1248</v>
      </c>
      <c r="B610" s="84" t="s">
        <v>1291</v>
      </c>
      <c r="C610" s="85" t="s">
        <v>1254</v>
      </c>
      <c r="D610" s="86" t="s">
        <v>482</v>
      </c>
      <c r="E610" s="90" t="s">
        <v>15</v>
      </c>
      <c r="F610" s="88" t="s">
        <v>15</v>
      </c>
      <c r="G610" s="91" t="s">
        <v>15</v>
      </c>
      <c r="H610" s="84" t="s">
        <v>16</v>
      </c>
      <c r="I610" s="85" t="s">
        <v>2184</v>
      </c>
      <c r="J610" s="85"/>
      <c r="K610" s="85"/>
    </row>
    <row r="611" spans="1:11" ht="15" thickBot="1" x14ac:dyDescent="0.35">
      <c r="A611" s="84" t="s">
        <v>1248</v>
      </c>
      <c r="B611" s="84" t="s">
        <v>1290</v>
      </c>
      <c r="C611" s="85" t="s">
        <v>928</v>
      </c>
      <c r="D611" s="86" t="s">
        <v>205</v>
      </c>
      <c r="E611" s="90" t="s">
        <v>15</v>
      </c>
      <c r="F611" s="88" t="s">
        <v>15</v>
      </c>
      <c r="G611" s="91" t="s">
        <v>15</v>
      </c>
      <c r="H611" s="84" t="s">
        <v>16</v>
      </c>
      <c r="I611" s="85" t="s">
        <v>2185</v>
      </c>
      <c r="J611" s="85" t="s">
        <v>1871</v>
      </c>
      <c r="K611" s="85" t="s">
        <v>1872</v>
      </c>
    </row>
    <row r="612" spans="1:11" ht="15" thickBot="1" x14ac:dyDescent="0.35">
      <c r="A612" s="84" t="s">
        <v>1248</v>
      </c>
      <c r="B612" s="84" t="s">
        <v>1805</v>
      </c>
      <c r="C612" s="85" t="s">
        <v>1266</v>
      </c>
      <c r="D612" s="86" t="s">
        <v>8</v>
      </c>
      <c r="E612" s="90" t="s">
        <v>526</v>
      </c>
      <c r="F612" s="88" t="s">
        <v>526</v>
      </c>
      <c r="G612" s="91" t="s">
        <v>526</v>
      </c>
      <c r="H612" s="84" t="s">
        <v>527</v>
      </c>
      <c r="I612" s="85"/>
      <c r="J612" s="85"/>
      <c r="K612" s="85"/>
    </row>
    <row r="613" spans="1:11" ht="15" thickBot="1" x14ac:dyDescent="0.35">
      <c r="A613" s="84" t="s">
        <v>1248</v>
      </c>
      <c r="B613" s="84" t="s">
        <v>2180</v>
      </c>
      <c r="C613" s="85" t="s">
        <v>1266</v>
      </c>
      <c r="D613" s="86" t="s">
        <v>774</v>
      </c>
      <c r="E613" s="90" t="s">
        <v>196</v>
      </c>
      <c r="F613" s="88" t="s">
        <v>196</v>
      </c>
      <c r="G613" s="91" t="s">
        <v>196</v>
      </c>
      <c r="H613" s="84" t="s">
        <v>197</v>
      </c>
      <c r="I613" s="85"/>
      <c r="J613" s="85"/>
      <c r="K613" s="85"/>
    </row>
    <row r="614" spans="1:11" ht="15" thickBot="1" x14ac:dyDescent="0.35">
      <c r="A614" s="84" t="s">
        <v>974</v>
      </c>
      <c r="B614" s="84" t="s">
        <v>1024</v>
      </c>
      <c r="C614" s="85" t="s">
        <v>963</v>
      </c>
      <c r="D614" s="86" t="s">
        <v>124</v>
      </c>
      <c r="E614" s="90" t="s">
        <v>572</v>
      </c>
      <c r="F614" s="88" t="s">
        <v>572</v>
      </c>
      <c r="G614" s="91" t="s">
        <v>572</v>
      </c>
      <c r="H614" s="84" t="s">
        <v>573</v>
      </c>
      <c r="I614" s="85"/>
      <c r="J614" s="85"/>
      <c r="K614" s="85"/>
    </row>
  </sheetData>
  <sheetProtection algorithmName="SHA-512" hashValue="fAzHFkjGDCqfZd9m3X8j9uUfZ08jsoIkkIbojLIDLhdCkW5lKipmvVsLX8mmGbxqef7REn03NVx/Ze6MeysJCg==" saltValue="vU01mCg8YkBDTXr2Hi7OAA==" spinCount="100000" sheet="1" objects="1" scenarios="1" sort="0" autoFilter="0"/>
  <autoFilter ref="A1:K614"/>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53"/>
  <sheetViews>
    <sheetView workbookViewId="0">
      <selection activeCell="C7" sqref="C7"/>
    </sheetView>
  </sheetViews>
  <sheetFormatPr defaultRowHeight="14.4" x14ac:dyDescent="0.3"/>
  <cols>
    <col min="1" max="1" width="20" style="27" bestFit="1" customWidth="1"/>
    <col min="2" max="2" width="16.33203125" style="27" bestFit="1" customWidth="1"/>
    <col min="3" max="3" width="53.33203125" style="64" customWidth="1"/>
    <col min="4" max="4" width="32" style="27" customWidth="1"/>
    <col min="5" max="5" width="13.6640625" style="27" customWidth="1"/>
    <col min="6" max="6" width="14.5546875" style="27" customWidth="1"/>
    <col min="7" max="7" width="58.33203125" style="27" customWidth="1"/>
    <col min="8" max="8" width="21.88671875" style="27" customWidth="1"/>
    <col min="9" max="9" width="23.44140625" style="27" bestFit="1" customWidth="1"/>
    <col min="10" max="10" width="23.33203125" style="27" bestFit="1" customWidth="1"/>
    <col min="11" max="16384" width="8.88671875" style="27"/>
  </cols>
  <sheetData>
    <row r="1" spans="1:10" s="63" customFormat="1" x14ac:dyDescent="0.3">
      <c r="A1" s="63" t="s">
        <v>2219</v>
      </c>
      <c r="B1" s="63" t="s">
        <v>2220</v>
      </c>
      <c r="C1" s="63" t="s">
        <v>2221</v>
      </c>
      <c r="D1" s="63" t="s">
        <v>2222</v>
      </c>
      <c r="E1" s="63" t="s">
        <v>2223</v>
      </c>
      <c r="F1" s="63" t="s">
        <v>2224</v>
      </c>
      <c r="G1" s="63" t="s">
        <v>2225</v>
      </c>
      <c r="H1" s="63" t="s">
        <v>2226</v>
      </c>
      <c r="I1" s="63" t="s">
        <v>2219</v>
      </c>
      <c r="J1" s="63" t="s">
        <v>2227</v>
      </c>
    </row>
    <row r="2" spans="1:10" ht="28.8" x14ac:dyDescent="0.3">
      <c r="A2" s="27" t="s">
        <v>1869</v>
      </c>
      <c r="B2" s="27" t="str">
        <f>"01"</f>
        <v>01</v>
      </c>
      <c r="C2" s="64" t="s">
        <v>2228</v>
      </c>
      <c r="D2" s="27" t="s">
        <v>2229</v>
      </c>
      <c r="E2" s="27" t="s">
        <v>2230</v>
      </c>
      <c r="F2" s="27" t="str">
        <f>"01"</f>
        <v>01</v>
      </c>
      <c r="G2" s="27" t="s">
        <v>2231</v>
      </c>
      <c r="H2" s="65" t="str">
        <f>IF(I2=J2,"No Change","Other")</f>
        <v>No Change</v>
      </c>
      <c r="I2" s="65" t="str">
        <f>SUBSTITUTE(IF(SUM(LEN(B2))&lt;7,"",B2),".","")</f>
        <v/>
      </c>
      <c r="J2" s="65" t="str">
        <f>SUBSTITUTE(IF(SUM(LEN(F2))&lt;7,"",F2),".","")</f>
        <v/>
      </c>
    </row>
    <row r="3" spans="1:10" x14ac:dyDescent="0.3">
      <c r="A3" s="27" t="s">
        <v>1869</v>
      </c>
      <c r="B3" s="27" t="str">
        <f>"01.00"</f>
        <v>01.00</v>
      </c>
      <c r="C3" s="64" t="s">
        <v>877</v>
      </c>
      <c r="D3" s="27" t="s">
        <v>2229</v>
      </c>
      <c r="E3" s="27" t="s">
        <v>2232</v>
      </c>
      <c r="F3" s="27" t="str">
        <f>"01.00"</f>
        <v>01.00</v>
      </c>
      <c r="G3" s="27" t="s">
        <v>877</v>
      </c>
      <c r="H3" s="65" t="str">
        <f t="shared" ref="H3:H66" si="0">IF(I3=J3,"No Change","Other")</f>
        <v>No Change</v>
      </c>
      <c r="I3" s="65" t="str">
        <f t="shared" ref="I3:I66" si="1">SUBSTITUTE(IF(SUM(LEN(B3))&lt;7,"",B3),".","")</f>
        <v/>
      </c>
      <c r="J3" s="65" t="str">
        <f t="shared" ref="J3:J66" si="2">SUBSTITUTE(IF(SUM(LEN(F3))&lt;7,"",F3),".","")</f>
        <v/>
      </c>
    </row>
    <row r="4" spans="1:10" x14ac:dyDescent="0.3">
      <c r="A4" s="27" t="s">
        <v>876</v>
      </c>
      <c r="B4" s="27" t="str">
        <f>"01.0000"</f>
        <v>01.0000</v>
      </c>
      <c r="C4" s="64" t="s">
        <v>877</v>
      </c>
      <c r="D4" s="27" t="s">
        <v>2229</v>
      </c>
      <c r="E4" s="27" t="s">
        <v>2232</v>
      </c>
      <c r="F4" s="27" t="str">
        <f>"01.0000"</f>
        <v>01.0000</v>
      </c>
      <c r="G4" s="27" t="s">
        <v>877</v>
      </c>
      <c r="H4" s="65" t="str">
        <f t="shared" si="0"/>
        <v>No Change</v>
      </c>
      <c r="I4" s="65" t="str">
        <f t="shared" si="1"/>
        <v>010000</v>
      </c>
      <c r="J4" s="65" t="str">
        <f t="shared" si="2"/>
        <v>010000</v>
      </c>
    </row>
    <row r="5" spans="1:10" x14ac:dyDescent="0.3">
      <c r="A5" s="27" t="s">
        <v>1869</v>
      </c>
      <c r="B5" s="27" t="str">
        <f>"01.01"</f>
        <v>01.01</v>
      </c>
      <c r="C5" s="64" t="s">
        <v>2233</v>
      </c>
      <c r="D5" s="27" t="s">
        <v>2229</v>
      </c>
      <c r="E5" s="27" t="s">
        <v>2232</v>
      </c>
      <c r="F5" s="27" t="str">
        <f>"01.01"</f>
        <v>01.01</v>
      </c>
      <c r="G5" s="27" t="s">
        <v>2233</v>
      </c>
      <c r="H5" s="65" t="str">
        <f t="shared" si="0"/>
        <v>No Change</v>
      </c>
      <c r="I5" s="65" t="str">
        <f t="shared" si="1"/>
        <v/>
      </c>
      <c r="J5" s="65" t="str">
        <f t="shared" si="2"/>
        <v/>
      </c>
    </row>
    <row r="6" spans="1:10" x14ac:dyDescent="0.3">
      <c r="A6" s="27" t="s">
        <v>492</v>
      </c>
      <c r="B6" s="27" t="str">
        <f>"01.0101"</f>
        <v>01.0101</v>
      </c>
      <c r="C6" s="64" t="s">
        <v>493</v>
      </c>
      <c r="D6" s="27" t="s">
        <v>2229</v>
      </c>
      <c r="E6" s="27" t="s">
        <v>2232</v>
      </c>
      <c r="F6" s="27" t="str">
        <f>"01.0101"</f>
        <v>01.0101</v>
      </c>
      <c r="G6" s="27" t="s">
        <v>493</v>
      </c>
      <c r="H6" s="65" t="str">
        <f t="shared" si="0"/>
        <v>No Change</v>
      </c>
      <c r="I6" s="65" t="str">
        <f t="shared" si="1"/>
        <v>010101</v>
      </c>
      <c r="J6" s="65" t="str">
        <f t="shared" si="2"/>
        <v>010101</v>
      </c>
    </row>
    <row r="7" spans="1:10" x14ac:dyDescent="0.3">
      <c r="A7" s="27" t="s">
        <v>2234</v>
      </c>
      <c r="B7" s="27" t="str">
        <f>"01.0102"</f>
        <v>01.0102</v>
      </c>
      <c r="C7" s="64" t="s">
        <v>2235</v>
      </c>
      <c r="D7" s="27" t="s">
        <v>2229</v>
      </c>
      <c r="E7" s="27" t="s">
        <v>2232</v>
      </c>
      <c r="F7" s="27" t="str">
        <f>"01.0102"</f>
        <v>01.0102</v>
      </c>
      <c r="G7" s="27" t="s">
        <v>2235</v>
      </c>
      <c r="H7" s="65" t="str">
        <f t="shared" si="0"/>
        <v>No Change</v>
      </c>
      <c r="I7" s="65" t="str">
        <f t="shared" si="1"/>
        <v>010102</v>
      </c>
      <c r="J7" s="65" t="str">
        <f t="shared" si="2"/>
        <v>010102</v>
      </c>
    </row>
    <row r="8" spans="1:10" x14ac:dyDescent="0.3">
      <c r="A8" s="27" t="s">
        <v>2236</v>
      </c>
      <c r="B8" s="27" t="str">
        <f>"01.0103"</f>
        <v>01.0103</v>
      </c>
      <c r="C8" s="64" t="s">
        <v>2237</v>
      </c>
      <c r="D8" s="27" t="s">
        <v>2229</v>
      </c>
      <c r="E8" s="27" t="s">
        <v>2232</v>
      </c>
      <c r="F8" s="27" t="str">
        <f>"01.0103"</f>
        <v>01.0103</v>
      </c>
      <c r="G8" s="27" t="s">
        <v>2237</v>
      </c>
      <c r="H8" s="65" t="str">
        <f t="shared" si="0"/>
        <v>No Change</v>
      </c>
      <c r="I8" s="65" t="str">
        <f t="shared" si="1"/>
        <v>010103</v>
      </c>
      <c r="J8" s="65" t="str">
        <f t="shared" si="2"/>
        <v>010103</v>
      </c>
    </row>
    <row r="9" spans="1:10" x14ac:dyDescent="0.3">
      <c r="A9" s="27" t="s">
        <v>2238</v>
      </c>
      <c r="B9" s="27" t="str">
        <f>"01.0104"</f>
        <v>01.0104</v>
      </c>
      <c r="C9" s="64" t="s">
        <v>2239</v>
      </c>
      <c r="D9" s="27" t="s">
        <v>2229</v>
      </c>
      <c r="E9" s="27" t="s">
        <v>2232</v>
      </c>
      <c r="F9" s="27" t="str">
        <f>"01.0104"</f>
        <v>01.0104</v>
      </c>
      <c r="G9" s="27" t="s">
        <v>2239</v>
      </c>
      <c r="H9" s="65" t="str">
        <f t="shared" si="0"/>
        <v>No Change</v>
      </c>
      <c r="I9" s="65" t="str">
        <f t="shared" si="1"/>
        <v>010104</v>
      </c>
      <c r="J9" s="65" t="str">
        <f t="shared" si="2"/>
        <v>010104</v>
      </c>
    </row>
    <row r="10" spans="1:10" x14ac:dyDescent="0.3">
      <c r="A10" s="27" t="s">
        <v>2240</v>
      </c>
      <c r="B10" s="27" t="str">
        <f>"01.0105"</f>
        <v>01.0105</v>
      </c>
      <c r="C10" s="64" t="s">
        <v>2241</v>
      </c>
      <c r="D10" s="27" t="s">
        <v>2229</v>
      </c>
      <c r="E10" s="27" t="s">
        <v>2232</v>
      </c>
      <c r="F10" s="27" t="str">
        <f>"01.0105"</f>
        <v>01.0105</v>
      </c>
      <c r="G10" s="27" t="s">
        <v>2241</v>
      </c>
      <c r="H10" s="65" t="str">
        <f t="shared" si="0"/>
        <v>No Change</v>
      </c>
      <c r="I10" s="65" t="str">
        <f t="shared" si="1"/>
        <v>010105</v>
      </c>
      <c r="J10" s="65" t="str">
        <f t="shared" si="2"/>
        <v>010105</v>
      </c>
    </row>
    <row r="11" spans="1:10" x14ac:dyDescent="0.3">
      <c r="A11" s="27" t="s">
        <v>2242</v>
      </c>
      <c r="B11" s="27" t="str">
        <f>"01.0106"</f>
        <v>01.0106</v>
      </c>
      <c r="C11" s="64" t="s">
        <v>2243</v>
      </c>
      <c r="D11" s="27" t="s">
        <v>2229</v>
      </c>
      <c r="E11" s="27" t="s">
        <v>2230</v>
      </c>
      <c r="F11" s="27" t="str">
        <f>"01.0106"</f>
        <v>01.0106</v>
      </c>
      <c r="G11" s="27" t="s">
        <v>2244</v>
      </c>
      <c r="H11" s="65" t="str">
        <f t="shared" si="0"/>
        <v>No Change</v>
      </c>
      <c r="I11" s="65" t="str">
        <f t="shared" si="1"/>
        <v>010106</v>
      </c>
      <c r="J11" s="65" t="str">
        <f t="shared" si="2"/>
        <v>010106</v>
      </c>
    </row>
    <row r="12" spans="1:10" x14ac:dyDescent="0.3">
      <c r="A12" s="27" t="s">
        <v>2245</v>
      </c>
      <c r="B12" s="27" t="str">
        <f>"01.0199"</f>
        <v>01.0199</v>
      </c>
      <c r="C12" s="64" t="s">
        <v>2246</v>
      </c>
      <c r="D12" s="27" t="s">
        <v>2229</v>
      </c>
      <c r="E12" s="27" t="s">
        <v>2232</v>
      </c>
      <c r="F12" s="27" t="str">
        <f>"01.0199"</f>
        <v>01.0199</v>
      </c>
      <c r="G12" s="27" t="s">
        <v>2246</v>
      </c>
      <c r="H12" s="65" t="str">
        <f t="shared" si="0"/>
        <v>No Change</v>
      </c>
      <c r="I12" s="65" t="str">
        <f t="shared" si="1"/>
        <v>010199</v>
      </c>
      <c r="J12" s="65" t="str">
        <f t="shared" si="2"/>
        <v>010199</v>
      </c>
    </row>
    <row r="13" spans="1:10" x14ac:dyDescent="0.3">
      <c r="A13" s="27" t="s">
        <v>1869</v>
      </c>
      <c r="B13" s="27" t="str">
        <f>"01.02"</f>
        <v>01.02</v>
      </c>
      <c r="C13" s="64" t="s">
        <v>2247</v>
      </c>
      <c r="D13" s="27" t="s">
        <v>2229</v>
      </c>
      <c r="E13" s="27" t="s">
        <v>2232</v>
      </c>
      <c r="F13" s="27" t="str">
        <f>"01.02"</f>
        <v>01.02</v>
      </c>
      <c r="G13" s="27" t="s">
        <v>2247</v>
      </c>
      <c r="H13" s="65" t="str">
        <f t="shared" si="0"/>
        <v>No Change</v>
      </c>
      <c r="I13" s="65" t="str">
        <f t="shared" si="1"/>
        <v/>
      </c>
      <c r="J13" s="65" t="str">
        <f t="shared" si="2"/>
        <v/>
      </c>
    </row>
    <row r="14" spans="1:10" x14ac:dyDescent="0.3">
      <c r="A14" s="27" t="s">
        <v>2248</v>
      </c>
      <c r="B14" s="27" t="str">
        <f>"01.0201"</f>
        <v>01.0201</v>
      </c>
      <c r="C14" s="64" t="s">
        <v>2249</v>
      </c>
      <c r="D14" s="27" t="s">
        <v>2229</v>
      </c>
      <c r="E14" s="27" t="s">
        <v>2232</v>
      </c>
      <c r="F14" s="27" t="str">
        <f>"01.0201"</f>
        <v>01.0201</v>
      </c>
      <c r="G14" s="27" t="s">
        <v>2249</v>
      </c>
      <c r="H14" s="65" t="str">
        <f t="shared" si="0"/>
        <v>No Change</v>
      </c>
      <c r="I14" s="65" t="str">
        <f t="shared" si="1"/>
        <v>010201</v>
      </c>
      <c r="J14" s="65" t="str">
        <f t="shared" si="2"/>
        <v>010201</v>
      </c>
    </row>
    <row r="15" spans="1:10" x14ac:dyDescent="0.3">
      <c r="A15" s="27" t="s">
        <v>2250</v>
      </c>
      <c r="B15" s="27" t="str">
        <f>"01.0204"</f>
        <v>01.0204</v>
      </c>
      <c r="C15" s="64" t="s">
        <v>2251</v>
      </c>
      <c r="D15" s="27" t="s">
        <v>2229</v>
      </c>
      <c r="E15" s="27" t="s">
        <v>2232</v>
      </c>
      <c r="F15" s="27" t="str">
        <f>"01.0204"</f>
        <v>01.0204</v>
      </c>
      <c r="G15" s="27" t="s">
        <v>2251</v>
      </c>
      <c r="H15" s="65" t="str">
        <f t="shared" si="0"/>
        <v>No Change</v>
      </c>
      <c r="I15" s="65" t="str">
        <f t="shared" si="1"/>
        <v>010204</v>
      </c>
      <c r="J15" s="65" t="str">
        <f t="shared" si="2"/>
        <v>010204</v>
      </c>
    </row>
    <row r="16" spans="1:10" x14ac:dyDescent="0.3">
      <c r="A16" s="27" t="s">
        <v>2252</v>
      </c>
      <c r="B16" s="27" t="str">
        <f>"01.0205"</f>
        <v>01.0205</v>
      </c>
      <c r="C16" s="64" t="s">
        <v>2253</v>
      </c>
      <c r="D16" s="27" t="s">
        <v>2229</v>
      </c>
      <c r="E16" s="27" t="s">
        <v>2230</v>
      </c>
      <c r="F16" s="27" t="str">
        <f>"01.0205"</f>
        <v>01.0205</v>
      </c>
      <c r="G16" s="27" t="s">
        <v>2254</v>
      </c>
      <c r="H16" s="65" t="str">
        <f t="shared" si="0"/>
        <v>No Change</v>
      </c>
      <c r="I16" s="65" t="str">
        <f t="shared" si="1"/>
        <v>010205</v>
      </c>
      <c r="J16" s="65" t="str">
        <f t="shared" si="2"/>
        <v>010205</v>
      </c>
    </row>
    <row r="17" spans="1:10" x14ac:dyDescent="0.3">
      <c r="A17" s="27" t="s">
        <v>1869</v>
      </c>
      <c r="D17" s="27" t="s">
        <v>2255</v>
      </c>
      <c r="E17" s="27" t="s">
        <v>2232</v>
      </c>
      <c r="F17" s="27" t="str">
        <f>"01.0207"</f>
        <v>01.0207</v>
      </c>
      <c r="G17" s="27" t="s">
        <v>2256</v>
      </c>
      <c r="H17" s="65" t="str">
        <f t="shared" si="0"/>
        <v>Other</v>
      </c>
      <c r="I17" s="65" t="str">
        <f t="shared" si="1"/>
        <v/>
      </c>
      <c r="J17" s="65" t="str">
        <f t="shared" si="2"/>
        <v>010207</v>
      </c>
    </row>
    <row r="18" spans="1:10" x14ac:dyDescent="0.3">
      <c r="A18" s="27" t="s">
        <v>2257</v>
      </c>
      <c r="B18" s="27" t="str">
        <f>"01.0299"</f>
        <v>01.0299</v>
      </c>
      <c r="C18" s="64" t="s">
        <v>2258</v>
      </c>
      <c r="D18" s="27" t="s">
        <v>2229</v>
      </c>
      <c r="E18" s="27" t="s">
        <v>2232</v>
      </c>
      <c r="F18" s="27" t="str">
        <f>"01.0299"</f>
        <v>01.0299</v>
      </c>
      <c r="G18" s="27" t="s">
        <v>2258</v>
      </c>
      <c r="H18" s="65" t="str">
        <f t="shared" si="0"/>
        <v>No Change</v>
      </c>
      <c r="I18" s="65" t="str">
        <f t="shared" si="1"/>
        <v>010299</v>
      </c>
      <c r="J18" s="65" t="str">
        <f t="shared" si="2"/>
        <v>010299</v>
      </c>
    </row>
    <row r="19" spans="1:10" x14ac:dyDescent="0.3">
      <c r="A19" s="27" t="s">
        <v>1869</v>
      </c>
      <c r="B19" s="27" t="str">
        <f>"01.03"</f>
        <v>01.03</v>
      </c>
      <c r="C19" s="64" t="s">
        <v>2259</v>
      </c>
      <c r="D19" s="27" t="s">
        <v>2229</v>
      </c>
      <c r="E19" s="27" t="s">
        <v>2232</v>
      </c>
      <c r="F19" s="27" t="str">
        <f>"01.03"</f>
        <v>01.03</v>
      </c>
      <c r="G19" s="27" t="s">
        <v>2259</v>
      </c>
      <c r="H19" s="65" t="str">
        <f t="shared" si="0"/>
        <v>No Change</v>
      </c>
      <c r="I19" s="65" t="str">
        <f t="shared" si="1"/>
        <v/>
      </c>
      <c r="J19" s="65" t="str">
        <f t="shared" si="2"/>
        <v/>
      </c>
    </row>
    <row r="20" spans="1:10" x14ac:dyDescent="0.3">
      <c r="A20" s="27" t="s">
        <v>2260</v>
      </c>
      <c r="B20" s="27" t="str">
        <f>"01.0301"</f>
        <v>01.0301</v>
      </c>
      <c r="C20" s="64" t="s">
        <v>2261</v>
      </c>
      <c r="D20" s="27" t="s">
        <v>2229</v>
      </c>
      <c r="E20" s="27" t="s">
        <v>2232</v>
      </c>
      <c r="F20" s="27" t="str">
        <f>"01.0301"</f>
        <v>01.0301</v>
      </c>
      <c r="G20" s="27" t="s">
        <v>2261</v>
      </c>
      <c r="H20" s="65" t="str">
        <f t="shared" si="0"/>
        <v>No Change</v>
      </c>
      <c r="I20" s="65" t="str">
        <f t="shared" si="1"/>
        <v>010301</v>
      </c>
      <c r="J20" s="65" t="str">
        <f t="shared" si="2"/>
        <v>010301</v>
      </c>
    </row>
    <row r="21" spans="1:10" x14ac:dyDescent="0.3">
      <c r="A21" s="27" t="s">
        <v>2262</v>
      </c>
      <c r="B21" s="27" t="str">
        <f>"01.0302"</f>
        <v>01.0302</v>
      </c>
      <c r="C21" s="64" t="s">
        <v>2263</v>
      </c>
      <c r="D21" s="27" t="s">
        <v>2229</v>
      </c>
      <c r="E21" s="27" t="s">
        <v>2232</v>
      </c>
      <c r="F21" s="27" t="str">
        <f>"01.0302"</f>
        <v>01.0302</v>
      </c>
      <c r="G21" s="27" t="s">
        <v>2263</v>
      </c>
      <c r="H21" s="65" t="str">
        <f t="shared" si="0"/>
        <v>No Change</v>
      </c>
      <c r="I21" s="65" t="str">
        <f t="shared" si="1"/>
        <v>010302</v>
      </c>
      <c r="J21" s="65" t="str">
        <f t="shared" si="2"/>
        <v>010302</v>
      </c>
    </row>
    <row r="22" spans="1:10" x14ac:dyDescent="0.3">
      <c r="A22" s="27" t="s">
        <v>860</v>
      </c>
      <c r="B22" s="27" t="str">
        <f>"01.0303"</f>
        <v>01.0303</v>
      </c>
      <c r="C22" s="64" t="s">
        <v>861</v>
      </c>
      <c r="D22" s="27" t="s">
        <v>2229</v>
      </c>
      <c r="E22" s="27" t="s">
        <v>2232</v>
      </c>
      <c r="F22" s="27" t="str">
        <f>"01.0303"</f>
        <v>01.0303</v>
      </c>
      <c r="G22" s="27" t="s">
        <v>861</v>
      </c>
      <c r="H22" s="65" t="str">
        <f t="shared" si="0"/>
        <v>No Change</v>
      </c>
      <c r="I22" s="65" t="str">
        <f t="shared" si="1"/>
        <v>010303</v>
      </c>
      <c r="J22" s="65" t="str">
        <f t="shared" si="2"/>
        <v>010303</v>
      </c>
    </row>
    <row r="23" spans="1:10" x14ac:dyDescent="0.3">
      <c r="A23" s="27" t="s">
        <v>2264</v>
      </c>
      <c r="B23" s="27" t="str">
        <f>"01.0304"</f>
        <v>01.0304</v>
      </c>
      <c r="C23" s="64" t="s">
        <v>2265</v>
      </c>
      <c r="D23" s="27" t="s">
        <v>2229</v>
      </c>
      <c r="E23" s="27" t="s">
        <v>2232</v>
      </c>
      <c r="F23" s="27" t="str">
        <f>"01.0304"</f>
        <v>01.0304</v>
      </c>
      <c r="G23" s="27" t="s">
        <v>2265</v>
      </c>
      <c r="H23" s="65" t="str">
        <f t="shared" si="0"/>
        <v>No Change</v>
      </c>
      <c r="I23" s="65" t="str">
        <f t="shared" si="1"/>
        <v>010304</v>
      </c>
      <c r="J23" s="65" t="str">
        <f t="shared" si="2"/>
        <v>010304</v>
      </c>
    </row>
    <row r="24" spans="1:10" x14ac:dyDescent="0.3">
      <c r="A24" s="27" t="s">
        <v>2266</v>
      </c>
      <c r="B24" s="27" t="str">
        <f>"01.0306"</f>
        <v>01.0306</v>
      </c>
      <c r="C24" s="64" t="s">
        <v>2267</v>
      </c>
      <c r="D24" s="27" t="s">
        <v>2229</v>
      </c>
      <c r="E24" s="27" t="s">
        <v>2232</v>
      </c>
      <c r="F24" s="27" t="str">
        <f>"01.0306"</f>
        <v>01.0306</v>
      </c>
      <c r="G24" s="27" t="s">
        <v>2267</v>
      </c>
      <c r="H24" s="65" t="str">
        <f t="shared" si="0"/>
        <v>No Change</v>
      </c>
      <c r="I24" s="65" t="str">
        <f t="shared" si="1"/>
        <v>010306</v>
      </c>
      <c r="J24" s="65" t="str">
        <f t="shared" si="2"/>
        <v>010306</v>
      </c>
    </row>
    <row r="25" spans="1:10" x14ac:dyDescent="0.3">
      <c r="A25" s="27" t="s">
        <v>2268</v>
      </c>
      <c r="B25" s="27" t="str">
        <f>"01.0307"</f>
        <v>01.0307</v>
      </c>
      <c r="C25" s="64" t="s">
        <v>2269</v>
      </c>
      <c r="D25" s="27" t="s">
        <v>2229</v>
      </c>
      <c r="E25" s="27" t="s">
        <v>2232</v>
      </c>
      <c r="F25" s="27" t="str">
        <f>"01.0307"</f>
        <v>01.0307</v>
      </c>
      <c r="G25" s="27" t="s">
        <v>2269</v>
      </c>
      <c r="H25" s="65" t="str">
        <f t="shared" si="0"/>
        <v>No Change</v>
      </c>
      <c r="I25" s="65" t="str">
        <f t="shared" si="1"/>
        <v>010307</v>
      </c>
      <c r="J25" s="65" t="str">
        <f t="shared" si="2"/>
        <v>010307</v>
      </c>
    </row>
    <row r="26" spans="1:10" x14ac:dyDescent="0.3">
      <c r="A26" s="27" t="s">
        <v>2270</v>
      </c>
      <c r="B26" s="27" t="str">
        <f>"01.0308"</f>
        <v>01.0308</v>
      </c>
      <c r="C26" s="64" t="s">
        <v>2271</v>
      </c>
      <c r="D26" s="27" t="s">
        <v>2229</v>
      </c>
      <c r="E26" s="27" t="s">
        <v>2232</v>
      </c>
      <c r="F26" s="27" t="str">
        <f>"01.0308"</f>
        <v>01.0308</v>
      </c>
      <c r="G26" s="27" t="s">
        <v>2271</v>
      </c>
      <c r="H26" s="65" t="str">
        <f t="shared" si="0"/>
        <v>No Change</v>
      </c>
      <c r="I26" s="65" t="str">
        <f t="shared" si="1"/>
        <v>010308</v>
      </c>
      <c r="J26" s="65" t="str">
        <f t="shared" si="2"/>
        <v>010308</v>
      </c>
    </row>
    <row r="27" spans="1:10" x14ac:dyDescent="0.3">
      <c r="A27" s="27" t="s">
        <v>2272</v>
      </c>
      <c r="B27" s="27" t="str">
        <f>"01.0309"</f>
        <v>01.0309</v>
      </c>
      <c r="C27" s="64" t="s">
        <v>2273</v>
      </c>
      <c r="D27" s="27" t="s">
        <v>2274</v>
      </c>
      <c r="E27" s="27" t="s">
        <v>2232</v>
      </c>
      <c r="F27" s="27" t="str">
        <f>"01.1004"</f>
        <v>01.1004</v>
      </c>
      <c r="G27" s="27" t="s">
        <v>2273</v>
      </c>
      <c r="H27" s="65" t="str">
        <f t="shared" si="0"/>
        <v>Other</v>
      </c>
      <c r="I27" s="65" t="str">
        <f t="shared" si="1"/>
        <v>010309</v>
      </c>
      <c r="J27" s="65" t="str">
        <f t="shared" si="2"/>
        <v>011004</v>
      </c>
    </row>
    <row r="28" spans="1:10" x14ac:dyDescent="0.3">
      <c r="A28" s="27" t="s">
        <v>1869</v>
      </c>
      <c r="D28" s="27" t="s">
        <v>2255</v>
      </c>
      <c r="E28" s="27" t="s">
        <v>2232</v>
      </c>
      <c r="F28" s="27" t="str">
        <f>"01.0310"</f>
        <v>01.0310</v>
      </c>
      <c r="G28" s="27" t="s">
        <v>2275</v>
      </c>
      <c r="H28" s="65" t="str">
        <f t="shared" si="0"/>
        <v>Other</v>
      </c>
      <c r="I28" s="65" t="str">
        <f t="shared" si="1"/>
        <v/>
      </c>
      <c r="J28" s="65" t="str">
        <f t="shared" si="2"/>
        <v>010310</v>
      </c>
    </row>
    <row r="29" spans="1:10" x14ac:dyDescent="0.3">
      <c r="A29" s="27" t="s">
        <v>2276</v>
      </c>
      <c r="B29" s="27" t="str">
        <f>"01.0399"</f>
        <v>01.0399</v>
      </c>
      <c r="C29" s="64" t="s">
        <v>2277</v>
      </c>
      <c r="D29" s="27" t="s">
        <v>2229</v>
      </c>
      <c r="E29" s="27" t="s">
        <v>2232</v>
      </c>
      <c r="F29" s="27" t="str">
        <f>"01.0399"</f>
        <v>01.0399</v>
      </c>
      <c r="G29" s="27" t="s">
        <v>2277</v>
      </c>
      <c r="H29" s="65" t="str">
        <f t="shared" si="0"/>
        <v>No Change</v>
      </c>
      <c r="I29" s="65" t="str">
        <f t="shared" si="1"/>
        <v>010399</v>
      </c>
      <c r="J29" s="65" t="str">
        <f t="shared" si="2"/>
        <v>010399</v>
      </c>
    </row>
    <row r="30" spans="1:10" x14ac:dyDescent="0.3">
      <c r="A30" s="27" t="s">
        <v>1869</v>
      </c>
      <c r="B30" s="27" t="str">
        <f>"01.04"</f>
        <v>01.04</v>
      </c>
      <c r="C30" s="64" t="s">
        <v>2278</v>
      </c>
      <c r="D30" s="27" t="s">
        <v>2229</v>
      </c>
      <c r="E30" s="27" t="s">
        <v>2232</v>
      </c>
      <c r="F30" s="27" t="str">
        <f>"01.04"</f>
        <v>01.04</v>
      </c>
      <c r="G30" s="27" t="s">
        <v>2278</v>
      </c>
      <c r="H30" s="65" t="str">
        <f t="shared" si="0"/>
        <v>No Change</v>
      </c>
      <c r="I30" s="65" t="str">
        <f t="shared" si="1"/>
        <v/>
      </c>
      <c r="J30" s="65" t="str">
        <f t="shared" si="2"/>
        <v/>
      </c>
    </row>
    <row r="31" spans="1:10" x14ac:dyDescent="0.3">
      <c r="A31" s="27" t="s">
        <v>2279</v>
      </c>
      <c r="B31" s="27" t="str">
        <f>"01.0401"</f>
        <v>01.0401</v>
      </c>
      <c r="C31" s="64" t="s">
        <v>2278</v>
      </c>
      <c r="D31" s="27" t="s">
        <v>2229</v>
      </c>
      <c r="E31" s="27" t="s">
        <v>2232</v>
      </c>
      <c r="F31" s="27" t="str">
        <f>"01.0401"</f>
        <v>01.0401</v>
      </c>
      <c r="G31" s="27" t="s">
        <v>2278</v>
      </c>
      <c r="H31" s="65" t="str">
        <f t="shared" si="0"/>
        <v>No Change</v>
      </c>
      <c r="I31" s="65" t="str">
        <f t="shared" si="1"/>
        <v>010401</v>
      </c>
      <c r="J31" s="65" t="str">
        <f t="shared" si="2"/>
        <v>010401</v>
      </c>
    </row>
    <row r="32" spans="1:10" x14ac:dyDescent="0.3">
      <c r="A32" s="27" t="s">
        <v>1869</v>
      </c>
      <c r="B32" s="27" t="str">
        <f>"01.05"</f>
        <v>01.05</v>
      </c>
      <c r="C32" s="64" t="s">
        <v>2280</v>
      </c>
      <c r="D32" s="27" t="s">
        <v>2229</v>
      </c>
      <c r="E32" s="27" t="s">
        <v>2232</v>
      </c>
      <c r="F32" s="27" t="str">
        <f>"01.05"</f>
        <v>01.05</v>
      </c>
      <c r="G32" s="27" t="s">
        <v>2280</v>
      </c>
      <c r="H32" s="65" t="str">
        <f t="shared" si="0"/>
        <v>No Change</v>
      </c>
      <c r="I32" s="65" t="str">
        <f t="shared" si="1"/>
        <v/>
      </c>
      <c r="J32" s="65" t="str">
        <f t="shared" si="2"/>
        <v/>
      </c>
    </row>
    <row r="33" spans="1:10" x14ac:dyDescent="0.3">
      <c r="A33" s="27" t="s">
        <v>2281</v>
      </c>
      <c r="B33" s="27" t="str">
        <f>"01.0504"</f>
        <v>01.0504</v>
      </c>
      <c r="C33" s="64" t="s">
        <v>2282</v>
      </c>
      <c r="D33" s="27" t="s">
        <v>2229</v>
      </c>
      <c r="E33" s="27" t="s">
        <v>2232</v>
      </c>
      <c r="F33" s="27" t="str">
        <f>"01.0504"</f>
        <v>01.0504</v>
      </c>
      <c r="G33" s="27" t="s">
        <v>2282</v>
      </c>
      <c r="H33" s="65" t="str">
        <f t="shared" si="0"/>
        <v>No Change</v>
      </c>
      <c r="I33" s="65" t="str">
        <f t="shared" si="1"/>
        <v>010504</v>
      </c>
      <c r="J33" s="65" t="str">
        <f t="shared" si="2"/>
        <v>010504</v>
      </c>
    </row>
    <row r="34" spans="1:10" x14ac:dyDescent="0.3">
      <c r="A34" s="27" t="s">
        <v>2283</v>
      </c>
      <c r="B34" s="27" t="str">
        <f>"01.0505"</f>
        <v>01.0505</v>
      </c>
      <c r="C34" s="64" t="s">
        <v>2284</v>
      </c>
      <c r="D34" s="27" t="s">
        <v>2229</v>
      </c>
      <c r="E34" s="27" t="s">
        <v>2232</v>
      </c>
      <c r="F34" s="27" t="str">
        <f>"01.0505"</f>
        <v>01.0505</v>
      </c>
      <c r="G34" s="27" t="s">
        <v>2284</v>
      </c>
      <c r="H34" s="65" t="str">
        <f t="shared" si="0"/>
        <v>No Change</v>
      </c>
      <c r="I34" s="65" t="str">
        <f t="shared" si="1"/>
        <v>010505</v>
      </c>
      <c r="J34" s="65" t="str">
        <f t="shared" si="2"/>
        <v>010505</v>
      </c>
    </row>
    <row r="35" spans="1:10" x14ac:dyDescent="0.3">
      <c r="A35" s="27" t="s">
        <v>495</v>
      </c>
      <c r="B35" s="27" t="str">
        <f>"01.0507"</f>
        <v>01.0507</v>
      </c>
      <c r="C35" s="64" t="s">
        <v>496</v>
      </c>
      <c r="D35" s="27" t="s">
        <v>2229</v>
      </c>
      <c r="E35" s="27" t="s">
        <v>2232</v>
      </c>
      <c r="F35" s="27" t="str">
        <f>"01.0507"</f>
        <v>01.0507</v>
      </c>
      <c r="G35" s="27" t="s">
        <v>496</v>
      </c>
      <c r="H35" s="65" t="str">
        <f t="shared" si="0"/>
        <v>No Change</v>
      </c>
      <c r="I35" s="65" t="str">
        <f t="shared" si="1"/>
        <v>010507</v>
      </c>
      <c r="J35" s="65" t="str">
        <f t="shared" si="2"/>
        <v>010507</v>
      </c>
    </row>
    <row r="36" spans="1:10" x14ac:dyDescent="0.3">
      <c r="A36" s="27" t="s">
        <v>2285</v>
      </c>
      <c r="B36" s="27" t="str">
        <f>"01.0508"</f>
        <v>01.0508</v>
      </c>
      <c r="C36" s="64" t="s">
        <v>2286</v>
      </c>
      <c r="D36" s="27" t="s">
        <v>2229</v>
      </c>
      <c r="E36" s="27" t="s">
        <v>2232</v>
      </c>
      <c r="F36" s="27" t="str">
        <f>"01.0508"</f>
        <v>01.0508</v>
      </c>
      <c r="G36" s="27" t="s">
        <v>2286</v>
      </c>
      <c r="H36" s="65" t="str">
        <f t="shared" si="0"/>
        <v>No Change</v>
      </c>
      <c r="I36" s="65" t="str">
        <f t="shared" si="1"/>
        <v>010508</v>
      </c>
      <c r="J36" s="65" t="str">
        <f t="shared" si="2"/>
        <v>010508</v>
      </c>
    </row>
    <row r="37" spans="1:10" x14ac:dyDescent="0.3">
      <c r="A37" s="27" t="s">
        <v>1869</v>
      </c>
      <c r="D37" s="27" t="s">
        <v>2255</v>
      </c>
      <c r="E37" s="27" t="s">
        <v>2232</v>
      </c>
      <c r="F37" s="27" t="str">
        <f>"01.0509"</f>
        <v>01.0509</v>
      </c>
      <c r="G37" s="27" t="s">
        <v>2287</v>
      </c>
      <c r="H37" s="65" t="str">
        <f t="shared" si="0"/>
        <v>Other</v>
      </c>
      <c r="I37" s="65" t="str">
        <f t="shared" si="1"/>
        <v/>
      </c>
      <c r="J37" s="65" t="str">
        <f t="shared" si="2"/>
        <v>010509</v>
      </c>
    </row>
    <row r="38" spans="1:10" x14ac:dyDescent="0.3">
      <c r="A38" s="27" t="s">
        <v>2288</v>
      </c>
      <c r="B38" s="27" t="str">
        <f>"01.0599"</f>
        <v>01.0599</v>
      </c>
      <c r="C38" s="64" t="s">
        <v>2289</v>
      </c>
      <c r="D38" s="27" t="s">
        <v>2229</v>
      </c>
      <c r="E38" s="27" t="s">
        <v>2232</v>
      </c>
      <c r="F38" s="27" t="str">
        <f>"01.0599"</f>
        <v>01.0599</v>
      </c>
      <c r="G38" s="27" t="s">
        <v>2289</v>
      </c>
      <c r="H38" s="65" t="str">
        <f t="shared" si="0"/>
        <v>No Change</v>
      </c>
      <c r="I38" s="65" t="str">
        <f t="shared" si="1"/>
        <v>010599</v>
      </c>
      <c r="J38" s="65" t="str">
        <f t="shared" si="2"/>
        <v>010599</v>
      </c>
    </row>
    <row r="39" spans="1:10" x14ac:dyDescent="0.3">
      <c r="A39" s="27" t="s">
        <v>1869</v>
      </c>
      <c r="B39" s="27" t="str">
        <f>"01.06"</f>
        <v>01.06</v>
      </c>
      <c r="C39" s="64" t="s">
        <v>2290</v>
      </c>
      <c r="D39" s="27" t="s">
        <v>2229</v>
      </c>
      <c r="E39" s="27" t="s">
        <v>2232</v>
      </c>
      <c r="F39" s="27" t="str">
        <f>"01.06"</f>
        <v>01.06</v>
      </c>
      <c r="G39" s="27" t="s">
        <v>2290</v>
      </c>
      <c r="H39" s="65" t="str">
        <f t="shared" si="0"/>
        <v>No Change</v>
      </c>
      <c r="I39" s="65" t="str">
        <f t="shared" si="1"/>
        <v/>
      </c>
      <c r="J39" s="65" t="str">
        <f t="shared" si="2"/>
        <v/>
      </c>
    </row>
    <row r="40" spans="1:10" x14ac:dyDescent="0.3">
      <c r="A40" s="27" t="s">
        <v>2291</v>
      </c>
      <c r="B40" s="27" t="str">
        <f>"01.0601"</f>
        <v>01.0601</v>
      </c>
      <c r="C40" s="64" t="s">
        <v>2292</v>
      </c>
      <c r="D40" s="27" t="s">
        <v>2229</v>
      </c>
      <c r="E40" s="27" t="s">
        <v>2232</v>
      </c>
      <c r="F40" s="27" t="str">
        <f>"01.0601"</f>
        <v>01.0601</v>
      </c>
      <c r="G40" s="27" t="s">
        <v>2292</v>
      </c>
      <c r="H40" s="65" t="str">
        <f t="shared" si="0"/>
        <v>No Change</v>
      </c>
      <c r="I40" s="65" t="str">
        <f t="shared" si="1"/>
        <v>010601</v>
      </c>
      <c r="J40" s="65" t="str">
        <f t="shared" si="2"/>
        <v>010601</v>
      </c>
    </row>
    <row r="41" spans="1:10" x14ac:dyDescent="0.3">
      <c r="A41" s="27" t="s">
        <v>2293</v>
      </c>
      <c r="B41" s="27" t="str">
        <f>"01.0603"</f>
        <v>01.0603</v>
      </c>
      <c r="C41" s="64" t="s">
        <v>2294</v>
      </c>
      <c r="D41" s="27" t="s">
        <v>2229</v>
      </c>
      <c r="E41" s="27" t="s">
        <v>2232</v>
      </c>
      <c r="F41" s="27" t="str">
        <f>"01.0603"</f>
        <v>01.0603</v>
      </c>
      <c r="G41" s="27" t="s">
        <v>2294</v>
      </c>
      <c r="H41" s="65" t="str">
        <f t="shared" si="0"/>
        <v>No Change</v>
      </c>
      <c r="I41" s="65" t="str">
        <f t="shared" si="1"/>
        <v>010603</v>
      </c>
      <c r="J41" s="65" t="str">
        <f t="shared" si="2"/>
        <v>010603</v>
      </c>
    </row>
    <row r="42" spans="1:10" x14ac:dyDescent="0.3">
      <c r="A42" s="27" t="s">
        <v>2295</v>
      </c>
      <c r="B42" s="27" t="str">
        <f>"01.0604"</f>
        <v>01.0604</v>
      </c>
      <c r="C42" s="64" t="s">
        <v>2296</v>
      </c>
      <c r="D42" s="27" t="s">
        <v>2229</v>
      </c>
      <c r="E42" s="27" t="s">
        <v>2232</v>
      </c>
      <c r="F42" s="27" t="str">
        <f>"01.0604"</f>
        <v>01.0604</v>
      </c>
      <c r="G42" s="27" t="s">
        <v>2296</v>
      </c>
      <c r="H42" s="65" t="str">
        <f t="shared" si="0"/>
        <v>No Change</v>
      </c>
      <c r="I42" s="65" t="str">
        <f t="shared" si="1"/>
        <v>010604</v>
      </c>
      <c r="J42" s="65" t="str">
        <f t="shared" si="2"/>
        <v>010604</v>
      </c>
    </row>
    <row r="43" spans="1:10" x14ac:dyDescent="0.3">
      <c r="A43" s="27" t="s">
        <v>531</v>
      </c>
      <c r="B43" s="27" t="str">
        <f>"01.0605"</f>
        <v>01.0605</v>
      </c>
      <c r="C43" s="64" t="s">
        <v>532</v>
      </c>
      <c r="D43" s="27" t="s">
        <v>2229</v>
      </c>
      <c r="E43" s="27" t="s">
        <v>2232</v>
      </c>
      <c r="F43" s="27" t="str">
        <f>"01.0605"</f>
        <v>01.0605</v>
      </c>
      <c r="G43" s="27" t="s">
        <v>532</v>
      </c>
      <c r="H43" s="65" t="str">
        <f t="shared" si="0"/>
        <v>No Change</v>
      </c>
      <c r="I43" s="65" t="str">
        <f t="shared" si="1"/>
        <v>010605</v>
      </c>
      <c r="J43" s="65" t="str">
        <f t="shared" si="2"/>
        <v>010605</v>
      </c>
    </row>
    <row r="44" spans="1:10" x14ac:dyDescent="0.3">
      <c r="A44" s="27" t="s">
        <v>943</v>
      </c>
      <c r="B44" s="27" t="str">
        <f>"01.0606"</f>
        <v>01.0606</v>
      </c>
      <c r="C44" s="64" t="s">
        <v>944</v>
      </c>
      <c r="D44" s="27" t="s">
        <v>2229</v>
      </c>
      <c r="E44" s="27" t="s">
        <v>2232</v>
      </c>
      <c r="F44" s="27" t="str">
        <f>"01.0606"</f>
        <v>01.0606</v>
      </c>
      <c r="G44" s="27" t="s">
        <v>944</v>
      </c>
      <c r="H44" s="65" t="str">
        <f t="shared" si="0"/>
        <v>No Change</v>
      </c>
      <c r="I44" s="65" t="str">
        <f t="shared" si="1"/>
        <v>010606</v>
      </c>
      <c r="J44" s="65" t="str">
        <f t="shared" si="2"/>
        <v>010606</v>
      </c>
    </row>
    <row r="45" spans="1:10" x14ac:dyDescent="0.3">
      <c r="A45" s="27" t="s">
        <v>880</v>
      </c>
      <c r="B45" s="27" t="str">
        <f>"01.0607"</f>
        <v>01.0607</v>
      </c>
      <c r="C45" s="64" t="s">
        <v>881</v>
      </c>
      <c r="D45" s="27" t="s">
        <v>2229</v>
      </c>
      <c r="E45" s="27" t="s">
        <v>2232</v>
      </c>
      <c r="F45" s="27" t="str">
        <f>"01.0607"</f>
        <v>01.0607</v>
      </c>
      <c r="G45" s="27" t="s">
        <v>881</v>
      </c>
      <c r="H45" s="65" t="str">
        <f t="shared" si="0"/>
        <v>No Change</v>
      </c>
      <c r="I45" s="65" t="str">
        <f t="shared" si="1"/>
        <v>010607</v>
      </c>
      <c r="J45" s="65" t="str">
        <f t="shared" si="2"/>
        <v>010607</v>
      </c>
    </row>
    <row r="46" spans="1:10" x14ac:dyDescent="0.3">
      <c r="A46" s="27" t="s">
        <v>2297</v>
      </c>
      <c r="B46" s="27" t="str">
        <f>"01.0608"</f>
        <v>01.0608</v>
      </c>
      <c r="C46" s="64" t="s">
        <v>2298</v>
      </c>
      <c r="D46" s="27" t="s">
        <v>2229</v>
      </c>
      <c r="E46" s="27" t="s">
        <v>2232</v>
      </c>
      <c r="F46" s="27" t="str">
        <f>"01.0608"</f>
        <v>01.0608</v>
      </c>
      <c r="G46" s="27" t="s">
        <v>2298</v>
      </c>
      <c r="H46" s="65" t="str">
        <f t="shared" si="0"/>
        <v>No Change</v>
      </c>
      <c r="I46" s="65" t="str">
        <f t="shared" si="1"/>
        <v>010608</v>
      </c>
      <c r="J46" s="65" t="str">
        <f t="shared" si="2"/>
        <v>010608</v>
      </c>
    </row>
    <row r="47" spans="1:10" x14ac:dyDescent="0.3">
      <c r="A47" s="27" t="s">
        <v>1869</v>
      </c>
      <c r="D47" s="27" t="s">
        <v>2255</v>
      </c>
      <c r="E47" s="27" t="s">
        <v>2232</v>
      </c>
      <c r="F47" s="27" t="str">
        <f>"01.0609"</f>
        <v>01.0609</v>
      </c>
      <c r="G47" s="27" t="s">
        <v>2299</v>
      </c>
      <c r="H47" s="65" t="str">
        <f t="shared" si="0"/>
        <v>Other</v>
      </c>
      <c r="I47" s="65" t="str">
        <f t="shared" si="1"/>
        <v/>
      </c>
      <c r="J47" s="65" t="str">
        <f t="shared" si="2"/>
        <v>010609</v>
      </c>
    </row>
    <row r="48" spans="1:10" x14ac:dyDescent="0.3">
      <c r="A48" s="27" t="s">
        <v>1869</v>
      </c>
      <c r="D48" s="27" t="s">
        <v>2255</v>
      </c>
      <c r="E48" s="27" t="s">
        <v>2232</v>
      </c>
      <c r="F48" s="27" t="str">
        <f>"01.0610"</f>
        <v>01.0610</v>
      </c>
      <c r="G48" s="27" t="s">
        <v>2300</v>
      </c>
      <c r="H48" s="65" t="str">
        <f t="shared" si="0"/>
        <v>Other</v>
      </c>
      <c r="I48" s="65" t="str">
        <f t="shared" si="1"/>
        <v/>
      </c>
      <c r="J48" s="65" t="str">
        <f t="shared" si="2"/>
        <v>010610</v>
      </c>
    </row>
    <row r="49" spans="1:10" x14ac:dyDescent="0.3">
      <c r="A49" s="27" t="s">
        <v>2301</v>
      </c>
      <c r="B49" s="27" t="str">
        <f>"01.0699"</f>
        <v>01.0699</v>
      </c>
      <c r="C49" s="64" t="s">
        <v>2302</v>
      </c>
      <c r="D49" s="27" t="s">
        <v>2229</v>
      </c>
      <c r="E49" s="27" t="s">
        <v>2232</v>
      </c>
      <c r="F49" s="27" t="str">
        <f>"01.0699"</f>
        <v>01.0699</v>
      </c>
      <c r="G49" s="27" t="s">
        <v>2302</v>
      </c>
      <c r="H49" s="65" t="str">
        <f t="shared" si="0"/>
        <v>No Change</v>
      </c>
      <c r="I49" s="65" t="str">
        <f t="shared" si="1"/>
        <v>010699</v>
      </c>
      <c r="J49" s="65" t="str">
        <f t="shared" si="2"/>
        <v>010699</v>
      </c>
    </row>
    <row r="50" spans="1:10" x14ac:dyDescent="0.3">
      <c r="A50" s="27" t="s">
        <v>1869</v>
      </c>
      <c r="B50" s="27" t="str">
        <f>"01.07"</f>
        <v>01.07</v>
      </c>
      <c r="C50" s="64" t="s">
        <v>2303</v>
      </c>
      <c r="D50" s="27" t="s">
        <v>2229</v>
      </c>
      <c r="E50" s="27" t="s">
        <v>2232</v>
      </c>
      <c r="F50" s="27" t="str">
        <f>"01.07"</f>
        <v>01.07</v>
      </c>
      <c r="G50" s="27" t="s">
        <v>2303</v>
      </c>
      <c r="H50" s="65" t="str">
        <f t="shared" si="0"/>
        <v>No Change</v>
      </c>
      <c r="I50" s="65" t="str">
        <f t="shared" si="1"/>
        <v/>
      </c>
      <c r="J50" s="65" t="str">
        <f t="shared" si="2"/>
        <v/>
      </c>
    </row>
    <row r="51" spans="1:10" x14ac:dyDescent="0.3">
      <c r="A51" s="27" t="s">
        <v>2304</v>
      </c>
      <c r="B51" s="27" t="str">
        <f>"01.0701"</f>
        <v>01.0701</v>
      </c>
      <c r="C51" s="64" t="s">
        <v>2303</v>
      </c>
      <c r="D51" s="27" t="s">
        <v>2229</v>
      </c>
      <c r="E51" s="27" t="s">
        <v>2232</v>
      </c>
      <c r="F51" s="27" t="str">
        <f>"01.0701"</f>
        <v>01.0701</v>
      </c>
      <c r="G51" s="27" t="s">
        <v>2303</v>
      </c>
      <c r="H51" s="65" t="str">
        <f t="shared" si="0"/>
        <v>No Change</v>
      </c>
      <c r="I51" s="65" t="str">
        <f t="shared" si="1"/>
        <v>010701</v>
      </c>
      <c r="J51" s="65" t="str">
        <f t="shared" si="2"/>
        <v>010701</v>
      </c>
    </row>
    <row r="52" spans="1:10" x14ac:dyDescent="0.3">
      <c r="A52" s="27" t="s">
        <v>1869</v>
      </c>
      <c r="B52" s="27" t="str">
        <f>"01.08"</f>
        <v>01.08</v>
      </c>
      <c r="C52" s="64" t="s">
        <v>2305</v>
      </c>
      <c r="D52" s="27" t="s">
        <v>2229</v>
      </c>
      <c r="E52" s="27" t="s">
        <v>2232</v>
      </c>
      <c r="F52" s="27" t="str">
        <f>"01.08"</f>
        <v>01.08</v>
      </c>
      <c r="G52" s="27" t="s">
        <v>2305</v>
      </c>
      <c r="H52" s="65" t="str">
        <f t="shared" si="0"/>
        <v>No Change</v>
      </c>
      <c r="I52" s="65" t="str">
        <f t="shared" si="1"/>
        <v/>
      </c>
      <c r="J52" s="65" t="str">
        <f t="shared" si="2"/>
        <v/>
      </c>
    </row>
    <row r="53" spans="1:10" x14ac:dyDescent="0.3">
      <c r="A53" s="27" t="s">
        <v>2306</v>
      </c>
      <c r="B53" s="27" t="str">
        <f>"01.0801"</f>
        <v>01.0801</v>
      </c>
      <c r="C53" s="64" t="s">
        <v>2307</v>
      </c>
      <c r="D53" s="27" t="s">
        <v>2229</v>
      </c>
      <c r="E53" s="27" t="s">
        <v>2232</v>
      </c>
      <c r="F53" s="27" t="str">
        <f>"01.0801"</f>
        <v>01.0801</v>
      </c>
      <c r="G53" s="27" t="s">
        <v>2307</v>
      </c>
      <c r="H53" s="65" t="str">
        <f t="shared" si="0"/>
        <v>No Change</v>
      </c>
      <c r="I53" s="65" t="str">
        <f t="shared" si="1"/>
        <v>010801</v>
      </c>
      <c r="J53" s="65" t="str">
        <f t="shared" si="2"/>
        <v>010801</v>
      </c>
    </row>
    <row r="54" spans="1:10" x14ac:dyDescent="0.3">
      <c r="A54" s="27" t="s">
        <v>2308</v>
      </c>
      <c r="B54" s="27" t="str">
        <f>"01.0802"</f>
        <v>01.0802</v>
      </c>
      <c r="C54" s="64" t="s">
        <v>2309</v>
      </c>
      <c r="D54" s="27" t="s">
        <v>2229</v>
      </c>
      <c r="E54" s="27" t="s">
        <v>2232</v>
      </c>
      <c r="F54" s="27" t="str">
        <f>"01.0802"</f>
        <v>01.0802</v>
      </c>
      <c r="G54" s="27" t="s">
        <v>2309</v>
      </c>
      <c r="H54" s="65" t="str">
        <f t="shared" si="0"/>
        <v>No Change</v>
      </c>
      <c r="I54" s="65" t="str">
        <f t="shared" si="1"/>
        <v>010802</v>
      </c>
      <c r="J54" s="65" t="str">
        <f t="shared" si="2"/>
        <v>010802</v>
      </c>
    </row>
    <row r="55" spans="1:10" x14ac:dyDescent="0.3">
      <c r="A55" s="27" t="s">
        <v>2310</v>
      </c>
      <c r="B55" s="27" t="str">
        <f>"01.0899"</f>
        <v>01.0899</v>
      </c>
      <c r="C55" s="64" t="s">
        <v>2311</v>
      </c>
      <c r="D55" s="27" t="s">
        <v>2229</v>
      </c>
      <c r="E55" s="27" t="s">
        <v>2232</v>
      </c>
      <c r="F55" s="27" t="str">
        <f>"01.0899"</f>
        <v>01.0899</v>
      </c>
      <c r="G55" s="27" t="s">
        <v>2311</v>
      </c>
      <c r="H55" s="65" t="str">
        <f t="shared" si="0"/>
        <v>No Change</v>
      </c>
      <c r="I55" s="65" t="str">
        <f t="shared" si="1"/>
        <v>010899</v>
      </c>
      <c r="J55" s="65" t="str">
        <f t="shared" si="2"/>
        <v>010899</v>
      </c>
    </row>
    <row r="56" spans="1:10" x14ac:dyDescent="0.3">
      <c r="A56" s="27" t="s">
        <v>1869</v>
      </c>
      <c r="B56" s="27" t="str">
        <f>"01.09"</f>
        <v>01.09</v>
      </c>
      <c r="C56" s="64" t="s">
        <v>2312</v>
      </c>
      <c r="D56" s="27" t="s">
        <v>2229</v>
      </c>
      <c r="E56" s="27" t="s">
        <v>2232</v>
      </c>
      <c r="F56" s="27" t="str">
        <f>"01.09"</f>
        <v>01.09</v>
      </c>
      <c r="G56" s="27" t="s">
        <v>2312</v>
      </c>
      <c r="H56" s="65" t="str">
        <f t="shared" si="0"/>
        <v>No Change</v>
      </c>
      <c r="I56" s="65" t="str">
        <f t="shared" si="1"/>
        <v/>
      </c>
      <c r="J56" s="65" t="str">
        <f t="shared" si="2"/>
        <v/>
      </c>
    </row>
    <row r="57" spans="1:10" x14ac:dyDescent="0.3">
      <c r="A57" s="27" t="s">
        <v>2313</v>
      </c>
      <c r="B57" s="27" t="str">
        <f>"01.0901"</f>
        <v>01.0901</v>
      </c>
      <c r="C57" s="64" t="s">
        <v>2314</v>
      </c>
      <c r="D57" s="27" t="s">
        <v>2229</v>
      </c>
      <c r="E57" s="27" t="s">
        <v>2232</v>
      </c>
      <c r="F57" s="27" t="str">
        <f>"01.0901"</f>
        <v>01.0901</v>
      </c>
      <c r="G57" s="27" t="s">
        <v>2314</v>
      </c>
      <c r="H57" s="65" t="str">
        <f t="shared" si="0"/>
        <v>No Change</v>
      </c>
      <c r="I57" s="65" t="str">
        <f t="shared" si="1"/>
        <v>010901</v>
      </c>
      <c r="J57" s="65" t="str">
        <f t="shared" si="2"/>
        <v>010901</v>
      </c>
    </row>
    <row r="58" spans="1:10" x14ac:dyDescent="0.3">
      <c r="A58" s="27" t="s">
        <v>2315</v>
      </c>
      <c r="B58" s="27" t="str">
        <f>"01.0902"</f>
        <v>01.0902</v>
      </c>
      <c r="C58" s="64" t="s">
        <v>2316</v>
      </c>
      <c r="D58" s="27" t="s">
        <v>2229</v>
      </c>
      <c r="E58" s="27" t="s">
        <v>2232</v>
      </c>
      <c r="F58" s="27" t="str">
        <f>"01.0902"</f>
        <v>01.0902</v>
      </c>
      <c r="G58" s="27" t="s">
        <v>2316</v>
      </c>
      <c r="H58" s="65" t="str">
        <f t="shared" si="0"/>
        <v>No Change</v>
      </c>
      <c r="I58" s="65" t="str">
        <f t="shared" si="1"/>
        <v>010902</v>
      </c>
      <c r="J58" s="65" t="str">
        <f t="shared" si="2"/>
        <v>010902</v>
      </c>
    </row>
    <row r="59" spans="1:10" x14ac:dyDescent="0.3">
      <c r="A59" s="27" t="s">
        <v>2317</v>
      </c>
      <c r="B59" s="27" t="str">
        <f>"01.0903"</f>
        <v>01.0903</v>
      </c>
      <c r="C59" s="64" t="s">
        <v>2318</v>
      </c>
      <c r="D59" s="27" t="s">
        <v>2229</v>
      </c>
      <c r="E59" s="27" t="s">
        <v>2232</v>
      </c>
      <c r="F59" s="27" t="str">
        <f>"01.0903"</f>
        <v>01.0903</v>
      </c>
      <c r="G59" s="27" t="s">
        <v>2318</v>
      </c>
      <c r="H59" s="65" t="str">
        <f t="shared" si="0"/>
        <v>No Change</v>
      </c>
      <c r="I59" s="65" t="str">
        <f t="shared" si="1"/>
        <v>010903</v>
      </c>
      <c r="J59" s="65" t="str">
        <f t="shared" si="2"/>
        <v>010903</v>
      </c>
    </row>
    <row r="60" spans="1:10" x14ac:dyDescent="0.3">
      <c r="A60" s="27" t="s">
        <v>2319</v>
      </c>
      <c r="B60" s="27" t="str">
        <f>"01.0904"</f>
        <v>01.0904</v>
      </c>
      <c r="C60" s="64" t="s">
        <v>2320</v>
      </c>
      <c r="D60" s="27" t="s">
        <v>2229</v>
      </c>
      <c r="E60" s="27" t="s">
        <v>2232</v>
      </c>
      <c r="F60" s="27" t="str">
        <f>"01.0904"</f>
        <v>01.0904</v>
      </c>
      <c r="G60" s="27" t="s">
        <v>2320</v>
      </c>
      <c r="H60" s="65" t="str">
        <f t="shared" si="0"/>
        <v>No Change</v>
      </c>
      <c r="I60" s="65" t="str">
        <f t="shared" si="1"/>
        <v>010904</v>
      </c>
      <c r="J60" s="65" t="str">
        <f t="shared" si="2"/>
        <v>010904</v>
      </c>
    </row>
    <row r="61" spans="1:10" x14ac:dyDescent="0.3">
      <c r="A61" s="27" t="s">
        <v>2321</v>
      </c>
      <c r="B61" s="27" t="str">
        <f>"01.0905"</f>
        <v>01.0905</v>
      </c>
      <c r="C61" s="64" t="s">
        <v>2322</v>
      </c>
      <c r="D61" s="27" t="s">
        <v>2229</v>
      </c>
      <c r="E61" s="27" t="s">
        <v>2232</v>
      </c>
      <c r="F61" s="27" t="str">
        <f>"01.0905"</f>
        <v>01.0905</v>
      </c>
      <c r="G61" s="27" t="s">
        <v>2322</v>
      </c>
      <c r="H61" s="65" t="str">
        <f t="shared" si="0"/>
        <v>No Change</v>
      </c>
      <c r="I61" s="65" t="str">
        <f t="shared" si="1"/>
        <v>010905</v>
      </c>
      <c r="J61" s="65" t="str">
        <f t="shared" si="2"/>
        <v>010905</v>
      </c>
    </row>
    <row r="62" spans="1:10" x14ac:dyDescent="0.3">
      <c r="A62" s="27" t="s">
        <v>2323</v>
      </c>
      <c r="B62" s="27" t="str">
        <f>"01.0906"</f>
        <v>01.0906</v>
      </c>
      <c r="C62" s="64" t="s">
        <v>2324</v>
      </c>
      <c r="D62" s="27" t="s">
        <v>2229</v>
      </c>
      <c r="E62" s="27" t="s">
        <v>2232</v>
      </c>
      <c r="F62" s="27" t="str">
        <f>"01.0906"</f>
        <v>01.0906</v>
      </c>
      <c r="G62" s="27" t="s">
        <v>2324</v>
      </c>
      <c r="H62" s="65" t="str">
        <f t="shared" si="0"/>
        <v>No Change</v>
      </c>
      <c r="I62" s="65" t="str">
        <f t="shared" si="1"/>
        <v>010906</v>
      </c>
      <c r="J62" s="65" t="str">
        <f t="shared" si="2"/>
        <v>010906</v>
      </c>
    </row>
    <row r="63" spans="1:10" x14ac:dyDescent="0.3">
      <c r="A63" s="27" t="s">
        <v>2325</v>
      </c>
      <c r="B63" s="27" t="str">
        <f>"01.0907"</f>
        <v>01.0907</v>
      </c>
      <c r="C63" s="64" t="s">
        <v>2326</v>
      </c>
      <c r="D63" s="27" t="s">
        <v>2229</v>
      </c>
      <c r="E63" s="27" t="s">
        <v>2232</v>
      </c>
      <c r="F63" s="27" t="str">
        <f>"01.0907"</f>
        <v>01.0907</v>
      </c>
      <c r="G63" s="27" t="s">
        <v>2326</v>
      </c>
      <c r="H63" s="65" t="str">
        <f t="shared" si="0"/>
        <v>No Change</v>
      </c>
      <c r="I63" s="65" t="str">
        <f t="shared" si="1"/>
        <v>010907</v>
      </c>
      <c r="J63" s="65" t="str">
        <f t="shared" si="2"/>
        <v>010907</v>
      </c>
    </row>
    <row r="64" spans="1:10" x14ac:dyDescent="0.3">
      <c r="A64" s="27" t="s">
        <v>651</v>
      </c>
      <c r="B64" s="27" t="str">
        <f>"01.0999"</f>
        <v>01.0999</v>
      </c>
      <c r="C64" s="64" t="s">
        <v>652</v>
      </c>
      <c r="D64" s="27" t="s">
        <v>2229</v>
      </c>
      <c r="E64" s="27" t="s">
        <v>2232</v>
      </c>
      <c r="F64" s="27" t="str">
        <f>"01.0999"</f>
        <v>01.0999</v>
      </c>
      <c r="G64" s="27" t="s">
        <v>652</v>
      </c>
      <c r="H64" s="65" t="str">
        <f t="shared" si="0"/>
        <v>No Change</v>
      </c>
      <c r="I64" s="65" t="str">
        <f t="shared" si="1"/>
        <v>010999</v>
      </c>
      <c r="J64" s="65" t="str">
        <f t="shared" si="2"/>
        <v>010999</v>
      </c>
    </row>
    <row r="65" spans="1:10" x14ac:dyDescent="0.3">
      <c r="A65" s="27" t="s">
        <v>1869</v>
      </c>
      <c r="B65" s="27" t="str">
        <f>"01.10"</f>
        <v>01.10</v>
      </c>
      <c r="C65" s="64" t="s">
        <v>2327</v>
      </c>
      <c r="D65" s="27" t="s">
        <v>2229</v>
      </c>
      <c r="E65" s="27" t="s">
        <v>2232</v>
      </c>
      <c r="F65" s="27" t="str">
        <f>"01.10"</f>
        <v>01.10</v>
      </c>
      <c r="G65" s="27" t="s">
        <v>2327</v>
      </c>
      <c r="H65" s="65" t="str">
        <f t="shared" si="0"/>
        <v>No Change</v>
      </c>
      <c r="I65" s="65" t="str">
        <f t="shared" si="1"/>
        <v/>
      </c>
      <c r="J65" s="65" t="str">
        <f t="shared" si="2"/>
        <v/>
      </c>
    </row>
    <row r="66" spans="1:10" x14ac:dyDescent="0.3">
      <c r="A66" s="27" t="s">
        <v>2328</v>
      </c>
      <c r="B66" s="27" t="str">
        <f>"01.1001"</f>
        <v>01.1001</v>
      </c>
      <c r="C66" s="64" t="s">
        <v>2329</v>
      </c>
      <c r="D66" s="27" t="s">
        <v>2229</v>
      </c>
      <c r="E66" s="27" t="s">
        <v>2232</v>
      </c>
      <c r="F66" s="27" t="str">
        <f>"01.1001"</f>
        <v>01.1001</v>
      </c>
      <c r="G66" s="27" t="s">
        <v>2329</v>
      </c>
      <c r="H66" s="65" t="str">
        <f t="shared" si="0"/>
        <v>No Change</v>
      </c>
      <c r="I66" s="65" t="str">
        <f t="shared" si="1"/>
        <v>011001</v>
      </c>
      <c r="J66" s="65" t="str">
        <f t="shared" si="2"/>
        <v>011001</v>
      </c>
    </row>
    <row r="67" spans="1:10" x14ac:dyDescent="0.3">
      <c r="A67" s="27" t="s">
        <v>2330</v>
      </c>
      <c r="B67" s="27" t="str">
        <f>"01.1002"</f>
        <v>01.1002</v>
      </c>
      <c r="C67" s="64" t="s">
        <v>2331</v>
      </c>
      <c r="D67" s="27" t="s">
        <v>2229</v>
      </c>
      <c r="E67" s="27" t="s">
        <v>2232</v>
      </c>
      <c r="F67" s="27" t="str">
        <f>"01.1002"</f>
        <v>01.1002</v>
      </c>
      <c r="G67" s="27" t="s">
        <v>2331</v>
      </c>
      <c r="H67" s="65" t="str">
        <f t="shared" ref="H67:H130" si="3">IF(I67=J67,"No Change","Other")</f>
        <v>No Change</v>
      </c>
      <c r="I67" s="65" t="str">
        <f t="shared" ref="I67:I130" si="4">SUBSTITUTE(IF(SUM(LEN(B67))&lt;7,"",B67),".","")</f>
        <v>011002</v>
      </c>
      <c r="J67" s="65" t="str">
        <f t="shared" ref="J67:J130" si="5">SUBSTITUTE(IF(SUM(LEN(F67))&lt;7,"",F67),".","")</f>
        <v>011002</v>
      </c>
    </row>
    <row r="68" spans="1:10" x14ac:dyDescent="0.3">
      <c r="A68" s="27" t="s">
        <v>1869</v>
      </c>
      <c r="D68" s="27" t="s">
        <v>2255</v>
      </c>
      <c r="E68" s="27" t="s">
        <v>2232</v>
      </c>
      <c r="F68" s="27" t="str">
        <f>"01.1003"</f>
        <v>01.1003</v>
      </c>
      <c r="G68" s="27" t="s">
        <v>2332</v>
      </c>
      <c r="H68" s="65" t="str">
        <f t="shared" si="3"/>
        <v>Other</v>
      </c>
      <c r="I68" s="65" t="str">
        <f t="shared" si="4"/>
        <v/>
      </c>
      <c r="J68" s="65" t="str">
        <f t="shared" si="5"/>
        <v>011003</v>
      </c>
    </row>
    <row r="69" spans="1:10" x14ac:dyDescent="0.3">
      <c r="A69" s="27" t="s">
        <v>1869</v>
      </c>
      <c r="D69" s="27" t="s">
        <v>2255</v>
      </c>
      <c r="E69" s="27" t="s">
        <v>2232</v>
      </c>
      <c r="F69" s="27" t="str">
        <f>"01.1005"</f>
        <v>01.1005</v>
      </c>
      <c r="G69" s="27" t="s">
        <v>2333</v>
      </c>
      <c r="H69" s="65" t="str">
        <f t="shared" si="3"/>
        <v>Other</v>
      </c>
      <c r="I69" s="65" t="str">
        <f t="shared" si="4"/>
        <v/>
      </c>
      <c r="J69" s="65" t="str">
        <f t="shared" si="5"/>
        <v>011005</v>
      </c>
    </row>
    <row r="70" spans="1:10" x14ac:dyDescent="0.3">
      <c r="A70" s="27" t="s">
        <v>2334</v>
      </c>
      <c r="B70" s="27" t="str">
        <f>"01.1099"</f>
        <v>01.1099</v>
      </c>
      <c r="C70" s="64" t="s">
        <v>2335</v>
      </c>
      <c r="D70" s="27" t="s">
        <v>2229</v>
      </c>
      <c r="E70" s="27" t="s">
        <v>2232</v>
      </c>
      <c r="F70" s="27" t="str">
        <f>"01.1099"</f>
        <v>01.1099</v>
      </c>
      <c r="G70" s="27" t="s">
        <v>2335</v>
      </c>
      <c r="H70" s="65" t="str">
        <f t="shared" si="3"/>
        <v>No Change</v>
      </c>
      <c r="I70" s="65" t="str">
        <f t="shared" si="4"/>
        <v>011099</v>
      </c>
      <c r="J70" s="65" t="str">
        <f t="shared" si="5"/>
        <v>011099</v>
      </c>
    </row>
    <row r="71" spans="1:10" x14ac:dyDescent="0.3">
      <c r="A71" s="27" t="s">
        <v>1869</v>
      </c>
      <c r="B71" s="27" t="str">
        <f>"01.11"</f>
        <v>01.11</v>
      </c>
      <c r="C71" s="64" t="s">
        <v>2336</v>
      </c>
      <c r="D71" s="27" t="s">
        <v>2229</v>
      </c>
      <c r="E71" s="27" t="s">
        <v>2232</v>
      </c>
      <c r="F71" s="27" t="str">
        <f>"01.11"</f>
        <v>01.11</v>
      </c>
      <c r="G71" s="27" t="s">
        <v>2336</v>
      </c>
      <c r="H71" s="65" t="str">
        <f t="shared" si="3"/>
        <v>No Change</v>
      </c>
      <c r="I71" s="65" t="str">
        <f t="shared" si="4"/>
        <v/>
      </c>
      <c r="J71" s="65" t="str">
        <f t="shared" si="5"/>
        <v/>
      </c>
    </row>
    <row r="72" spans="1:10" x14ac:dyDescent="0.3">
      <c r="A72" s="27" t="s">
        <v>2337</v>
      </c>
      <c r="B72" s="27" t="str">
        <f>"01.1101"</f>
        <v>01.1101</v>
      </c>
      <c r="C72" s="64" t="s">
        <v>2338</v>
      </c>
      <c r="D72" s="27" t="s">
        <v>2229</v>
      </c>
      <c r="E72" s="27" t="s">
        <v>2232</v>
      </c>
      <c r="F72" s="27" t="str">
        <f>"01.1101"</f>
        <v>01.1101</v>
      </c>
      <c r="G72" s="27" t="s">
        <v>2338</v>
      </c>
      <c r="H72" s="65" t="str">
        <f t="shared" si="3"/>
        <v>No Change</v>
      </c>
      <c r="I72" s="65" t="str">
        <f t="shared" si="4"/>
        <v>011101</v>
      </c>
      <c r="J72" s="65" t="str">
        <f t="shared" si="5"/>
        <v>011101</v>
      </c>
    </row>
    <row r="73" spans="1:10" x14ac:dyDescent="0.3">
      <c r="A73" s="27" t="s">
        <v>2339</v>
      </c>
      <c r="B73" s="27" t="str">
        <f>"01.1102"</f>
        <v>01.1102</v>
      </c>
      <c r="C73" s="64" t="s">
        <v>2340</v>
      </c>
      <c r="D73" s="27" t="s">
        <v>2229</v>
      </c>
      <c r="E73" s="27" t="s">
        <v>2232</v>
      </c>
      <c r="F73" s="27" t="str">
        <f>"01.1102"</f>
        <v>01.1102</v>
      </c>
      <c r="G73" s="27" t="s">
        <v>2340</v>
      </c>
      <c r="H73" s="65" t="str">
        <f t="shared" si="3"/>
        <v>No Change</v>
      </c>
      <c r="I73" s="65" t="str">
        <f t="shared" si="4"/>
        <v>011102</v>
      </c>
      <c r="J73" s="65" t="str">
        <f t="shared" si="5"/>
        <v>011102</v>
      </c>
    </row>
    <row r="74" spans="1:10" x14ac:dyDescent="0.3">
      <c r="A74" s="27" t="s">
        <v>610</v>
      </c>
      <c r="B74" s="27" t="str">
        <f>"01.1103"</f>
        <v>01.1103</v>
      </c>
      <c r="C74" s="64" t="s">
        <v>611</v>
      </c>
      <c r="D74" s="27" t="s">
        <v>2229</v>
      </c>
      <c r="E74" s="27" t="s">
        <v>2232</v>
      </c>
      <c r="F74" s="27" t="str">
        <f>"01.1103"</f>
        <v>01.1103</v>
      </c>
      <c r="G74" s="27" t="s">
        <v>611</v>
      </c>
      <c r="H74" s="65" t="str">
        <f t="shared" si="3"/>
        <v>No Change</v>
      </c>
      <c r="I74" s="65" t="str">
        <f t="shared" si="4"/>
        <v>011103</v>
      </c>
      <c r="J74" s="65" t="str">
        <f t="shared" si="5"/>
        <v>011103</v>
      </c>
    </row>
    <row r="75" spans="1:10" x14ac:dyDescent="0.3">
      <c r="A75" s="27" t="s">
        <v>2341</v>
      </c>
      <c r="B75" s="27" t="str">
        <f>"01.1104"</f>
        <v>01.1104</v>
      </c>
      <c r="C75" s="64" t="s">
        <v>2342</v>
      </c>
      <c r="D75" s="27" t="s">
        <v>2229</v>
      </c>
      <c r="E75" s="27" t="s">
        <v>2232</v>
      </c>
      <c r="F75" s="27" t="str">
        <f>"01.1104"</f>
        <v>01.1104</v>
      </c>
      <c r="G75" s="27" t="s">
        <v>2342</v>
      </c>
      <c r="H75" s="65" t="str">
        <f t="shared" si="3"/>
        <v>No Change</v>
      </c>
      <c r="I75" s="65" t="str">
        <f t="shared" si="4"/>
        <v>011104</v>
      </c>
      <c r="J75" s="65" t="str">
        <f t="shared" si="5"/>
        <v>011104</v>
      </c>
    </row>
    <row r="76" spans="1:10" x14ac:dyDescent="0.3">
      <c r="A76" s="27" t="s">
        <v>2343</v>
      </c>
      <c r="B76" s="27" t="str">
        <f>"01.1105"</f>
        <v>01.1105</v>
      </c>
      <c r="C76" s="64" t="s">
        <v>2344</v>
      </c>
      <c r="D76" s="27" t="s">
        <v>2229</v>
      </c>
      <c r="E76" s="27" t="s">
        <v>2232</v>
      </c>
      <c r="F76" s="27" t="str">
        <f>"01.1105"</f>
        <v>01.1105</v>
      </c>
      <c r="G76" s="27" t="s">
        <v>2344</v>
      </c>
      <c r="H76" s="65" t="str">
        <f t="shared" si="3"/>
        <v>No Change</v>
      </c>
      <c r="I76" s="65" t="str">
        <f t="shared" si="4"/>
        <v>011105</v>
      </c>
      <c r="J76" s="65" t="str">
        <f t="shared" si="5"/>
        <v>011105</v>
      </c>
    </row>
    <row r="77" spans="1:10" x14ac:dyDescent="0.3">
      <c r="A77" s="27" t="s">
        <v>2345</v>
      </c>
      <c r="B77" s="27" t="str">
        <f>"01.1106"</f>
        <v>01.1106</v>
      </c>
      <c r="C77" s="64" t="s">
        <v>2346</v>
      </c>
      <c r="D77" s="27" t="s">
        <v>2229</v>
      </c>
      <c r="E77" s="27" t="s">
        <v>2232</v>
      </c>
      <c r="F77" s="27" t="str">
        <f>"01.1106"</f>
        <v>01.1106</v>
      </c>
      <c r="G77" s="27" t="s">
        <v>2346</v>
      </c>
      <c r="H77" s="65" t="str">
        <f t="shared" si="3"/>
        <v>No Change</v>
      </c>
      <c r="I77" s="65" t="str">
        <f t="shared" si="4"/>
        <v>011106</v>
      </c>
      <c r="J77" s="65" t="str">
        <f t="shared" si="5"/>
        <v>011106</v>
      </c>
    </row>
    <row r="78" spans="1:10" x14ac:dyDescent="0.3">
      <c r="A78" s="27" t="s">
        <v>2347</v>
      </c>
      <c r="B78" s="27" t="str">
        <f>"01.1199"</f>
        <v>01.1199</v>
      </c>
      <c r="C78" s="64" t="s">
        <v>2348</v>
      </c>
      <c r="D78" s="27" t="s">
        <v>2229</v>
      </c>
      <c r="E78" s="27" t="s">
        <v>2232</v>
      </c>
      <c r="F78" s="27" t="str">
        <f>"01.1199"</f>
        <v>01.1199</v>
      </c>
      <c r="G78" s="27" t="s">
        <v>2348</v>
      </c>
      <c r="H78" s="65" t="str">
        <f t="shared" si="3"/>
        <v>No Change</v>
      </c>
      <c r="I78" s="65" t="str">
        <f t="shared" si="4"/>
        <v>011199</v>
      </c>
      <c r="J78" s="65" t="str">
        <f t="shared" si="5"/>
        <v>011199</v>
      </c>
    </row>
    <row r="79" spans="1:10" x14ac:dyDescent="0.3">
      <c r="A79" s="27" t="s">
        <v>1869</v>
      </c>
      <c r="B79" s="27" t="str">
        <f>"01.12"</f>
        <v>01.12</v>
      </c>
      <c r="C79" s="64" t="s">
        <v>2349</v>
      </c>
      <c r="D79" s="27" t="s">
        <v>2229</v>
      </c>
      <c r="E79" s="27" t="s">
        <v>2232</v>
      </c>
      <c r="F79" s="27" t="str">
        <f>"01.12"</f>
        <v>01.12</v>
      </c>
      <c r="G79" s="27" t="s">
        <v>2349</v>
      </c>
      <c r="H79" s="65" t="str">
        <f t="shared" si="3"/>
        <v>No Change</v>
      </c>
      <c r="I79" s="65" t="str">
        <f t="shared" si="4"/>
        <v/>
      </c>
      <c r="J79" s="65" t="str">
        <f t="shared" si="5"/>
        <v/>
      </c>
    </row>
    <row r="80" spans="1:10" x14ac:dyDescent="0.3">
      <c r="A80" s="27" t="s">
        <v>2350</v>
      </c>
      <c r="B80" s="27" t="str">
        <f>"01.1201"</f>
        <v>01.1201</v>
      </c>
      <c r="C80" s="64" t="s">
        <v>2351</v>
      </c>
      <c r="D80" s="27" t="s">
        <v>2229</v>
      </c>
      <c r="E80" s="27" t="s">
        <v>2232</v>
      </c>
      <c r="F80" s="27" t="str">
        <f>"01.1201"</f>
        <v>01.1201</v>
      </c>
      <c r="G80" s="27" t="s">
        <v>2351</v>
      </c>
      <c r="H80" s="65" t="str">
        <f t="shared" si="3"/>
        <v>No Change</v>
      </c>
      <c r="I80" s="65" t="str">
        <f t="shared" si="4"/>
        <v>011201</v>
      </c>
      <c r="J80" s="65" t="str">
        <f t="shared" si="5"/>
        <v>011201</v>
      </c>
    </row>
    <row r="81" spans="1:10" x14ac:dyDescent="0.3">
      <c r="A81" s="27" t="s">
        <v>2352</v>
      </c>
      <c r="B81" s="27" t="str">
        <f>"01.1202"</f>
        <v>01.1202</v>
      </c>
      <c r="C81" s="64" t="s">
        <v>2353</v>
      </c>
      <c r="D81" s="27" t="s">
        <v>2229</v>
      </c>
      <c r="E81" s="27" t="s">
        <v>2232</v>
      </c>
      <c r="F81" s="27" t="str">
        <f>"01.1202"</f>
        <v>01.1202</v>
      </c>
      <c r="G81" s="27" t="s">
        <v>2353</v>
      </c>
      <c r="H81" s="65" t="str">
        <f t="shared" si="3"/>
        <v>No Change</v>
      </c>
      <c r="I81" s="65" t="str">
        <f t="shared" si="4"/>
        <v>011202</v>
      </c>
      <c r="J81" s="65" t="str">
        <f t="shared" si="5"/>
        <v>011202</v>
      </c>
    </row>
    <row r="82" spans="1:10" x14ac:dyDescent="0.3">
      <c r="A82" s="27" t="s">
        <v>2354</v>
      </c>
      <c r="B82" s="27" t="str">
        <f>"01.1203"</f>
        <v>01.1203</v>
      </c>
      <c r="C82" s="64" t="s">
        <v>2355</v>
      </c>
      <c r="D82" s="27" t="s">
        <v>2229</v>
      </c>
      <c r="E82" s="27" t="s">
        <v>2232</v>
      </c>
      <c r="F82" s="27" t="str">
        <f>"01.1203"</f>
        <v>01.1203</v>
      </c>
      <c r="G82" s="27" t="s">
        <v>2355</v>
      </c>
      <c r="H82" s="65" t="str">
        <f t="shared" si="3"/>
        <v>No Change</v>
      </c>
      <c r="I82" s="65" t="str">
        <f t="shared" si="4"/>
        <v>011203</v>
      </c>
      <c r="J82" s="65" t="str">
        <f t="shared" si="5"/>
        <v>011203</v>
      </c>
    </row>
    <row r="83" spans="1:10" x14ac:dyDescent="0.3">
      <c r="A83" s="27" t="s">
        <v>2356</v>
      </c>
      <c r="B83" s="27" t="str">
        <f>"01.1299"</f>
        <v>01.1299</v>
      </c>
      <c r="C83" s="64" t="s">
        <v>2357</v>
      </c>
      <c r="D83" s="27" t="s">
        <v>2229</v>
      </c>
      <c r="E83" s="27" t="s">
        <v>2232</v>
      </c>
      <c r="F83" s="27" t="str">
        <f>"01.1299"</f>
        <v>01.1299</v>
      </c>
      <c r="G83" s="27" t="s">
        <v>2357</v>
      </c>
      <c r="H83" s="65" t="str">
        <f t="shared" si="3"/>
        <v>No Change</v>
      </c>
      <c r="I83" s="65" t="str">
        <f t="shared" si="4"/>
        <v>011299</v>
      </c>
      <c r="J83" s="65" t="str">
        <f t="shared" si="5"/>
        <v>011299</v>
      </c>
    </row>
    <row r="84" spans="1:10" x14ac:dyDescent="0.3">
      <c r="A84" s="27" t="s">
        <v>1869</v>
      </c>
      <c r="D84" s="27" t="s">
        <v>2255</v>
      </c>
      <c r="E84" s="27" t="s">
        <v>2232</v>
      </c>
      <c r="F84" s="27" t="str">
        <f>"01.13"</f>
        <v>01.13</v>
      </c>
      <c r="G84" s="27" t="s">
        <v>2358</v>
      </c>
      <c r="H84" s="65" t="str">
        <f t="shared" si="3"/>
        <v>No Change</v>
      </c>
      <c r="I84" s="65" t="str">
        <f t="shared" si="4"/>
        <v/>
      </c>
      <c r="J84" s="65" t="str">
        <f t="shared" si="5"/>
        <v/>
      </c>
    </row>
    <row r="85" spans="1:10" x14ac:dyDescent="0.3">
      <c r="A85" s="27" t="s">
        <v>1869</v>
      </c>
      <c r="D85" s="27" t="s">
        <v>2255</v>
      </c>
      <c r="E85" s="27" t="s">
        <v>2232</v>
      </c>
      <c r="F85" s="27" t="str">
        <f>"01.1399"</f>
        <v>01.1399</v>
      </c>
      <c r="G85" s="27" t="s">
        <v>2359</v>
      </c>
      <c r="H85" s="65" t="str">
        <f t="shared" si="3"/>
        <v>Other</v>
      </c>
      <c r="I85" s="65" t="str">
        <f t="shared" si="4"/>
        <v/>
      </c>
      <c r="J85" s="65" t="str">
        <f t="shared" si="5"/>
        <v>011399</v>
      </c>
    </row>
    <row r="86" spans="1:10" x14ac:dyDescent="0.3">
      <c r="A86" s="27" t="s">
        <v>1869</v>
      </c>
      <c r="D86" s="27" t="s">
        <v>2255</v>
      </c>
      <c r="E86" s="27" t="s">
        <v>2232</v>
      </c>
      <c r="F86" s="27" t="str">
        <f>"01.82"</f>
        <v>01.82</v>
      </c>
      <c r="G86" s="27" t="s">
        <v>2360</v>
      </c>
      <c r="H86" s="65" t="str">
        <f t="shared" si="3"/>
        <v>No Change</v>
      </c>
      <c r="I86" s="65" t="str">
        <f t="shared" si="4"/>
        <v/>
      </c>
      <c r="J86" s="65" t="str">
        <f t="shared" si="5"/>
        <v/>
      </c>
    </row>
    <row r="87" spans="1:10" x14ac:dyDescent="0.3">
      <c r="A87" s="27" t="s">
        <v>1869</v>
      </c>
      <c r="D87" s="27" t="s">
        <v>2255</v>
      </c>
      <c r="E87" s="27" t="s">
        <v>2232</v>
      </c>
      <c r="F87" s="27" t="str">
        <f>"01.8201"</f>
        <v>01.8201</v>
      </c>
      <c r="G87" s="27" t="s">
        <v>2361</v>
      </c>
      <c r="H87" s="65" t="str">
        <f t="shared" si="3"/>
        <v>Other</v>
      </c>
      <c r="I87" s="65" t="str">
        <f t="shared" si="4"/>
        <v/>
      </c>
      <c r="J87" s="65" t="str">
        <f t="shared" si="5"/>
        <v>018201</v>
      </c>
    </row>
    <row r="88" spans="1:10" x14ac:dyDescent="0.3">
      <c r="A88" s="27" t="s">
        <v>1869</v>
      </c>
      <c r="D88" s="27" t="s">
        <v>2255</v>
      </c>
      <c r="E88" s="27" t="s">
        <v>2232</v>
      </c>
      <c r="F88" s="27" t="str">
        <f>"01.8202"</f>
        <v>01.8202</v>
      </c>
      <c r="G88" s="27" t="s">
        <v>2362</v>
      </c>
      <c r="H88" s="65" t="str">
        <f t="shared" si="3"/>
        <v>Other</v>
      </c>
      <c r="I88" s="65" t="str">
        <f t="shared" si="4"/>
        <v/>
      </c>
      <c r="J88" s="65" t="str">
        <f t="shared" si="5"/>
        <v>018202</v>
      </c>
    </row>
    <row r="89" spans="1:10" x14ac:dyDescent="0.3">
      <c r="A89" s="27" t="s">
        <v>1869</v>
      </c>
      <c r="D89" s="27" t="s">
        <v>2255</v>
      </c>
      <c r="E89" s="27" t="s">
        <v>2232</v>
      </c>
      <c r="F89" s="27" t="str">
        <f>"01.8203"</f>
        <v>01.8203</v>
      </c>
      <c r="G89" s="27" t="s">
        <v>2363</v>
      </c>
      <c r="H89" s="65" t="str">
        <f t="shared" si="3"/>
        <v>Other</v>
      </c>
      <c r="I89" s="65" t="str">
        <f t="shared" si="4"/>
        <v/>
      </c>
      <c r="J89" s="65" t="str">
        <f t="shared" si="5"/>
        <v>018203</v>
      </c>
    </row>
    <row r="90" spans="1:10" x14ac:dyDescent="0.3">
      <c r="A90" s="27" t="s">
        <v>1869</v>
      </c>
      <c r="D90" s="27" t="s">
        <v>2255</v>
      </c>
      <c r="E90" s="27" t="s">
        <v>2232</v>
      </c>
      <c r="F90" s="27" t="str">
        <f>"01.8204"</f>
        <v>01.8204</v>
      </c>
      <c r="G90" s="27" t="s">
        <v>2364</v>
      </c>
      <c r="H90" s="65" t="str">
        <f t="shared" si="3"/>
        <v>Other</v>
      </c>
      <c r="I90" s="65" t="str">
        <f t="shared" si="4"/>
        <v/>
      </c>
      <c r="J90" s="65" t="str">
        <f t="shared" si="5"/>
        <v>018204</v>
      </c>
    </row>
    <row r="91" spans="1:10" x14ac:dyDescent="0.3">
      <c r="A91" s="27" t="s">
        <v>1869</v>
      </c>
      <c r="D91" s="27" t="s">
        <v>2255</v>
      </c>
      <c r="E91" s="27" t="s">
        <v>2232</v>
      </c>
      <c r="F91" s="27" t="str">
        <f>"01.8299"</f>
        <v>01.8299</v>
      </c>
      <c r="G91" s="27" t="s">
        <v>2365</v>
      </c>
      <c r="H91" s="65" t="str">
        <f t="shared" si="3"/>
        <v>Other</v>
      </c>
      <c r="I91" s="65" t="str">
        <f t="shared" si="4"/>
        <v/>
      </c>
      <c r="J91" s="65" t="str">
        <f t="shared" si="5"/>
        <v>018299</v>
      </c>
    </row>
    <row r="92" spans="1:10" x14ac:dyDescent="0.3">
      <c r="A92" s="27" t="s">
        <v>1869</v>
      </c>
      <c r="D92" s="27" t="s">
        <v>2255</v>
      </c>
      <c r="E92" s="27" t="s">
        <v>2232</v>
      </c>
      <c r="F92" s="27" t="str">
        <f>"01.83"</f>
        <v>01.83</v>
      </c>
      <c r="G92" s="27" t="s">
        <v>2366</v>
      </c>
      <c r="H92" s="65" t="str">
        <f t="shared" si="3"/>
        <v>No Change</v>
      </c>
      <c r="I92" s="65" t="str">
        <f t="shared" si="4"/>
        <v/>
      </c>
      <c r="J92" s="65" t="str">
        <f t="shared" si="5"/>
        <v/>
      </c>
    </row>
    <row r="93" spans="1:10" x14ac:dyDescent="0.3">
      <c r="A93" s="27" t="s">
        <v>1869</v>
      </c>
      <c r="D93" s="27" t="s">
        <v>2255</v>
      </c>
      <c r="E93" s="27" t="s">
        <v>2232</v>
      </c>
      <c r="F93" s="27" t="str">
        <f>"01.8399"</f>
        <v>01.8399</v>
      </c>
      <c r="G93" s="27" t="s">
        <v>2367</v>
      </c>
      <c r="H93" s="65" t="str">
        <f t="shared" si="3"/>
        <v>Other</v>
      </c>
      <c r="I93" s="65" t="str">
        <f t="shared" si="4"/>
        <v/>
      </c>
      <c r="J93" s="65" t="str">
        <f t="shared" si="5"/>
        <v>018399</v>
      </c>
    </row>
    <row r="94" spans="1:10" ht="28.8" x14ac:dyDescent="0.3">
      <c r="A94" s="27" t="s">
        <v>1869</v>
      </c>
      <c r="B94" s="27" t="str">
        <f>"01.99"</f>
        <v>01.99</v>
      </c>
      <c r="C94" s="64" t="s">
        <v>2368</v>
      </c>
      <c r="D94" s="27" t="s">
        <v>2229</v>
      </c>
      <c r="E94" s="27" t="s">
        <v>2230</v>
      </c>
      <c r="F94" s="27" t="str">
        <f>"01.99"</f>
        <v>01.99</v>
      </c>
      <c r="G94" s="27" t="s">
        <v>2369</v>
      </c>
      <c r="H94" s="65" t="str">
        <f t="shared" si="3"/>
        <v>No Change</v>
      </c>
      <c r="I94" s="65" t="str">
        <f t="shared" si="4"/>
        <v/>
      </c>
      <c r="J94" s="65" t="str">
        <f t="shared" si="5"/>
        <v/>
      </c>
    </row>
    <row r="95" spans="1:10" ht="28.8" x14ac:dyDescent="0.3">
      <c r="A95" s="27" t="s">
        <v>2370</v>
      </c>
      <c r="B95" s="27" t="str">
        <f>"01.9999"</f>
        <v>01.9999</v>
      </c>
      <c r="C95" s="64" t="s">
        <v>2368</v>
      </c>
      <c r="D95" s="27" t="s">
        <v>2229</v>
      </c>
      <c r="E95" s="27" t="s">
        <v>2230</v>
      </c>
      <c r="F95" s="27" t="str">
        <f>"01.9999"</f>
        <v>01.9999</v>
      </c>
      <c r="G95" s="27" t="s">
        <v>2369</v>
      </c>
      <c r="H95" s="65" t="str">
        <f t="shared" si="3"/>
        <v>No Change</v>
      </c>
      <c r="I95" s="65" t="str">
        <f t="shared" si="4"/>
        <v>019999</v>
      </c>
      <c r="J95" s="65" t="str">
        <f t="shared" si="5"/>
        <v>019999</v>
      </c>
    </row>
    <row r="96" spans="1:10" x14ac:dyDescent="0.3">
      <c r="A96" s="27" t="s">
        <v>1869</v>
      </c>
      <c r="B96" s="27" t="str">
        <f>"03"</f>
        <v>03</v>
      </c>
      <c r="C96" s="64" t="s">
        <v>2371</v>
      </c>
      <c r="D96" s="27" t="s">
        <v>2229</v>
      </c>
      <c r="E96" s="27" t="s">
        <v>2232</v>
      </c>
      <c r="F96" s="27" t="str">
        <f>"03"</f>
        <v>03</v>
      </c>
      <c r="G96" s="27" t="s">
        <v>2371</v>
      </c>
      <c r="H96" s="65" t="str">
        <f t="shared" si="3"/>
        <v>No Change</v>
      </c>
      <c r="I96" s="65" t="str">
        <f t="shared" si="4"/>
        <v/>
      </c>
      <c r="J96" s="65" t="str">
        <f t="shared" si="5"/>
        <v/>
      </c>
    </row>
    <row r="97" spans="1:10" x14ac:dyDescent="0.3">
      <c r="A97" s="27" t="s">
        <v>1869</v>
      </c>
      <c r="B97" s="27" t="str">
        <f>"03.01"</f>
        <v>03.01</v>
      </c>
      <c r="C97" s="64" t="s">
        <v>2372</v>
      </c>
      <c r="D97" s="27" t="s">
        <v>2229</v>
      </c>
      <c r="E97" s="27" t="s">
        <v>2232</v>
      </c>
      <c r="F97" s="27" t="str">
        <f>"03.01"</f>
        <v>03.01</v>
      </c>
      <c r="G97" s="27" t="s">
        <v>2372</v>
      </c>
      <c r="H97" s="65" t="str">
        <f t="shared" si="3"/>
        <v>No Change</v>
      </c>
      <c r="I97" s="65" t="str">
        <f t="shared" si="4"/>
        <v/>
      </c>
      <c r="J97" s="65" t="str">
        <f t="shared" si="5"/>
        <v/>
      </c>
    </row>
    <row r="98" spans="1:10" x14ac:dyDescent="0.3">
      <c r="A98" s="27" t="s">
        <v>2373</v>
      </c>
      <c r="B98" s="27" t="str">
        <f>"03.0101"</f>
        <v>03.0101</v>
      </c>
      <c r="C98" s="64" t="s">
        <v>2374</v>
      </c>
      <c r="D98" s="27" t="s">
        <v>2229</v>
      </c>
      <c r="E98" s="27" t="s">
        <v>2232</v>
      </c>
      <c r="F98" s="27" t="str">
        <f>"03.0101"</f>
        <v>03.0101</v>
      </c>
      <c r="G98" s="27" t="s">
        <v>2374</v>
      </c>
      <c r="H98" s="65" t="str">
        <f t="shared" si="3"/>
        <v>No Change</v>
      </c>
      <c r="I98" s="65" t="str">
        <f t="shared" si="4"/>
        <v>030101</v>
      </c>
      <c r="J98" s="65" t="str">
        <f t="shared" si="5"/>
        <v>030101</v>
      </c>
    </row>
    <row r="99" spans="1:10" x14ac:dyDescent="0.3">
      <c r="A99" s="27" t="s">
        <v>2375</v>
      </c>
      <c r="B99" s="27" t="str">
        <f>"03.0103"</f>
        <v>03.0103</v>
      </c>
      <c r="C99" s="64" t="s">
        <v>2376</v>
      </c>
      <c r="D99" s="27" t="s">
        <v>2229</v>
      </c>
      <c r="E99" s="27" t="s">
        <v>2232</v>
      </c>
      <c r="F99" s="27" t="str">
        <f>"03.0103"</f>
        <v>03.0103</v>
      </c>
      <c r="G99" s="27" t="s">
        <v>2376</v>
      </c>
      <c r="H99" s="65" t="str">
        <f t="shared" si="3"/>
        <v>No Change</v>
      </c>
      <c r="I99" s="65" t="str">
        <f t="shared" si="4"/>
        <v>030103</v>
      </c>
      <c r="J99" s="65" t="str">
        <f t="shared" si="5"/>
        <v>030103</v>
      </c>
    </row>
    <row r="100" spans="1:10" x14ac:dyDescent="0.3">
      <c r="A100" s="27" t="s">
        <v>312</v>
      </c>
      <c r="B100" s="27" t="str">
        <f>"03.0104"</f>
        <v>03.0104</v>
      </c>
      <c r="C100" s="64" t="s">
        <v>313</v>
      </c>
      <c r="D100" s="27" t="s">
        <v>2229</v>
      </c>
      <c r="E100" s="27" t="s">
        <v>2232</v>
      </c>
      <c r="F100" s="27" t="str">
        <f>"03.0104"</f>
        <v>03.0104</v>
      </c>
      <c r="G100" s="27" t="s">
        <v>313</v>
      </c>
      <c r="H100" s="65" t="str">
        <f t="shared" si="3"/>
        <v>No Change</v>
      </c>
      <c r="I100" s="65" t="str">
        <f t="shared" si="4"/>
        <v>030104</v>
      </c>
      <c r="J100" s="65" t="str">
        <f t="shared" si="5"/>
        <v>030104</v>
      </c>
    </row>
    <row r="101" spans="1:10" x14ac:dyDescent="0.3">
      <c r="A101" s="27" t="s">
        <v>2377</v>
      </c>
      <c r="B101" s="27" t="str">
        <f>"03.0199"</f>
        <v>03.0199</v>
      </c>
      <c r="C101" s="64" t="s">
        <v>2378</v>
      </c>
      <c r="D101" s="27" t="s">
        <v>2229</v>
      </c>
      <c r="E101" s="27" t="s">
        <v>2232</v>
      </c>
      <c r="F101" s="27" t="str">
        <f>"03.0199"</f>
        <v>03.0199</v>
      </c>
      <c r="G101" s="27" t="s">
        <v>2378</v>
      </c>
      <c r="H101" s="65" t="str">
        <f t="shared" si="3"/>
        <v>No Change</v>
      </c>
      <c r="I101" s="65" t="str">
        <f t="shared" si="4"/>
        <v>030199</v>
      </c>
      <c r="J101" s="65" t="str">
        <f t="shared" si="5"/>
        <v>030199</v>
      </c>
    </row>
    <row r="102" spans="1:10" x14ac:dyDescent="0.3">
      <c r="A102" s="27" t="s">
        <v>1869</v>
      </c>
      <c r="B102" s="27" t="str">
        <f>"03.02"</f>
        <v>03.02</v>
      </c>
      <c r="C102" s="64" t="s">
        <v>2379</v>
      </c>
      <c r="D102" s="27" t="s">
        <v>2229</v>
      </c>
      <c r="E102" s="27" t="s">
        <v>2230</v>
      </c>
      <c r="F102" s="27" t="str">
        <f>"03.02"</f>
        <v>03.02</v>
      </c>
      <c r="G102" s="27" t="s">
        <v>2380</v>
      </c>
      <c r="H102" s="65" t="str">
        <f t="shared" si="3"/>
        <v>No Change</v>
      </c>
      <c r="I102" s="65" t="str">
        <f t="shared" si="4"/>
        <v/>
      </c>
      <c r="J102" s="65" t="str">
        <f t="shared" si="5"/>
        <v/>
      </c>
    </row>
    <row r="103" spans="1:10" x14ac:dyDescent="0.3">
      <c r="A103" s="27" t="s">
        <v>2381</v>
      </c>
      <c r="B103" s="27" t="str">
        <f>"03.0201"</f>
        <v>03.0201</v>
      </c>
      <c r="C103" s="64" t="s">
        <v>2379</v>
      </c>
      <c r="D103" s="27" t="s">
        <v>2229</v>
      </c>
      <c r="E103" s="27" t="s">
        <v>2230</v>
      </c>
      <c r="F103" s="27" t="str">
        <f>"03.0201"</f>
        <v>03.0201</v>
      </c>
      <c r="G103" s="27" t="s">
        <v>2382</v>
      </c>
      <c r="H103" s="65" t="str">
        <f t="shared" si="3"/>
        <v>No Change</v>
      </c>
      <c r="I103" s="65" t="str">
        <f t="shared" si="4"/>
        <v>030201</v>
      </c>
      <c r="J103" s="65" t="str">
        <f t="shared" si="5"/>
        <v>030201</v>
      </c>
    </row>
    <row r="104" spans="1:10" x14ac:dyDescent="0.3">
      <c r="A104" s="27" t="s">
        <v>2383</v>
      </c>
      <c r="B104" s="27" t="str">
        <f>"03.0204"</f>
        <v>03.0204</v>
      </c>
      <c r="C104" s="64" t="s">
        <v>2384</v>
      </c>
      <c r="D104" s="27" t="s">
        <v>2229</v>
      </c>
      <c r="E104" s="27" t="s">
        <v>2230</v>
      </c>
      <c r="F104" s="27" t="str">
        <f>"03.0204"</f>
        <v>03.0204</v>
      </c>
      <c r="G104" s="27" t="s">
        <v>2385</v>
      </c>
      <c r="H104" s="65" t="str">
        <f t="shared" si="3"/>
        <v>No Change</v>
      </c>
      <c r="I104" s="65" t="str">
        <f t="shared" si="4"/>
        <v>030204</v>
      </c>
      <c r="J104" s="65" t="str">
        <f t="shared" si="5"/>
        <v>030204</v>
      </c>
    </row>
    <row r="105" spans="1:10" x14ac:dyDescent="0.3">
      <c r="A105" s="27" t="s">
        <v>2386</v>
      </c>
      <c r="B105" s="27" t="str">
        <f>"03.0205"</f>
        <v>03.0205</v>
      </c>
      <c r="C105" s="64" t="s">
        <v>2387</v>
      </c>
      <c r="D105" s="27" t="s">
        <v>2229</v>
      </c>
      <c r="E105" s="27" t="s">
        <v>2232</v>
      </c>
      <c r="F105" s="27" t="str">
        <f>"03.0205"</f>
        <v>03.0205</v>
      </c>
      <c r="G105" s="27" t="s">
        <v>2387</v>
      </c>
      <c r="H105" s="65" t="str">
        <f t="shared" si="3"/>
        <v>No Change</v>
      </c>
      <c r="I105" s="65" t="str">
        <f t="shared" si="4"/>
        <v>030205</v>
      </c>
      <c r="J105" s="65" t="str">
        <f t="shared" si="5"/>
        <v>030205</v>
      </c>
    </row>
    <row r="106" spans="1:10" x14ac:dyDescent="0.3">
      <c r="A106" s="27" t="s">
        <v>2388</v>
      </c>
      <c r="B106" s="27" t="str">
        <f>"03.0206"</f>
        <v>03.0206</v>
      </c>
      <c r="C106" s="64" t="s">
        <v>2389</v>
      </c>
      <c r="D106" s="27" t="s">
        <v>2229</v>
      </c>
      <c r="E106" s="27" t="s">
        <v>2232</v>
      </c>
      <c r="F106" s="27" t="str">
        <f>"03.0206"</f>
        <v>03.0206</v>
      </c>
      <c r="G106" s="27" t="s">
        <v>2389</v>
      </c>
      <c r="H106" s="65" t="str">
        <f t="shared" si="3"/>
        <v>No Change</v>
      </c>
      <c r="I106" s="65" t="str">
        <f t="shared" si="4"/>
        <v>030206</v>
      </c>
      <c r="J106" s="65" t="str">
        <f t="shared" si="5"/>
        <v>030206</v>
      </c>
    </row>
    <row r="107" spans="1:10" x14ac:dyDescent="0.3">
      <c r="A107" s="27" t="s">
        <v>2390</v>
      </c>
      <c r="B107" s="27" t="str">
        <f>"03.0207"</f>
        <v>03.0207</v>
      </c>
      <c r="C107" s="64" t="s">
        <v>2391</v>
      </c>
      <c r="D107" s="27" t="s">
        <v>2229</v>
      </c>
      <c r="E107" s="27" t="s">
        <v>2230</v>
      </c>
      <c r="F107" s="27" t="str">
        <f>"03.0207"</f>
        <v>03.0207</v>
      </c>
      <c r="G107" s="27" t="s">
        <v>2392</v>
      </c>
      <c r="H107" s="65" t="str">
        <f t="shared" si="3"/>
        <v>No Change</v>
      </c>
      <c r="I107" s="65" t="str">
        <f t="shared" si="4"/>
        <v>030207</v>
      </c>
      <c r="J107" s="65" t="str">
        <f t="shared" si="5"/>
        <v>030207</v>
      </c>
    </row>
    <row r="108" spans="1:10" x14ac:dyDescent="0.3">
      <c r="A108" s="27" t="s">
        <v>2393</v>
      </c>
      <c r="B108" s="27" t="str">
        <f>"03.0208"</f>
        <v>03.0208</v>
      </c>
      <c r="C108" s="64" t="s">
        <v>2394</v>
      </c>
      <c r="D108" s="27" t="s">
        <v>2229</v>
      </c>
      <c r="E108" s="27" t="s">
        <v>2230</v>
      </c>
      <c r="F108" s="27" t="str">
        <f>"03.0208"</f>
        <v>03.0208</v>
      </c>
      <c r="G108" s="27" t="s">
        <v>2395</v>
      </c>
      <c r="H108" s="65" t="str">
        <f t="shared" si="3"/>
        <v>No Change</v>
      </c>
      <c r="I108" s="65" t="str">
        <f t="shared" si="4"/>
        <v>030208</v>
      </c>
      <c r="J108" s="65" t="str">
        <f t="shared" si="5"/>
        <v>030208</v>
      </c>
    </row>
    <row r="109" spans="1:10" x14ac:dyDescent="0.3">
      <c r="A109" s="27" t="s">
        <v>1869</v>
      </c>
      <c r="D109" s="27" t="s">
        <v>2255</v>
      </c>
      <c r="E109" s="27" t="s">
        <v>2232</v>
      </c>
      <c r="F109" s="27" t="str">
        <f>"03.0209"</f>
        <v>03.0209</v>
      </c>
      <c r="G109" s="27" t="s">
        <v>2396</v>
      </c>
      <c r="H109" s="65" t="str">
        <f t="shared" si="3"/>
        <v>Other</v>
      </c>
      <c r="I109" s="65" t="str">
        <f t="shared" si="4"/>
        <v/>
      </c>
      <c r="J109" s="65" t="str">
        <f t="shared" si="5"/>
        <v>030209</v>
      </c>
    </row>
    <row r="110" spans="1:10" x14ac:dyDescent="0.3">
      <c r="A110" s="27" t="s">
        <v>1869</v>
      </c>
      <c r="D110" s="27" t="s">
        <v>2255</v>
      </c>
      <c r="E110" s="27" t="s">
        <v>2232</v>
      </c>
      <c r="F110" s="27" t="str">
        <f>"03.0210"</f>
        <v>03.0210</v>
      </c>
      <c r="G110" s="27" t="s">
        <v>2397</v>
      </c>
      <c r="H110" s="65" t="str">
        <f t="shared" si="3"/>
        <v>Other</v>
      </c>
      <c r="I110" s="65" t="str">
        <f t="shared" si="4"/>
        <v/>
      </c>
      <c r="J110" s="65" t="str">
        <f t="shared" si="5"/>
        <v>030210</v>
      </c>
    </row>
    <row r="111" spans="1:10" x14ac:dyDescent="0.3">
      <c r="A111" s="27" t="s">
        <v>2398</v>
      </c>
      <c r="B111" s="27" t="str">
        <f>"03.0299"</f>
        <v>03.0299</v>
      </c>
      <c r="C111" s="64" t="s">
        <v>2399</v>
      </c>
      <c r="D111" s="27" t="s">
        <v>2229</v>
      </c>
      <c r="E111" s="27" t="s">
        <v>2230</v>
      </c>
      <c r="F111" s="27" t="str">
        <f>"03.0299"</f>
        <v>03.0299</v>
      </c>
      <c r="G111" s="27" t="s">
        <v>2400</v>
      </c>
      <c r="H111" s="65" t="str">
        <f t="shared" si="3"/>
        <v>No Change</v>
      </c>
      <c r="I111" s="65" t="str">
        <f t="shared" si="4"/>
        <v>030299</v>
      </c>
      <c r="J111" s="65" t="str">
        <f t="shared" si="5"/>
        <v>030299</v>
      </c>
    </row>
    <row r="112" spans="1:10" x14ac:dyDescent="0.3">
      <c r="A112" s="27" t="s">
        <v>1869</v>
      </c>
      <c r="B112" s="27" t="str">
        <f>"03.03"</f>
        <v>03.03</v>
      </c>
      <c r="C112" s="64" t="s">
        <v>2401</v>
      </c>
      <c r="D112" s="27" t="s">
        <v>2229</v>
      </c>
      <c r="E112" s="27" t="s">
        <v>2232</v>
      </c>
      <c r="F112" s="27" t="str">
        <f>"03.03"</f>
        <v>03.03</v>
      </c>
      <c r="G112" s="27" t="s">
        <v>2401</v>
      </c>
      <c r="H112" s="65" t="str">
        <f t="shared" si="3"/>
        <v>No Change</v>
      </c>
      <c r="I112" s="65" t="str">
        <f t="shared" si="4"/>
        <v/>
      </c>
      <c r="J112" s="65" t="str">
        <f t="shared" si="5"/>
        <v/>
      </c>
    </row>
    <row r="113" spans="1:10" x14ac:dyDescent="0.3">
      <c r="A113" s="27" t="s">
        <v>2402</v>
      </c>
      <c r="B113" s="27" t="str">
        <f>"03.0301"</f>
        <v>03.0301</v>
      </c>
      <c r="C113" s="64" t="s">
        <v>2401</v>
      </c>
      <c r="D113" s="27" t="s">
        <v>2229</v>
      </c>
      <c r="E113" s="27" t="s">
        <v>2232</v>
      </c>
      <c r="F113" s="27" t="str">
        <f>"03.0301"</f>
        <v>03.0301</v>
      </c>
      <c r="G113" s="27" t="s">
        <v>2401</v>
      </c>
      <c r="H113" s="65" t="str">
        <f t="shared" si="3"/>
        <v>No Change</v>
      </c>
      <c r="I113" s="65" t="str">
        <f t="shared" si="4"/>
        <v>030301</v>
      </c>
      <c r="J113" s="65" t="str">
        <f t="shared" si="5"/>
        <v>030301</v>
      </c>
    </row>
    <row r="114" spans="1:10" x14ac:dyDescent="0.3">
      <c r="A114" s="27" t="s">
        <v>1869</v>
      </c>
      <c r="B114" s="27" t="str">
        <f>"03.05"</f>
        <v>03.05</v>
      </c>
      <c r="C114" s="64" t="s">
        <v>2403</v>
      </c>
      <c r="D114" s="27" t="s">
        <v>2229</v>
      </c>
      <c r="E114" s="27" t="s">
        <v>2232</v>
      </c>
      <c r="F114" s="27" t="str">
        <f>"03.05"</f>
        <v>03.05</v>
      </c>
      <c r="G114" s="27" t="s">
        <v>2403</v>
      </c>
      <c r="H114" s="65" t="str">
        <f t="shared" si="3"/>
        <v>No Change</v>
      </c>
      <c r="I114" s="65" t="str">
        <f t="shared" si="4"/>
        <v/>
      </c>
      <c r="J114" s="65" t="str">
        <f t="shared" si="5"/>
        <v/>
      </c>
    </row>
    <row r="115" spans="1:10" x14ac:dyDescent="0.3">
      <c r="A115" s="27" t="s">
        <v>2404</v>
      </c>
      <c r="B115" s="27" t="str">
        <f>"03.0501"</f>
        <v>03.0501</v>
      </c>
      <c r="C115" s="64" t="s">
        <v>2405</v>
      </c>
      <c r="D115" s="27" t="s">
        <v>2229</v>
      </c>
      <c r="E115" s="27" t="s">
        <v>2232</v>
      </c>
      <c r="F115" s="27" t="str">
        <f>"03.0501"</f>
        <v>03.0501</v>
      </c>
      <c r="G115" s="27" t="s">
        <v>2405</v>
      </c>
      <c r="H115" s="65" t="str">
        <f t="shared" si="3"/>
        <v>No Change</v>
      </c>
      <c r="I115" s="65" t="str">
        <f t="shared" si="4"/>
        <v>030501</v>
      </c>
      <c r="J115" s="65" t="str">
        <f t="shared" si="5"/>
        <v>030501</v>
      </c>
    </row>
    <row r="116" spans="1:10" x14ac:dyDescent="0.3">
      <c r="A116" s="27" t="s">
        <v>2406</v>
      </c>
      <c r="B116" s="27" t="str">
        <f>"03.0502"</f>
        <v>03.0502</v>
      </c>
      <c r="C116" s="64" t="s">
        <v>2407</v>
      </c>
      <c r="D116" s="27" t="s">
        <v>2229</v>
      </c>
      <c r="E116" s="27" t="s">
        <v>2232</v>
      </c>
      <c r="F116" s="27" t="str">
        <f>"03.0502"</f>
        <v>03.0502</v>
      </c>
      <c r="G116" s="27" t="s">
        <v>2407</v>
      </c>
      <c r="H116" s="65" t="str">
        <f t="shared" si="3"/>
        <v>No Change</v>
      </c>
      <c r="I116" s="65" t="str">
        <f t="shared" si="4"/>
        <v>030502</v>
      </c>
      <c r="J116" s="65" t="str">
        <f t="shared" si="5"/>
        <v>030502</v>
      </c>
    </row>
    <row r="117" spans="1:10" x14ac:dyDescent="0.3">
      <c r="A117" s="27" t="s">
        <v>2408</v>
      </c>
      <c r="B117" s="27" t="str">
        <f>"03.0506"</f>
        <v>03.0506</v>
      </c>
      <c r="C117" s="64" t="s">
        <v>2409</v>
      </c>
      <c r="D117" s="27" t="s">
        <v>2229</v>
      </c>
      <c r="E117" s="27" t="s">
        <v>2232</v>
      </c>
      <c r="F117" s="27" t="str">
        <f>"03.0506"</f>
        <v>03.0506</v>
      </c>
      <c r="G117" s="27" t="s">
        <v>2409</v>
      </c>
      <c r="H117" s="65" t="str">
        <f t="shared" si="3"/>
        <v>No Change</v>
      </c>
      <c r="I117" s="65" t="str">
        <f t="shared" si="4"/>
        <v>030506</v>
      </c>
      <c r="J117" s="65" t="str">
        <f t="shared" si="5"/>
        <v>030506</v>
      </c>
    </row>
    <row r="118" spans="1:10" x14ac:dyDescent="0.3">
      <c r="A118" s="27" t="s">
        <v>2410</v>
      </c>
      <c r="B118" s="27" t="str">
        <f>"03.0508"</f>
        <v>03.0508</v>
      </c>
      <c r="C118" s="64" t="s">
        <v>2411</v>
      </c>
      <c r="D118" s="27" t="s">
        <v>2229</v>
      </c>
      <c r="E118" s="27" t="s">
        <v>2232</v>
      </c>
      <c r="F118" s="27" t="str">
        <f>"03.0508"</f>
        <v>03.0508</v>
      </c>
      <c r="G118" s="27" t="s">
        <v>2411</v>
      </c>
      <c r="H118" s="65" t="str">
        <f t="shared" si="3"/>
        <v>No Change</v>
      </c>
      <c r="I118" s="65" t="str">
        <f t="shared" si="4"/>
        <v>030508</v>
      </c>
      <c r="J118" s="65" t="str">
        <f t="shared" si="5"/>
        <v>030508</v>
      </c>
    </row>
    <row r="119" spans="1:10" x14ac:dyDescent="0.3">
      <c r="A119" s="27" t="s">
        <v>2412</v>
      </c>
      <c r="B119" s="27" t="str">
        <f>"03.0509"</f>
        <v>03.0509</v>
      </c>
      <c r="C119" s="64" t="s">
        <v>2413</v>
      </c>
      <c r="D119" s="27" t="s">
        <v>2229</v>
      </c>
      <c r="E119" s="27" t="s">
        <v>2230</v>
      </c>
      <c r="F119" s="27" t="str">
        <f>"03.0509"</f>
        <v>03.0509</v>
      </c>
      <c r="G119" s="27" t="s">
        <v>2414</v>
      </c>
      <c r="H119" s="65" t="str">
        <f t="shared" si="3"/>
        <v>No Change</v>
      </c>
      <c r="I119" s="65" t="str">
        <f t="shared" si="4"/>
        <v>030509</v>
      </c>
      <c r="J119" s="65" t="str">
        <f t="shared" si="5"/>
        <v>030509</v>
      </c>
    </row>
    <row r="120" spans="1:10" x14ac:dyDescent="0.3">
      <c r="A120" s="27" t="s">
        <v>2415</v>
      </c>
      <c r="B120" s="27" t="str">
        <f>"03.0510"</f>
        <v>03.0510</v>
      </c>
      <c r="C120" s="64" t="s">
        <v>2416</v>
      </c>
      <c r="D120" s="27" t="s">
        <v>2229</v>
      </c>
      <c r="E120" s="27" t="s">
        <v>2232</v>
      </c>
      <c r="F120" s="27" t="str">
        <f>"03.0510"</f>
        <v>03.0510</v>
      </c>
      <c r="G120" s="27" t="s">
        <v>2416</v>
      </c>
      <c r="H120" s="65" t="str">
        <f t="shared" si="3"/>
        <v>No Change</v>
      </c>
      <c r="I120" s="65" t="str">
        <f t="shared" si="4"/>
        <v>030510</v>
      </c>
      <c r="J120" s="65" t="str">
        <f t="shared" si="5"/>
        <v>030510</v>
      </c>
    </row>
    <row r="121" spans="1:10" x14ac:dyDescent="0.3">
      <c r="A121" s="27" t="s">
        <v>2417</v>
      </c>
      <c r="B121" s="27" t="str">
        <f>"03.0511"</f>
        <v>03.0511</v>
      </c>
      <c r="C121" s="64" t="s">
        <v>2418</v>
      </c>
      <c r="D121" s="27" t="s">
        <v>2229</v>
      </c>
      <c r="E121" s="27" t="s">
        <v>2232</v>
      </c>
      <c r="F121" s="27" t="str">
        <f>"03.0511"</f>
        <v>03.0511</v>
      </c>
      <c r="G121" s="27" t="s">
        <v>2418</v>
      </c>
      <c r="H121" s="65" t="str">
        <f t="shared" si="3"/>
        <v>No Change</v>
      </c>
      <c r="I121" s="65" t="str">
        <f t="shared" si="4"/>
        <v>030511</v>
      </c>
      <c r="J121" s="65" t="str">
        <f t="shared" si="5"/>
        <v>030511</v>
      </c>
    </row>
    <row r="122" spans="1:10" x14ac:dyDescent="0.3">
      <c r="A122" s="27" t="s">
        <v>2419</v>
      </c>
      <c r="B122" s="27" t="str">
        <f>"03.0599"</f>
        <v>03.0599</v>
      </c>
      <c r="C122" s="64" t="s">
        <v>2420</v>
      </c>
      <c r="D122" s="27" t="s">
        <v>2229</v>
      </c>
      <c r="E122" s="27" t="s">
        <v>2232</v>
      </c>
      <c r="F122" s="27" t="str">
        <f>"03.0599"</f>
        <v>03.0599</v>
      </c>
      <c r="G122" s="27" t="s">
        <v>2420</v>
      </c>
      <c r="H122" s="65" t="str">
        <f t="shared" si="3"/>
        <v>No Change</v>
      </c>
      <c r="I122" s="65" t="str">
        <f t="shared" si="4"/>
        <v>030599</v>
      </c>
      <c r="J122" s="65" t="str">
        <f t="shared" si="5"/>
        <v>030599</v>
      </c>
    </row>
    <row r="123" spans="1:10" x14ac:dyDescent="0.3">
      <c r="A123" s="27" t="s">
        <v>1869</v>
      </c>
      <c r="B123" s="27" t="str">
        <f>"03.06"</f>
        <v>03.06</v>
      </c>
      <c r="C123" s="64" t="s">
        <v>2421</v>
      </c>
      <c r="D123" s="27" t="s">
        <v>2229</v>
      </c>
      <c r="E123" s="27" t="s">
        <v>2232</v>
      </c>
      <c r="F123" s="27" t="str">
        <f>"03.06"</f>
        <v>03.06</v>
      </c>
      <c r="G123" s="27" t="s">
        <v>2421</v>
      </c>
      <c r="H123" s="65" t="str">
        <f t="shared" si="3"/>
        <v>No Change</v>
      </c>
      <c r="I123" s="65" t="str">
        <f t="shared" si="4"/>
        <v/>
      </c>
      <c r="J123" s="65" t="str">
        <f t="shared" si="5"/>
        <v/>
      </c>
    </row>
    <row r="124" spans="1:10" x14ac:dyDescent="0.3">
      <c r="A124" s="27" t="s">
        <v>134</v>
      </c>
      <c r="B124" s="27" t="str">
        <f>"03.0601"</f>
        <v>03.0601</v>
      </c>
      <c r="C124" s="64" t="s">
        <v>135</v>
      </c>
      <c r="D124" s="27" t="s">
        <v>2229</v>
      </c>
      <c r="E124" s="27" t="s">
        <v>2232</v>
      </c>
      <c r="F124" s="27" t="str">
        <f>"03.0601"</f>
        <v>03.0601</v>
      </c>
      <c r="G124" s="27" t="s">
        <v>135</v>
      </c>
      <c r="H124" s="65" t="str">
        <f t="shared" si="3"/>
        <v>No Change</v>
      </c>
      <c r="I124" s="65" t="str">
        <f t="shared" si="4"/>
        <v>030601</v>
      </c>
      <c r="J124" s="65" t="str">
        <f t="shared" si="5"/>
        <v>030601</v>
      </c>
    </row>
    <row r="125" spans="1:10" x14ac:dyDescent="0.3">
      <c r="A125" s="27" t="s">
        <v>1869</v>
      </c>
      <c r="B125" s="27" t="str">
        <f>"03.99"</f>
        <v>03.99</v>
      </c>
      <c r="C125" s="64" t="s">
        <v>2422</v>
      </c>
      <c r="D125" s="27" t="s">
        <v>2229</v>
      </c>
      <c r="E125" s="27" t="s">
        <v>2232</v>
      </c>
      <c r="F125" s="27" t="str">
        <f>"03.99"</f>
        <v>03.99</v>
      </c>
      <c r="G125" s="27" t="s">
        <v>2422</v>
      </c>
      <c r="H125" s="65" t="str">
        <f t="shared" si="3"/>
        <v>No Change</v>
      </c>
      <c r="I125" s="65" t="str">
        <f t="shared" si="4"/>
        <v/>
      </c>
      <c r="J125" s="65" t="str">
        <f t="shared" si="5"/>
        <v/>
      </c>
    </row>
    <row r="126" spans="1:10" x14ac:dyDescent="0.3">
      <c r="A126" s="27" t="s">
        <v>2423</v>
      </c>
      <c r="B126" s="27" t="str">
        <f>"03.9999"</f>
        <v>03.9999</v>
      </c>
      <c r="C126" s="64" t="s">
        <v>2422</v>
      </c>
      <c r="D126" s="27" t="s">
        <v>2229</v>
      </c>
      <c r="E126" s="27" t="s">
        <v>2232</v>
      </c>
      <c r="F126" s="27" t="str">
        <f>"03.9999"</f>
        <v>03.9999</v>
      </c>
      <c r="G126" s="27" t="s">
        <v>2422</v>
      </c>
      <c r="H126" s="65" t="str">
        <f t="shared" si="3"/>
        <v>No Change</v>
      </c>
      <c r="I126" s="65" t="str">
        <f t="shared" si="4"/>
        <v>039999</v>
      </c>
      <c r="J126" s="65" t="str">
        <f t="shared" si="5"/>
        <v>039999</v>
      </c>
    </row>
    <row r="127" spans="1:10" x14ac:dyDescent="0.3">
      <c r="A127" s="27" t="s">
        <v>1869</v>
      </c>
      <c r="B127" s="27" t="str">
        <f>"04"</f>
        <v>04</v>
      </c>
      <c r="C127" s="64" t="s">
        <v>2424</v>
      </c>
      <c r="D127" s="27" t="s">
        <v>2229</v>
      </c>
      <c r="E127" s="27" t="s">
        <v>2232</v>
      </c>
      <c r="F127" s="27" t="str">
        <f>"04"</f>
        <v>04</v>
      </c>
      <c r="G127" s="27" t="s">
        <v>2424</v>
      </c>
      <c r="H127" s="65" t="str">
        <f t="shared" si="3"/>
        <v>No Change</v>
      </c>
      <c r="I127" s="65" t="str">
        <f t="shared" si="4"/>
        <v/>
      </c>
      <c r="J127" s="65" t="str">
        <f t="shared" si="5"/>
        <v/>
      </c>
    </row>
    <row r="128" spans="1:10" x14ac:dyDescent="0.3">
      <c r="A128" s="27" t="s">
        <v>1869</v>
      </c>
      <c r="B128" s="27" t="str">
        <f>"04.02"</f>
        <v>04.02</v>
      </c>
      <c r="C128" s="64" t="s">
        <v>2425</v>
      </c>
      <c r="D128" s="27" t="s">
        <v>2229</v>
      </c>
      <c r="E128" s="27" t="s">
        <v>2232</v>
      </c>
      <c r="F128" s="27" t="str">
        <f>"04.02"</f>
        <v>04.02</v>
      </c>
      <c r="G128" s="27" t="s">
        <v>2425</v>
      </c>
      <c r="H128" s="65" t="str">
        <f t="shared" si="3"/>
        <v>No Change</v>
      </c>
      <c r="I128" s="65" t="str">
        <f t="shared" si="4"/>
        <v/>
      </c>
      <c r="J128" s="65" t="str">
        <f t="shared" si="5"/>
        <v/>
      </c>
    </row>
    <row r="129" spans="1:10" x14ac:dyDescent="0.3">
      <c r="A129" s="27" t="s">
        <v>1869</v>
      </c>
      <c r="D129" s="27" t="s">
        <v>2255</v>
      </c>
      <c r="E129" s="27" t="s">
        <v>2232</v>
      </c>
      <c r="F129" s="27" t="str">
        <f>"04.0200"</f>
        <v>04.0200</v>
      </c>
      <c r="G129" s="27" t="s">
        <v>2426</v>
      </c>
      <c r="H129" s="65" t="str">
        <f t="shared" si="3"/>
        <v>Other</v>
      </c>
      <c r="I129" s="65" t="str">
        <f t="shared" si="4"/>
        <v/>
      </c>
      <c r="J129" s="65" t="str">
        <f t="shared" si="5"/>
        <v>040200</v>
      </c>
    </row>
    <row r="130" spans="1:10" x14ac:dyDescent="0.3">
      <c r="A130" s="27" t="s">
        <v>2427</v>
      </c>
      <c r="B130" s="27" t="str">
        <f>"04.0201"</f>
        <v>04.0201</v>
      </c>
      <c r="C130" s="64" t="s">
        <v>2425</v>
      </c>
      <c r="D130" s="27" t="s">
        <v>2229</v>
      </c>
      <c r="E130" s="27" t="s">
        <v>2232</v>
      </c>
      <c r="F130" s="27" t="str">
        <f>"04.0201"</f>
        <v>04.0201</v>
      </c>
      <c r="G130" s="27" t="s">
        <v>2425</v>
      </c>
      <c r="H130" s="65" t="str">
        <f t="shared" si="3"/>
        <v>No Change</v>
      </c>
      <c r="I130" s="65" t="str">
        <f t="shared" si="4"/>
        <v>040201</v>
      </c>
      <c r="J130" s="65" t="str">
        <f t="shared" si="5"/>
        <v>040201</v>
      </c>
    </row>
    <row r="131" spans="1:10" x14ac:dyDescent="0.3">
      <c r="A131" s="27" t="s">
        <v>1869</v>
      </c>
      <c r="D131" s="27" t="s">
        <v>2255</v>
      </c>
      <c r="E131" s="27" t="s">
        <v>2232</v>
      </c>
      <c r="F131" s="27" t="str">
        <f>"04.0202"</f>
        <v>04.0202</v>
      </c>
      <c r="G131" s="27" t="s">
        <v>2428</v>
      </c>
      <c r="H131" s="65" t="str">
        <f t="shared" ref="H131:H194" si="6">IF(I131=J131,"No Change","Other")</f>
        <v>Other</v>
      </c>
      <c r="I131" s="65" t="str">
        <f t="shared" ref="I131:I194" si="7">SUBSTITUTE(IF(SUM(LEN(B131))&lt;7,"",B131),".","")</f>
        <v/>
      </c>
      <c r="J131" s="65" t="str">
        <f t="shared" ref="J131:J194" si="8">SUBSTITUTE(IF(SUM(LEN(F131))&lt;7,"",F131),".","")</f>
        <v>040202</v>
      </c>
    </row>
    <row r="132" spans="1:10" x14ac:dyDescent="0.3">
      <c r="A132" s="27" t="s">
        <v>1869</v>
      </c>
      <c r="D132" s="27" t="s">
        <v>2255</v>
      </c>
      <c r="E132" s="27" t="s">
        <v>2232</v>
      </c>
      <c r="F132" s="27" t="str">
        <f>"04.0299"</f>
        <v>04.0299</v>
      </c>
      <c r="G132" s="27" t="s">
        <v>2429</v>
      </c>
      <c r="H132" s="65" t="str">
        <f t="shared" si="6"/>
        <v>Other</v>
      </c>
      <c r="I132" s="65" t="str">
        <f t="shared" si="7"/>
        <v/>
      </c>
      <c r="J132" s="65" t="str">
        <f t="shared" si="8"/>
        <v>040299</v>
      </c>
    </row>
    <row r="133" spans="1:10" x14ac:dyDescent="0.3">
      <c r="A133" s="27" t="s">
        <v>1869</v>
      </c>
      <c r="B133" s="27" t="str">
        <f>"04.03"</f>
        <v>04.03</v>
      </c>
      <c r="C133" s="64" t="s">
        <v>2430</v>
      </c>
      <c r="D133" s="27" t="s">
        <v>2229</v>
      </c>
      <c r="E133" s="27" t="s">
        <v>2232</v>
      </c>
      <c r="F133" s="27" t="str">
        <f>"04.03"</f>
        <v>04.03</v>
      </c>
      <c r="G133" s="27" t="s">
        <v>2431</v>
      </c>
      <c r="H133" s="65" t="str">
        <f t="shared" si="6"/>
        <v>No Change</v>
      </c>
      <c r="I133" s="65" t="str">
        <f t="shared" si="7"/>
        <v/>
      </c>
      <c r="J133" s="65" t="str">
        <f t="shared" si="8"/>
        <v/>
      </c>
    </row>
    <row r="134" spans="1:10" x14ac:dyDescent="0.3">
      <c r="A134" s="27" t="s">
        <v>2432</v>
      </c>
      <c r="B134" s="27" t="str">
        <f>"04.0301"</f>
        <v>04.0301</v>
      </c>
      <c r="C134" s="64" t="s">
        <v>2430</v>
      </c>
      <c r="D134" s="27" t="s">
        <v>2229</v>
      </c>
      <c r="E134" s="27" t="s">
        <v>2232</v>
      </c>
      <c r="F134" s="27" t="str">
        <f>"04.0301"</f>
        <v>04.0301</v>
      </c>
      <c r="G134" s="27" t="s">
        <v>2431</v>
      </c>
      <c r="H134" s="65" t="str">
        <f t="shared" si="6"/>
        <v>No Change</v>
      </c>
      <c r="I134" s="65" t="str">
        <f t="shared" si="7"/>
        <v>040301</v>
      </c>
      <c r="J134" s="65" t="str">
        <f t="shared" si="8"/>
        <v>040301</v>
      </c>
    </row>
    <row r="135" spans="1:10" x14ac:dyDescent="0.3">
      <c r="A135" s="27" t="s">
        <v>1869</v>
      </c>
      <c r="B135" s="27" t="str">
        <f>"04.04"</f>
        <v>04.04</v>
      </c>
      <c r="C135" s="64" t="s">
        <v>2433</v>
      </c>
      <c r="D135" s="27" t="s">
        <v>2229</v>
      </c>
      <c r="E135" s="27" t="s">
        <v>2232</v>
      </c>
      <c r="F135" s="27" t="str">
        <f>"04.04"</f>
        <v>04.04</v>
      </c>
      <c r="G135" s="27" t="s">
        <v>2433</v>
      </c>
      <c r="H135" s="65" t="str">
        <f t="shared" si="6"/>
        <v>No Change</v>
      </c>
      <c r="I135" s="65" t="str">
        <f t="shared" si="7"/>
        <v/>
      </c>
      <c r="J135" s="65" t="str">
        <f t="shared" si="8"/>
        <v/>
      </c>
    </row>
    <row r="136" spans="1:10" x14ac:dyDescent="0.3">
      <c r="A136" s="27" t="s">
        <v>2434</v>
      </c>
      <c r="B136" s="27" t="str">
        <f>"04.0401"</f>
        <v>04.0401</v>
      </c>
      <c r="C136" s="64" t="s">
        <v>2435</v>
      </c>
      <c r="D136" s="27" t="s">
        <v>2229</v>
      </c>
      <c r="E136" s="27" t="s">
        <v>2232</v>
      </c>
      <c r="F136" s="27" t="str">
        <f>"04.0401"</f>
        <v>04.0401</v>
      </c>
      <c r="G136" s="27" t="s">
        <v>2435</v>
      </c>
      <c r="H136" s="65" t="str">
        <f t="shared" si="6"/>
        <v>No Change</v>
      </c>
      <c r="I136" s="65" t="str">
        <f t="shared" si="7"/>
        <v>040401</v>
      </c>
      <c r="J136" s="65" t="str">
        <f t="shared" si="8"/>
        <v>040401</v>
      </c>
    </row>
    <row r="137" spans="1:10" x14ac:dyDescent="0.3">
      <c r="A137" s="27" t="s">
        <v>1869</v>
      </c>
      <c r="D137" s="27" t="s">
        <v>2255</v>
      </c>
      <c r="E137" s="27" t="s">
        <v>2232</v>
      </c>
      <c r="F137" s="27" t="str">
        <f>"04.0402"</f>
        <v>04.0402</v>
      </c>
      <c r="G137" s="27" t="s">
        <v>2436</v>
      </c>
      <c r="H137" s="65" t="str">
        <f t="shared" si="6"/>
        <v>Other</v>
      </c>
      <c r="I137" s="65" t="str">
        <f t="shared" si="7"/>
        <v/>
      </c>
      <c r="J137" s="65" t="str">
        <f t="shared" si="8"/>
        <v>040402</v>
      </c>
    </row>
    <row r="138" spans="1:10" x14ac:dyDescent="0.3">
      <c r="A138" s="27" t="s">
        <v>1869</v>
      </c>
      <c r="D138" s="27" t="s">
        <v>2255</v>
      </c>
      <c r="E138" s="27" t="s">
        <v>2232</v>
      </c>
      <c r="F138" s="27" t="str">
        <f>"04.0403"</f>
        <v>04.0403</v>
      </c>
      <c r="G138" s="27" t="s">
        <v>2437</v>
      </c>
      <c r="H138" s="65" t="str">
        <f t="shared" si="6"/>
        <v>Other</v>
      </c>
      <c r="I138" s="65" t="str">
        <f t="shared" si="7"/>
        <v/>
      </c>
      <c r="J138" s="65" t="str">
        <f t="shared" si="8"/>
        <v>040403</v>
      </c>
    </row>
    <row r="139" spans="1:10" x14ac:dyDescent="0.3">
      <c r="A139" s="27" t="s">
        <v>1869</v>
      </c>
      <c r="D139" s="27" t="s">
        <v>2255</v>
      </c>
      <c r="E139" s="27" t="s">
        <v>2232</v>
      </c>
      <c r="F139" s="27" t="str">
        <f>"04.0499"</f>
        <v>04.0499</v>
      </c>
      <c r="G139" s="27" t="s">
        <v>2438</v>
      </c>
      <c r="H139" s="65" t="str">
        <f t="shared" si="6"/>
        <v>Other</v>
      </c>
      <c r="I139" s="65" t="str">
        <f t="shared" si="7"/>
        <v/>
      </c>
      <c r="J139" s="65" t="str">
        <f t="shared" si="8"/>
        <v>040499</v>
      </c>
    </row>
    <row r="140" spans="1:10" x14ac:dyDescent="0.3">
      <c r="A140" s="27" t="s">
        <v>1869</v>
      </c>
      <c r="B140" s="27" t="str">
        <f>"04.05"</f>
        <v>04.05</v>
      </c>
      <c r="C140" s="64" t="s">
        <v>2439</v>
      </c>
      <c r="D140" s="27" t="s">
        <v>2229</v>
      </c>
      <c r="E140" s="27" t="s">
        <v>2232</v>
      </c>
      <c r="F140" s="27" t="str">
        <f>"04.05"</f>
        <v>04.05</v>
      </c>
      <c r="G140" s="27" t="s">
        <v>2439</v>
      </c>
      <c r="H140" s="65" t="str">
        <f t="shared" si="6"/>
        <v>No Change</v>
      </c>
      <c r="I140" s="65" t="str">
        <f t="shared" si="7"/>
        <v/>
      </c>
      <c r="J140" s="65" t="str">
        <f t="shared" si="8"/>
        <v/>
      </c>
    </row>
    <row r="141" spans="1:10" x14ac:dyDescent="0.3">
      <c r="A141" s="27" t="s">
        <v>2440</v>
      </c>
      <c r="B141" s="27" t="str">
        <f>"04.0501"</f>
        <v>04.0501</v>
      </c>
      <c r="C141" s="64" t="s">
        <v>2439</v>
      </c>
      <c r="D141" s="27" t="s">
        <v>2229</v>
      </c>
      <c r="E141" s="27" t="s">
        <v>2232</v>
      </c>
      <c r="F141" s="27" t="str">
        <f>"04.0501"</f>
        <v>04.0501</v>
      </c>
      <c r="G141" s="27" t="s">
        <v>2439</v>
      </c>
      <c r="H141" s="65" t="str">
        <f t="shared" si="6"/>
        <v>No Change</v>
      </c>
      <c r="I141" s="65" t="str">
        <f t="shared" si="7"/>
        <v>040501</v>
      </c>
      <c r="J141" s="65" t="str">
        <f t="shared" si="8"/>
        <v>040501</v>
      </c>
    </row>
    <row r="142" spans="1:10" x14ac:dyDescent="0.3">
      <c r="A142" s="27" t="s">
        <v>1869</v>
      </c>
      <c r="B142" s="27" t="str">
        <f>"04.06"</f>
        <v>04.06</v>
      </c>
      <c r="C142" s="64" t="s">
        <v>2441</v>
      </c>
      <c r="D142" s="27" t="s">
        <v>2229</v>
      </c>
      <c r="E142" s="27" t="s">
        <v>2232</v>
      </c>
      <c r="F142" s="27" t="str">
        <f>"04.06"</f>
        <v>04.06</v>
      </c>
      <c r="G142" s="27" t="s">
        <v>2441</v>
      </c>
      <c r="H142" s="65" t="str">
        <f t="shared" si="6"/>
        <v>No Change</v>
      </c>
      <c r="I142" s="65" t="str">
        <f t="shared" si="7"/>
        <v/>
      </c>
      <c r="J142" s="65" t="str">
        <f t="shared" si="8"/>
        <v/>
      </c>
    </row>
    <row r="143" spans="1:10" x14ac:dyDescent="0.3">
      <c r="A143" s="27" t="s">
        <v>2442</v>
      </c>
      <c r="B143" s="27" t="str">
        <f>"04.0601"</f>
        <v>04.0601</v>
      </c>
      <c r="C143" s="64" t="s">
        <v>2441</v>
      </c>
      <c r="D143" s="27" t="s">
        <v>2229</v>
      </c>
      <c r="E143" s="27" t="s">
        <v>2232</v>
      </c>
      <c r="F143" s="27" t="str">
        <f>"04.0601"</f>
        <v>04.0601</v>
      </c>
      <c r="G143" s="27" t="s">
        <v>2441</v>
      </c>
      <c r="H143" s="65" t="str">
        <f t="shared" si="6"/>
        <v>No Change</v>
      </c>
      <c r="I143" s="65" t="str">
        <f t="shared" si="7"/>
        <v>040601</v>
      </c>
      <c r="J143" s="65" t="str">
        <f t="shared" si="8"/>
        <v>040601</v>
      </c>
    </row>
    <row r="144" spans="1:10" x14ac:dyDescent="0.3">
      <c r="A144" s="27" t="s">
        <v>1869</v>
      </c>
      <c r="B144" s="27" t="str">
        <f>"04.08"</f>
        <v>04.08</v>
      </c>
      <c r="C144" s="64" t="s">
        <v>2443</v>
      </c>
      <c r="D144" s="27" t="s">
        <v>2229</v>
      </c>
      <c r="E144" s="27" t="s">
        <v>2230</v>
      </c>
      <c r="F144" s="27" t="str">
        <f>"04.08"</f>
        <v>04.08</v>
      </c>
      <c r="G144" s="27" t="s">
        <v>2444</v>
      </c>
      <c r="H144" s="65" t="str">
        <f t="shared" si="6"/>
        <v>No Change</v>
      </c>
      <c r="I144" s="65" t="str">
        <f t="shared" si="7"/>
        <v/>
      </c>
      <c r="J144" s="65" t="str">
        <f t="shared" si="8"/>
        <v/>
      </c>
    </row>
    <row r="145" spans="1:10" x14ac:dyDescent="0.3">
      <c r="A145" s="27" t="s">
        <v>2445</v>
      </c>
      <c r="B145" s="27" t="str">
        <f>"04.0801"</f>
        <v>04.0801</v>
      </c>
      <c r="C145" s="64" t="s">
        <v>2446</v>
      </c>
      <c r="D145" s="27" t="s">
        <v>2229</v>
      </c>
      <c r="E145" s="27" t="s">
        <v>2232</v>
      </c>
      <c r="F145" s="27" t="str">
        <f>"04.0801"</f>
        <v>04.0801</v>
      </c>
      <c r="G145" s="27" t="s">
        <v>2446</v>
      </c>
      <c r="H145" s="65" t="str">
        <f t="shared" si="6"/>
        <v>No Change</v>
      </c>
      <c r="I145" s="65" t="str">
        <f t="shared" si="7"/>
        <v>040801</v>
      </c>
      <c r="J145" s="65" t="str">
        <f t="shared" si="8"/>
        <v>040801</v>
      </c>
    </row>
    <row r="146" spans="1:10" x14ac:dyDescent="0.3">
      <c r="A146" s="27" t="s">
        <v>1869</v>
      </c>
      <c r="D146" s="27" t="s">
        <v>2255</v>
      </c>
      <c r="E146" s="27" t="s">
        <v>2232</v>
      </c>
      <c r="F146" s="27" t="str">
        <f>"04.0802"</f>
        <v>04.0802</v>
      </c>
      <c r="G146" s="27" t="s">
        <v>2447</v>
      </c>
      <c r="H146" s="65" t="str">
        <f t="shared" si="6"/>
        <v>Other</v>
      </c>
      <c r="I146" s="65" t="str">
        <f t="shared" si="7"/>
        <v/>
      </c>
      <c r="J146" s="65" t="str">
        <f t="shared" si="8"/>
        <v>040802</v>
      </c>
    </row>
    <row r="147" spans="1:10" x14ac:dyDescent="0.3">
      <c r="A147" s="27" t="s">
        <v>1869</v>
      </c>
      <c r="D147" s="27" t="s">
        <v>2255</v>
      </c>
      <c r="E147" s="27" t="s">
        <v>2232</v>
      </c>
      <c r="F147" s="27" t="str">
        <f>"04.0803"</f>
        <v>04.0803</v>
      </c>
      <c r="G147" s="27" t="s">
        <v>2448</v>
      </c>
      <c r="H147" s="65" t="str">
        <f t="shared" si="6"/>
        <v>Other</v>
      </c>
      <c r="I147" s="65" t="str">
        <f t="shared" si="7"/>
        <v/>
      </c>
      <c r="J147" s="65" t="str">
        <f t="shared" si="8"/>
        <v>040803</v>
      </c>
    </row>
    <row r="148" spans="1:10" x14ac:dyDescent="0.3">
      <c r="A148" s="27" t="s">
        <v>1869</v>
      </c>
      <c r="D148" s="27" t="s">
        <v>2255</v>
      </c>
      <c r="E148" s="27" t="s">
        <v>2232</v>
      </c>
      <c r="F148" s="27" t="str">
        <f>"04.0899"</f>
        <v>04.0899</v>
      </c>
      <c r="G148" s="27" t="s">
        <v>2449</v>
      </c>
      <c r="H148" s="65" t="str">
        <f t="shared" si="6"/>
        <v>Other</v>
      </c>
      <c r="I148" s="65" t="str">
        <f t="shared" si="7"/>
        <v/>
      </c>
      <c r="J148" s="65" t="str">
        <f t="shared" si="8"/>
        <v>040899</v>
      </c>
    </row>
    <row r="149" spans="1:10" x14ac:dyDescent="0.3">
      <c r="A149" s="27" t="s">
        <v>1869</v>
      </c>
      <c r="B149" s="27" t="str">
        <f>"04.09"</f>
        <v>04.09</v>
      </c>
      <c r="C149" s="64" t="s">
        <v>2450</v>
      </c>
      <c r="D149" s="27" t="s">
        <v>2229</v>
      </c>
      <c r="E149" s="27" t="s">
        <v>2232</v>
      </c>
      <c r="F149" s="27" t="str">
        <f>"04.09"</f>
        <v>04.09</v>
      </c>
      <c r="G149" s="27" t="s">
        <v>2450</v>
      </c>
      <c r="H149" s="65" t="str">
        <f t="shared" si="6"/>
        <v>No Change</v>
      </c>
      <c r="I149" s="65" t="str">
        <f t="shared" si="7"/>
        <v/>
      </c>
      <c r="J149" s="65" t="str">
        <f t="shared" si="8"/>
        <v/>
      </c>
    </row>
    <row r="150" spans="1:10" x14ac:dyDescent="0.3">
      <c r="A150" s="27" t="s">
        <v>354</v>
      </c>
      <c r="B150" s="27" t="str">
        <f>"04.0901"</f>
        <v>04.0901</v>
      </c>
      <c r="C150" s="64" t="s">
        <v>355</v>
      </c>
      <c r="D150" s="27" t="s">
        <v>2229</v>
      </c>
      <c r="E150" s="27" t="s">
        <v>2232</v>
      </c>
      <c r="F150" s="27" t="str">
        <f>"04.0901"</f>
        <v>04.0901</v>
      </c>
      <c r="G150" s="27" t="s">
        <v>355</v>
      </c>
      <c r="H150" s="65" t="str">
        <f t="shared" si="6"/>
        <v>No Change</v>
      </c>
      <c r="I150" s="65" t="str">
        <f t="shared" si="7"/>
        <v>040901</v>
      </c>
      <c r="J150" s="65" t="str">
        <f t="shared" si="8"/>
        <v>040901</v>
      </c>
    </row>
    <row r="151" spans="1:10" x14ac:dyDescent="0.3">
      <c r="A151" s="27" t="s">
        <v>2451</v>
      </c>
      <c r="B151" s="27" t="str">
        <f>"04.0902"</f>
        <v>04.0902</v>
      </c>
      <c r="C151" s="64" t="s">
        <v>2452</v>
      </c>
      <c r="D151" s="27" t="s">
        <v>2229</v>
      </c>
      <c r="E151" s="27" t="s">
        <v>2232</v>
      </c>
      <c r="F151" s="27" t="str">
        <f>"04.0902"</f>
        <v>04.0902</v>
      </c>
      <c r="G151" s="27" t="s">
        <v>2452</v>
      </c>
      <c r="H151" s="65" t="str">
        <f t="shared" si="6"/>
        <v>No Change</v>
      </c>
      <c r="I151" s="65" t="str">
        <f t="shared" si="7"/>
        <v>040902</v>
      </c>
      <c r="J151" s="65" t="str">
        <f t="shared" si="8"/>
        <v>040902</v>
      </c>
    </row>
    <row r="152" spans="1:10" x14ac:dyDescent="0.3">
      <c r="A152" s="27" t="s">
        <v>2453</v>
      </c>
      <c r="B152" s="27" t="str">
        <f>"04.0999"</f>
        <v>04.0999</v>
      </c>
      <c r="C152" s="64" t="s">
        <v>2454</v>
      </c>
      <c r="D152" s="27" t="s">
        <v>2229</v>
      </c>
      <c r="E152" s="27" t="s">
        <v>2232</v>
      </c>
      <c r="F152" s="27" t="str">
        <f>"04.0999"</f>
        <v>04.0999</v>
      </c>
      <c r="G152" s="27" t="s">
        <v>2454</v>
      </c>
      <c r="H152" s="65" t="str">
        <f t="shared" si="6"/>
        <v>No Change</v>
      </c>
      <c r="I152" s="65" t="str">
        <f t="shared" si="7"/>
        <v>040999</v>
      </c>
      <c r="J152" s="65" t="str">
        <f t="shared" si="8"/>
        <v>040999</v>
      </c>
    </row>
    <row r="153" spans="1:10" x14ac:dyDescent="0.3">
      <c r="A153" s="27" t="s">
        <v>1869</v>
      </c>
      <c r="B153" s="27" t="str">
        <f>"04.10"</f>
        <v>04.10</v>
      </c>
      <c r="C153" s="64" t="s">
        <v>2455</v>
      </c>
      <c r="D153" s="27" t="s">
        <v>2229</v>
      </c>
      <c r="E153" s="27" t="s">
        <v>2232</v>
      </c>
      <c r="F153" s="27" t="str">
        <f>"04.10"</f>
        <v>04.10</v>
      </c>
      <c r="G153" s="27" t="s">
        <v>2455</v>
      </c>
      <c r="H153" s="65" t="str">
        <f t="shared" si="6"/>
        <v>No Change</v>
      </c>
      <c r="I153" s="65" t="str">
        <f t="shared" si="7"/>
        <v/>
      </c>
      <c r="J153" s="65" t="str">
        <f t="shared" si="8"/>
        <v/>
      </c>
    </row>
    <row r="154" spans="1:10" x14ac:dyDescent="0.3">
      <c r="A154" s="27" t="s">
        <v>2456</v>
      </c>
      <c r="B154" s="27" t="str">
        <f>"04.1001"</f>
        <v>04.1001</v>
      </c>
      <c r="C154" s="64" t="s">
        <v>2455</v>
      </c>
      <c r="D154" s="27" t="s">
        <v>2229</v>
      </c>
      <c r="E154" s="27" t="s">
        <v>2232</v>
      </c>
      <c r="F154" s="27" t="str">
        <f>"04.1001"</f>
        <v>04.1001</v>
      </c>
      <c r="G154" s="27" t="s">
        <v>2455</v>
      </c>
      <c r="H154" s="65" t="str">
        <f t="shared" si="6"/>
        <v>No Change</v>
      </c>
      <c r="I154" s="65" t="str">
        <f t="shared" si="7"/>
        <v>041001</v>
      </c>
      <c r="J154" s="65" t="str">
        <f t="shared" si="8"/>
        <v>041001</v>
      </c>
    </row>
    <row r="155" spans="1:10" x14ac:dyDescent="0.3">
      <c r="A155" s="27" t="s">
        <v>1869</v>
      </c>
      <c r="B155" s="27" t="str">
        <f>"04.99"</f>
        <v>04.99</v>
      </c>
      <c r="C155" s="64" t="s">
        <v>2457</v>
      </c>
      <c r="D155" s="27" t="s">
        <v>2229</v>
      </c>
      <c r="E155" s="27" t="s">
        <v>2232</v>
      </c>
      <c r="F155" s="27" t="str">
        <f>"04.99"</f>
        <v>04.99</v>
      </c>
      <c r="G155" s="27" t="s">
        <v>2457</v>
      </c>
      <c r="H155" s="65" t="str">
        <f t="shared" si="6"/>
        <v>No Change</v>
      </c>
      <c r="I155" s="65" t="str">
        <f t="shared" si="7"/>
        <v/>
      </c>
      <c r="J155" s="65" t="str">
        <f t="shared" si="8"/>
        <v/>
      </c>
    </row>
    <row r="156" spans="1:10" x14ac:dyDescent="0.3">
      <c r="A156" s="27" t="s">
        <v>2458</v>
      </c>
      <c r="B156" s="27" t="str">
        <f>"04.9999"</f>
        <v>04.9999</v>
      </c>
      <c r="C156" s="64" t="s">
        <v>2457</v>
      </c>
      <c r="D156" s="27" t="s">
        <v>2229</v>
      </c>
      <c r="E156" s="27" t="s">
        <v>2232</v>
      </c>
      <c r="F156" s="27" t="str">
        <f>"04.9999"</f>
        <v>04.9999</v>
      </c>
      <c r="G156" s="27" t="s">
        <v>2457</v>
      </c>
      <c r="H156" s="65" t="str">
        <f t="shared" si="6"/>
        <v>No Change</v>
      </c>
      <c r="I156" s="65" t="str">
        <f t="shared" si="7"/>
        <v>049999</v>
      </c>
      <c r="J156" s="65" t="str">
        <f t="shared" si="8"/>
        <v>049999</v>
      </c>
    </row>
    <row r="157" spans="1:10" x14ac:dyDescent="0.3">
      <c r="A157" s="27" t="s">
        <v>1869</v>
      </c>
      <c r="B157" s="27" t="str">
        <f>"05"</f>
        <v>05</v>
      </c>
      <c r="C157" s="64" t="s">
        <v>2459</v>
      </c>
      <c r="D157" s="27" t="s">
        <v>2229</v>
      </c>
      <c r="E157" s="27" t="s">
        <v>2232</v>
      </c>
      <c r="F157" s="27" t="str">
        <f>"05"</f>
        <v>05</v>
      </c>
      <c r="G157" s="27" t="s">
        <v>2459</v>
      </c>
      <c r="H157" s="65" t="str">
        <f t="shared" si="6"/>
        <v>No Change</v>
      </c>
      <c r="I157" s="65" t="str">
        <f t="shared" si="7"/>
        <v/>
      </c>
      <c r="J157" s="65" t="str">
        <f t="shared" si="8"/>
        <v/>
      </c>
    </row>
    <row r="158" spans="1:10" x14ac:dyDescent="0.3">
      <c r="A158" s="27" t="s">
        <v>1869</v>
      </c>
      <c r="B158" s="27" t="str">
        <f>"05.01"</f>
        <v>05.01</v>
      </c>
      <c r="C158" s="64" t="s">
        <v>2460</v>
      </c>
      <c r="D158" s="27" t="s">
        <v>2229</v>
      </c>
      <c r="E158" s="27" t="s">
        <v>2232</v>
      </c>
      <c r="F158" s="27" t="str">
        <f>"05.01"</f>
        <v>05.01</v>
      </c>
      <c r="G158" s="27" t="s">
        <v>2460</v>
      </c>
      <c r="H158" s="65" t="str">
        <f t="shared" si="6"/>
        <v>No Change</v>
      </c>
      <c r="I158" s="65" t="str">
        <f t="shared" si="7"/>
        <v/>
      </c>
      <c r="J158" s="65" t="str">
        <f t="shared" si="8"/>
        <v/>
      </c>
    </row>
    <row r="159" spans="1:10" x14ac:dyDescent="0.3">
      <c r="A159" s="27" t="s">
        <v>2461</v>
      </c>
      <c r="B159" s="27" t="str">
        <f>"05.0101"</f>
        <v>05.0101</v>
      </c>
      <c r="C159" s="64" t="s">
        <v>2462</v>
      </c>
      <c r="D159" s="27" t="s">
        <v>2229</v>
      </c>
      <c r="E159" s="27" t="s">
        <v>2232</v>
      </c>
      <c r="F159" s="27" t="str">
        <f>"05.0101"</f>
        <v>05.0101</v>
      </c>
      <c r="G159" s="27" t="s">
        <v>2462</v>
      </c>
      <c r="H159" s="65" t="str">
        <f t="shared" si="6"/>
        <v>No Change</v>
      </c>
      <c r="I159" s="65" t="str">
        <f t="shared" si="7"/>
        <v>050101</v>
      </c>
      <c r="J159" s="65" t="str">
        <f t="shared" si="8"/>
        <v>050101</v>
      </c>
    </row>
    <row r="160" spans="1:10" x14ac:dyDescent="0.3">
      <c r="A160" s="27" t="s">
        <v>2463</v>
      </c>
      <c r="B160" s="27" t="str">
        <f>"05.0102"</f>
        <v>05.0102</v>
      </c>
      <c r="C160" s="64" t="s">
        <v>2464</v>
      </c>
      <c r="D160" s="27" t="s">
        <v>2229</v>
      </c>
      <c r="E160" s="27" t="s">
        <v>2232</v>
      </c>
      <c r="F160" s="27" t="str">
        <f>"05.0102"</f>
        <v>05.0102</v>
      </c>
      <c r="G160" s="27" t="s">
        <v>2464</v>
      </c>
      <c r="H160" s="65" t="str">
        <f t="shared" si="6"/>
        <v>No Change</v>
      </c>
      <c r="I160" s="65" t="str">
        <f t="shared" si="7"/>
        <v>050102</v>
      </c>
      <c r="J160" s="65" t="str">
        <f t="shared" si="8"/>
        <v>050102</v>
      </c>
    </row>
    <row r="161" spans="1:10" x14ac:dyDescent="0.3">
      <c r="A161" s="27" t="s">
        <v>2465</v>
      </c>
      <c r="B161" s="27" t="str">
        <f>"05.0103"</f>
        <v>05.0103</v>
      </c>
      <c r="C161" s="64" t="s">
        <v>2466</v>
      </c>
      <c r="D161" s="27" t="s">
        <v>2229</v>
      </c>
      <c r="E161" s="27" t="s">
        <v>2232</v>
      </c>
      <c r="F161" s="27" t="str">
        <f>"05.0103"</f>
        <v>05.0103</v>
      </c>
      <c r="G161" s="27" t="s">
        <v>2466</v>
      </c>
      <c r="H161" s="65" t="str">
        <f t="shared" si="6"/>
        <v>No Change</v>
      </c>
      <c r="I161" s="65" t="str">
        <f t="shared" si="7"/>
        <v>050103</v>
      </c>
      <c r="J161" s="65" t="str">
        <f t="shared" si="8"/>
        <v>050103</v>
      </c>
    </row>
    <row r="162" spans="1:10" x14ac:dyDescent="0.3">
      <c r="A162" s="27" t="s">
        <v>2467</v>
      </c>
      <c r="B162" s="27" t="str">
        <f>"05.0104"</f>
        <v>05.0104</v>
      </c>
      <c r="C162" s="64" t="s">
        <v>2468</v>
      </c>
      <c r="D162" s="27" t="s">
        <v>2229</v>
      </c>
      <c r="E162" s="27" t="s">
        <v>2232</v>
      </c>
      <c r="F162" s="27" t="str">
        <f>"05.0104"</f>
        <v>05.0104</v>
      </c>
      <c r="G162" s="27" t="s">
        <v>2468</v>
      </c>
      <c r="H162" s="65" t="str">
        <f t="shared" si="6"/>
        <v>No Change</v>
      </c>
      <c r="I162" s="65" t="str">
        <f t="shared" si="7"/>
        <v>050104</v>
      </c>
      <c r="J162" s="65" t="str">
        <f t="shared" si="8"/>
        <v>050104</v>
      </c>
    </row>
    <row r="163" spans="1:10" x14ac:dyDescent="0.3">
      <c r="A163" s="27" t="s">
        <v>2469</v>
      </c>
      <c r="B163" s="27" t="str">
        <f>"05.0105"</f>
        <v>05.0105</v>
      </c>
      <c r="C163" s="64" t="s">
        <v>2470</v>
      </c>
      <c r="D163" s="27" t="s">
        <v>2229</v>
      </c>
      <c r="E163" s="27" t="s">
        <v>2232</v>
      </c>
      <c r="F163" s="27" t="str">
        <f>"05.0105"</f>
        <v>05.0105</v>
      </c>
      <c r="G163" s="27" t="s">
        <v>2470</v>
      </c>
      <c r="H163" s="65" t="str">
        <f t="shared" si="6"/>
        <v>No Change</v>
      </c>
      <c r="I163" s="65" t="str">
        <f t="shared" si="7"/>
        <v>050105</v>
      </c>
      <c r="J163" s="65" t="str">
        <f t="shared" si="8"/>
        <v>050105</v>
      </c>
    </row>
    <row r="164" spans="1:10" x14ac:dyDescent="0.3">
      <c r="A164" s="27" t="s">
        <v>2471</v>
      </c>
      <c r="B164" s="27" t="str">
        <f>"05.0106"</f>
        <v>05.0106</v>
      </c>
      <c r="C164" s="64" t="s">
        <v>2472</v>
      </c>
      <c r="D164" s="27" t="s">
        <v>2229</v>
      </c>
      <c r="E164" s="27" t="s">
        <v>2232</v>
      </c>
      <c r="F164" s="27" t="str">
        <f>"05.0106"</f>
        <v>05.0106</v>
      </c>
      <c r="G164" s="27" t="s">
        <v>2472</v>
      </c>
      <c r="H164" s="65" t="str">
        <f t="shared" si="6"/>
        <v>No Change</v>
      </c>
      <c r="I164" s="65" t="str">
        <f t="shared" si="7"/>
        <v>050106</v>
      </c>
      <c r="J164" s="65" t="str">
        <f t="shared" si="8"/>
        <v>050106</v>
      </c>
    </row>
    <row r="165" spans="1:10" x14ac:dyDescent="0.3">
      <c r="A165" s="27" t="s">
        <v>2473</v>
      </c>
      <c r="B165" s="27" t="str">
        <f>"05.0107"</f>
        <v>05.0107</v>
      </c>
      <c r="C165" s="64" t="s">
        <v>2474</v>
      </c>
      <c r="D165" s="27" t="s">
        <v>2229</v>
      </c>
      <c r="E165" s="27" t="s">
        <v>2232</v>
      </c>
      <c r="F165" s="27" t="str">
        <f>"05.0107"</f>
        <v>05.0107</v>
      </c>
      <c r="G165" s="27" t="s">
        <v>2474</v>
      </c>
      <c r="H165" s="65" t="str">
        <f t="shared" si="6"/>
        <v>No Change</v>
      </c>
      <c r="I165" s="65" t="str">
        <f t="shared" si="7"/>
        <v>050107</v>
      </c>
      <c r="J165" s="65" t="str">
        <f t="shared" si="8"/>
        <v>050107</v>
      </c>
    </row>
    <row r="166" spans="1:10" x14ac:dyDescent="0.3">
      <c r="A166" s="27" t="s">
        <v>2475</v>
      </c>
      <c r="B166" s="27" t="str">
        <f>"05.0108"</f>
        <v>05.0108</v>
      </c>
      <c r="C166" s="64" t="s">
        <v>2476</v>
      </c>
      <c r="D166" s="27" t="s">
        <v>2229</v>
      </c>
      <c r="E166" s="27" t="s">
        <v>2232</v>
      </c>
      <c r="F166" s="27" t="str">
        <f>"05.0108"</f>
        <v>05.0108</v>
      </c>
      <c r="G166" s="27" t="s">
        <v>2476</v>
      </c>
      <c r="H166" s="65" t="str">
        <f t="shared" si="6"/>
        <v>No Change</v>
      </c>
      <c r="I166" s="65" t="str">
        <f t="shared" si="7"/>
        <v>050108</v>
      </c>
      <c r="J166" s="65" t="str">
        <f t="shared" si="8"/>
        <v>050108</v>
      </c>
    </row>
    <row r="167" spans="1:10" x14ac:dyDescent="0.3">
      <c r="A167" s="27" t="s">
        <v>2477</v>
      </c>
      <c r="B167" s="27" t="str">
        <f>"05.0109"</f>
        <v>05.0109</v>
      </c>
      <c r="C167" s="64" t="s">
        <v>2478</v>
      </c>
      <c r="D167" s="27" t="s">
        <v>2229</v>
      </c>
      <c r="E167" s="27" t="s">
        <v>2232</v>
      </c>
      <c r="F167" s="27" t="str">
        <f>"05.0109"</f>
        <v>05.0109</v>
      </c>
      <c r="G167" s="27" t="s">
        <v>2478</v>
      </c>
      <c r="H167" s="65" t="str">
        <f t="shared" si="6"/>
        <v>No Change</v>
      </c>
      <c r="I167" s="65" t="str">
        <f t="shared" si="7"/>
        <v>050109</v>
      </c>
      <c r="J167" s="65" t="str">
        <f t="shared" si="8"/>
        <v>050109</v>
      </c>
    </row>
    <row r="168" spans="1:10" x14ac:dyDescent="0.3">
      <c r="A168" s="27" t="s">
        <v>2479</v>
      </c>
      <c r="B168" s="27" t="str">
        <f>"05.0110"</f>
        <v>05.0110</v>
      </c>
      <c r="C168" s="64" t="s">
        <v>2480</v>
      </c>
      <c r="D168" s="27" t="s">
        <v>2229</v>
      </c>
      <c r="E168" s="27" t="s">
        <v>2232</v>
      </c>
      <c r="F168" s="27" t="str">
        <f>"05.0110"</f>
        <v>05.0110</v>
      </c>
      <c r="G168" s="27" t="s">
        <v>2480</v>
      </c>
      <c r="H168" s="65" t="str">
        <f t="shared" si="6"/>
        <v>No Change</v>
      </c>
      <c r="I168" s="65" t="str">
        <f t="shared" si="7"/>
        <v>050110</v>
      </c>
      <c r="J168" s="65" t="str">
        <f t="shared" si="8"/>
        <v>050110</v>
      </c>
    </row>
    <row r="169" spans="1:10" x14ac:dyDescent="0.3">
      <c r="A169" s="27" t="s">
        <v>2481</v>
      </c>
      <c r="B169" s="27" t="str">
        <f>"05.0111"</f>
        <v>05.0111</v>
      </c>
      <c r="C169" s="64" t="s">
        <v>2482</v>
      </c>
      <c r="D169" s="27" t="s">
        <v>2229</v>
      </c>
      <c r="E169" s="27" t="s">
        <v>2230</v>
      </c>
      <c r="F169" s="27" t="str">
        <f>"05.0111"</f>
        <v>05.0111</v>
      </c>
      <c r="G169" s="27" t="s">
        <v>2482</v>
      </c>
      <c r="H169" s="65" t="str">
        <f t="shared" si="6"/>
        <v>No Change</v>
      </c>
      <c r="I169" s="65" t="str">
        <f t="shared" si="7"/>
        <v>050111</v>
      </c>
      <c r="J169" s="65" t="str">
        <f t="shared" si="8"/>
        <v>050111</v>
      </c>
    </row>
    <row r="170" spans="1:10" x14ac:dyDescent="0.3">
      <c r="A170" s="27" t="s">
        <v>2483</v>
      </c>
      <c r="B170" s="27" t="str">
        <f>"05.0112"</f>
        <v>05.0112</v>
      </c>
      <c r="C170" s="64" t="s">
        <v>2484</v>
      </c>
      <c r="D170" s="27" t="s">
        <v>2229</v>
      </c>
      <c r="E170" s="27" t="s">
        <v>2232</v>
      </c>
      <c r="F170" s="27" t="str">
        <f>"05.0112"</f>
        <v>05.0112</v>
      </c>
      <c r="G170" s="27" t="s">
        <v>2484</v>
      </c>
      <c r="H170" s="65" t="str">
        <f t="shared" si="6"/>
        <v>No Change</v>
      </c>
      <c r="I170" s="65" t="str">
        <f t="shared" si="7"/>
        <v>050112</v>
      </c>
      <c r="J170" s="65" t="str">
        <f t="shared" si="8"/>
        <v>050112</v>
      </c>
    </row>
    <row r="171" spans="1:10" x14ac:dyDescent="0.3">
      <c r="A171" s="27" t="s">
        <v>2485</v>
      </c>
      <c r="B171" s="27" t="str">
        <f>"05.0113"</f>
        <v>05.0113</v>
      </c>
      <c r="C171" s="64" t="s">
        <v>2486</v>
      </c>
      <c r="D171" s="27" t="s">
        <v>2229</v>
      </c>
      <c r="E171" s="27" t="s">
        <v>2232</v>
      </c>
      <c r="F171" s="27" t="str">
        <f>"05.0113"</f>
        <v>05.0113</v>
      </c>
      <c r="G171" s="27" t="s">
        <v>2486</v>
      </c>
      <c r="H171" s="65" t="str">
        <f t="shared" si="6"/>
        <v>No Change</v>
      </c>
      <c r="I171" s="65" t="str">
        <f t="shared" si="7"/>
        <v>050113</v>
      </c>
      <c r="J171" s="65" t="str">
        <f t="shared" si="8"/>
        <v>050113</v>
      </c>
    </row>
    <row r="172" spans="1:10" x14ac:dyDescent="0.3">
      <c r="A172" s="27" t="s">
        <v>2487</v>
      </c>
      <c r="B172" s="27" t="str">
        <f>"05.0114"</f>
        <v>05.0114</v>
      </c>
      <c r="C172" s="64" t="s">
        <v>2488</v>
      </c>
      <c r="D172" s="27" t="s">
        <v>2229</v>
      </c>
      <c r="E172" s="27" t="s">
        <v>2232</v>
      </c>
      <c r="F172" s="27" t="str">
        <f>"05.0114"</f>
        <v>05.0114</v>
      </c>
      <c r="G172" s="27" t="s">
        <v>2488</v>
      </c>
      <c r="H172" s="65" t="str">
        <f t="shared" si="6"/>
        <v>No Change</v>
      </c>
      <c r="I172" s="65" t="str">
        <f t="shared" si="7"/>
        <v>050114</v>
      </c>
      <c r="J172" s="65" t="str">
        <f t="shared" si="8"/>
        <v>050114</v>
      </c>
    </row>
    <row r="173" spans="1:10" x14ac:dyDescent="0.3">
      <c r="A173" s="27" t="s">
        <v>2489</v>
      </c>
      <c r="B173" s="27" t="str">
        <f>"05.0115"</f>
        <v>05.0115</v>
      </c>
      <c r="C173" s="64" t="s">
        <v>2490</v>
      </c>
      <c r="D173" s="27" t="s">
        <v>2229</v>
      </c>
      <c r="E173" s="27" t="s">
        <v>2232</v>
      </c>
      <c r="F173" s="27" t="str">
        <f>"05.0115"</f>
        <v>05.0115</v>
      </c>
      <c r="G173" s="27" t="s">
        <v>2490</v>
      </c>
      <c r="H173" s="65" t="str">
        <f t="shared" si="6"/>
        <v>No Change</v>
      </c>
      <c r="I173" s="65" t="str">
        <f t="shared" si="7"/>
        <v>050115</v>
      </c>
      <c r="J173" s="65" t="str">
        <f t="shared" si="8"/>
        <v>050115</v>
      </c>
    </row>
    <row r="174" spans="1:10" x14ac:dyDescent="0.3">
      <c r="A174" s="27" t="s">
        <v>2491</v>
      </c>
      <c r="B174" s="27" t="str">
        <f>"05.0116"</f>
        <v>05.0116</v>
      </c>
      <c r="C174" s="64" t="s">
        <v>2492</v>
      </c>
      <c r="D174" s="27" t="s">
        <v>2229</v>
      </c>
      <c r="E174" s="27" t="s">
        <v>2232</v>
      </c>
      <c r="F174" s="27" t="str">
        <f>"05.0116"</f>
        <v>05.0116</v>
      </c>
      <c r="G174" s="27" t="s">
        <v>2492</v>
      </c>
      <c r="H174" s="65" t="str">
        <f t="shared" si="6"/>
        <v>No Change</v>
      </c>
      <c r="I174" s="65" t="str">
        <f t="shared" si="7"/>
        <v>050116</v>
      </c>
      <c r="J174" s="65" t="str">
        <f t="shared" si="8"/>
        <v>050116</v>
      </c>
    </row>
    <row r="175" spans="1:10" x14ac:dyDescent="0.3">
      <c r="A175" s="27" t="s">
        <v>2493</v>
      </c>
      <c r="B175" s="27" t="str">
        <f>"05.0117"</f>
        <v>05.0117</v>
      </c>
      <c r="C175" s="64" t="s">
        <v>2494</v>
      </c>
      <c r="D175" s="27" t="s">
        <v>2229</v>
      </c>
      <c r="E175" s="27" t="s">
        <v>2232</v>
      </c>
      <c r="F175" s="27" t="str">
        <f>"05.0117"</f>
        <v>05.0117</v>
      </c>
      <c r="G175" s="27" t="s">
        <v>2494</v>
      </c>
      <c r="H175" s="65" t="str">
        <f t="shared" si="6"/>
        <v>No Change</v>
      </c>
      <c r="I175" s="65" t="str">
        <f t="shared" si="7"/>
        <v>050117</v>
      </c>
      <c r="J175" s="65" t="str">
        <f t="shared" si="8"/>
        <v>050117</v>
      </c>
    </row>
    <row r="176" spans="1:10" x14ac:dyDescent="0.3">
      <c r="A176" s="27" t="s">
        <v>2495</v>
      </c>
      <c r="B176" s="27" t="str">
        <f>"05.0118"</f>
        <v>05.0118</v>
      </c>
      <c r="C176" s="64" t="s">
        <v>2496</v>
      </c>
      <c r="D176" s="27" t="s">
        <v>2229</v>
      </c>
      <c r="E176" s="27" t="s">
        <v>2232</v>
      </c>
      <c r="F176" s="27" t="str">
        <f>"05.0118"</f>
        <v>05.0118</v>
      </c>
      <c r="G176" s="27" t="s">
        <v>2496</v>
      </c>
      <c r="H176" s="65" t="str">
        <f t="shared" si="6"/>
        <v>No Change</v>
      </c>
      <c r="I176" s="65" t="str">
        <f t="shared" si="7"/>
        <v>050118</v>
      </c>
      <c r="J176" s="65" t="str">
        <f t="shared" si="8"/>
        <v>050118</v>
      </c>
    </row>
    <row r="177" spans="1:10" x14ac:dyDescent="0.3">
      <c r="A177" s="27" t="s">
        <v>2497</v>
      </c>
      <c r="B177" s="27" t="str">
        <f>"05.0119"</f>
        <v>05.0119</v>
      </c>
      <c r="C177" s="64" t="s">
        <v>2498</v>
      </c>
      <c r="D177" s="27" t="s">
        <v>2229</v>
      </c>
      <c r="E177" s="27" t="s">
        <v>2232</v>
      </c>
      <c r="F177" s="27" t="str">
        <f>"05.0119"</f>
        <v>05.0119</v>
      </c>
      <c r="G177" s="27" t="s">
        <v>2498</v>
      </c>
      <c r="H177" s="65" t="str">
        <f t="shared" si="6"/>
        <v>No Change</v>
      </c>
      <c r="I177" s="65" t="str">
        <f t="shared" si="7"/>
        <v>050119</v>
      </c>
      <c r="J177" s="65" t="str">
        <f t="shared" si="8"/>
        <v>050119</v>
      </c>
    </row>
    <row r="178" spans="1:10" x14ac:dyDescent="0.3">
      <c r="A178" s="27" t="s">
        <v>2499</v>
      </c>
      <c r="B178" s="27" t="str">
        <f>"05.0120"</f>
        <v>05.0120</v>
      </c>
      <c r="C178" s="64" t="s">
        <v>2500</v>
      </c>
      <c r="D178" s="27" t="s">
        <v>2229</v>
      </c>
      <c r="E178" s="27" t="s">
        <v>2232</v>
      </c>
      <c r="F178" s="27" t="str">
        <f>"05.0120"</f>
        <v>05.0120</v>
      </c>
      <c r="G178" s="27" t="s">
        <v>2500</v>
      </c>
      <c r="H178" s="65" t="str">
        <f t="shared" si="6"/>
        <v>No Change</v>
      </c>
      <c r="I178" s="65" t="str">
        <f t="shared" si="7"/>
        <v>050120</v>
      </c>
      <c r="J178" s="65" t="str">
        <f t="shared" si="8"/>
        <v>050120</v>
      </c>
    </row>
    <row r="179" spans="1:10" x14ac:dyDescent="0.3">
      <c r="A179" s="27" t="s">
        <v>2501</v>
      </c>
      <c r="B179" s="27" t="str">
        <f>"05.0121"</f>
        <v>05.0121</v>
      </c>
      <c r="C179" s="64" t="s">
        <v>2502</v>
      </c>
      <c r="D179" s="27" t="s">
        <v>2229</v>
      </c>
      <c r="E179" s="27" t="s">
        <v>2232</v>
      </c>
      <c r="F179" s="27" t="str">
        <f>"05.0121"</f>
        <v>05.0121</v>
      </c>
      <c r="G179" s="27" t="s">
        <v>2502</v>
      </c>
      <c r="H179" s="65" t="str">
        <f t="shared" si="6"/>
        <v>No Change</v>
      </c>
      <c r="I179" s="65" t="str">
        <f t="shared" si="7"/>
        <v>050121</v>
      </c>
      <c r="J179" s="65" t="str">
        <f t="shared" si="8"/>
        <v>050121</v>
      </c>
    </row>
    <row r="180" spans="1:10" x14ac:dyDescent="0.3">
      <c r="A180" s="27" t="s">
        <v>2503</v>
      </c>
      <c r="B180" s="27" t="str">
        <f>"05.0122"</f>
        <v>05.0122</v>
      </c>
      <c r="C180" s="64" t="s">
        <v>2504</v>
      </c>
      <c r="D180" s="27" t="s">
        <v>2229</v>
      </c>
      <c r="E180" s="27" t="s">
        <v>2230</v>
      </c>
      <c r="F180" s="27" t="str">
        <f>"05.0122"</f>
        <v>05.0122</v>
      </c>
      <c r="G180" s="27" t="s">
        <v>2505</v>
      </c>
      <c r="H180" s="65" t="str">
        <f t="shared" si="6"/>
        <v>No Change</v>
      </c>
      <c r="I180" s="65" t="str">
        <f t="shared" si="7"/>
        <v>050122</v>
      </c>
      <c r="J180" s="65" t="str">
        <f t="shared" si="8"/>
        <v>050122</v>
      </c>
    </row>
    <row r="181" spans="1:10" x14ac:dyDescent="0.3">
      <c r="A181" s="27" t="s">
        <v>2506</v>
      </c>
      <c r="B181" s="27" t="str">
        <f>"05.0123"</f>
        <v>05.0123</v>
      </c>
      <c r="C181" s="64" t="s">
        <v>2507</v>
      </c>
      <c r="D181" s="27" t="s">
        <v>2229</v>
      </c>
      <c r="E181" s="27" t="s">
        <v>2232</v>
      </c>
      <c r="F181" s="27" t="str">
        <f>"05.0123"</f>
        <v>05.0123</v>
      </c>
      <c r="G181" s="27" t="s">
        <v>2507</v>
      </c>
      <c r="H181" s="65" t="str">
        <f t="shared" si="6"/>
        <v>No Change</v>
      </c>
      <c r="I181" s="65" t="str">
        <f t="shared" si="7"/>
        <v>050123</v>
      </c>
      <c r="J181" s="65" t="str">
        <f t="shared" si="8"/>
        <v>050123</v>
      </c>
    </row>
    <row r="182" spans="1:10" x14ac:dyDescent="0.3">
      <c r="A182" s="27" t="s">
        <v>2508</v>
      </c>
      <c r="B182" s="27" t="str">
        <f>"05.0124"</f>
        <v>05.0124</v>
      </c>
      <c r="C182" s="64" t="s">
        <v>2509</v>
      </c>
      <c r="D182" s="27" t="s">
        <v>2229</v>
      </c>
      <c r="E182" s="27" t="s">
        <v>2232</v>
      </c>
      <c r="F182" s="27" t="str">
        <f>"05.0124"</f>
        <v>05.0124</v>
      </c>
      <c r="G182" s="27" t="s">
        <v>2509</v>
      </c>
      <c r="H182" s="65" t="str">
        <f t="shared" si="6"/>
        <v>No Change</v>
      </c>
      <c r="I182" s="65" t="str">
        <f t="shared" si="7"/>
        <v>050124</v>
      </c>
      <c r="J182" s="65" t="str">
        <f t="shared" si="8"/>
        <v>050124</v>
      </c>
    </row>
    <row r="183" spans="1:10" x14ac:dyDescent="0.3">
      <c r="A183" s="27" t="s">
        <v>2510</v>
      </c>
      <c r="B183" s="27" t="str">
        <f>"05.0125"</f>
        <v>05.0125</v>
      </c>
      <c r="C183" s="64" t="s">
        <v>2511</v>
      </c>
      <c r="D183" s="27" t="s">
        <v>2229</v>
      </c>
      <c r="E183" s="27" t="s">
        <v>2232</v>
      </c>
      <c r="F183" s="27" t="str">
        <f>"05.0125"</f>
        <v>05.0125</v>
      </c>
      <c r="G183" s="27" t="s">
        <v>2511</v>
      </c>
      <c r="H183" s="65" t="str">
        <f t="shared" si="6"/>
        <v>No Change</v>
      </c>
      <c r="I183" s="65" t="str">
        <f t="shared" si="7"/>
        <v>050125</v>
      </c>
      <c r="J183" s="65" t="str">
        <f t="shared" si="8"/>
        <v>050125</v>
      </c>
    </row>
    <row r="184" spans="1:10" x14ac:dyDescent="0.3">
      <c r="A184" s="27" t="s">
        <v>2512</v>
      </c>
      <c r="B184" s="27" t="str">
        <f>"05.0126"</f>
        <v>05.0126</v>
      </c>
      <c r="C184" s="64" t="s">
        <v>2513</v>
      </c>
      <c r="D184" s="27" t="s">
        <v>2229</v>
      </c>
      <c r="E184" s="27" t="s">
        <v>2232</v>
      </c>
      <c r="F184" s="27" t="str">
        <f>"05.0126"</f>
        <v>05.0126</v>
      </c>
      <c r="G184" s="27" t="s">
        <v>2513</v>
      </c>
      <c r="H184" s="65" t="str">
        <f t="shared" si="6"/>
        <v>No Change</v>
      </c>
      <c r="I184" s="65" t="str">
        <f t="shared" si="7"/>
        <v>050126</v>
      </c>
      <c r="J184" s="65" t="str">
        <f t="shared" si="8"/>
        <v>050126</v>
      </c>
    </row>
    <row r="185" spans="1:10" x14ac:dyDescent="0.3">
      <c r="A185" s="27" t="s">
        <v>2514</v>
      </c>
      <c r="B185" s="27" t="str">
        <f>"05.0127"</f>
        <v>05.0127</v>
      </c>
      <c r="C185" s="64" t="s">
        <v>2515</v>
      </c>
      <c r="D185" s="27" t="s">
        <v>2229</v>
      </c>
      <c r="E185" s="27" t="s">
        <v>2232</v>
      </c>
      <c r="F185" s="27" t="str">
        <f>"05.0127"</f>
        <v>05.0127</v>
      </c>
      <c r="G185" s="27" t="s">
        <v>2515</v>
      </c>
      <c r="H185" s="65" t="str">
        <f t="shared" si="6"/>
        <v>No Change</v>
      </c>
      <c r="I185" s="65" t="str">
        <f t="shared" si="7"/>
        <v>050127</v>
      </c>
      <c r="J185" s="65" t="str">
        <f t="shared" si="8"/>
        <v>050127</v>
      </c>
    </row>
    <row r="186" spans="1:10" x14ac:dyDescent="0.3">
      <c r="A186" s="27" t="s">
        <v>2516</v>
      </c>
      <c r="B186" s="27" t="str">
        <f>"05.0128"</f>
        <v>05.0128</v>
      </c>
      <c r="C186" s="64" t="s">
        <v>2517</v>
      </c>
      <c r="D186" s="27" t="s">
        <v>2229</v>
      </c>
      <c r="E186" s="27" t="s">
        <v>2232</v>
      </c>
      <c r="F186" s="27" t="str">
        <f>"05.0128"</f>
        <v>05.0128</v>
      </c>
      <c r="G186" s="27" t="s">
        <v>2517</v>
      </c>
      <c r="H186" s="65" t="str">
        <f t="shared" si="6"/>
        <v>No Change</v>
      </c>
      <c r="I186" s="65" t="str">
        <f t="shared" si="7"/>
        <v>050128</v>
      </c>
      <c r="J186" s="65" t="str">
        <f t="shared" si="8"/>
        <v>050128</v>
      </c>
    </row>
    <row r="187" spans="1:10" x14ac:dyDescent="0.3">
      <c r="A187" s="27" t="s">
        <v>2518</v>
      </c>
      <c r="B187" s="27" t="str">
        <f>"05.0129"</f>
        <v>05.0129</v>
      </c>
      <c r="C187" s="64" t="s">
        <v>2519</v>
      </c>
      <c r="D187" s="27" t="s">
        <v>2229</v>
      </c>
      <c r="E187" s="27" t="s">
        <v>2232</v>
      </c>
      <c r="F187" s="27" t="str">
        <f>"05.0129"</f>
        <v>05.0129</v>
      </c>
      <c r="G187" s="27" t="s">
        <v>2519</v>
      </c>
      <c r="H187" s="65" t="str">
        <f t="shared" si="6"/>
        <v>No Change</v>
      </c>
      <c r="I187" s="65" t="str">
        <f t="shared" si="7"/>
        <v>050129</v>
      </c>
      <c r="J187" s="65" t="str">
        <f t="shared" si="8"/>
        <v>050129</v>
      </c>
    </row>
    <row r="188" spans="1:10" x14ac:dyDescent="0.3">
      <c r="A188" s="27" t="s">
        <v>2520</v>
      </c>
      <c r="B188" s="27" t="str">
        <f>"05.0130"</f>
        <v>05.0130</v>
      </c>
      <c r="C188" s="64" t="s">
        <v>2521</v>
      </c>
      <c r="D188" s="27" t="s">
        <v>2229</v>
      </c>
      <c r="E188" s="27" t="s">
        <v>2232</v>
      </c>
      <c r="F188" s="27" t="str">
        <f>"05.0130"</f>
        <v>05.0130</v>
      </c>
      <c r="G188" s="27" t="s">
        <v>2521</v>
      </c>
      <c r="H188" s="65" t="str">
        <f t="shared" si="6"/>
        <v>No Change</v>
      </c>
      <c r="I188" s="65" t="str">
        <f t="shared" si="7"/>
        <v>050130</v>
      </c>
      <c r="J188" s="65" t="str">
        <f t="shared" si="8"/>
        <v>050130</v>
      </c>
    </row>
    <row r="189" spans="1:10" x14ac:dyDescent="0.3">
      <c r="A189" s="27" t="s">
        <v>2522</v>
      </c>
      <c r="B189" s="27" t="str">
        <f>"05.0131"</f>
        <v>05.0131</v>
      </c>
      <c r="C189" s="64" t="s">
        <v>2523</v>
      </c>
      <c r="D189" s="27" t="s">
        <v>2229</v>
      </c>
      <c r="E189" s="27" t="s">
        <v>2232</v>
      </c>
      <c r="F189" s="27" t="str">
        <f>"05.0131"</f>
        <v>05.0131</v>
      </c>
      <c r="G189" s="27" t="s">
        <v>2523</v>
      </c>
      <c r="H189" s="65" t="str">
        <f t="shared" si="6"/>
        <v>No Change</v>
      </c>
      <c r="I189" s="65" t="str">
        <f t="shared" si="7"/>
        <v>050131</v>
      </c>
      <c r="J189" s="65" t="str">
        <f t="shared" si="8"/>
        <v>050131</v>
      </c>
    </row>
    <row r="190" spans="1:10" x14ac:dyDescent="0.3">
      <c r="A190" s="27" t="s">
        <v>2524</v>
      </c>
      <c r="B190" s="27" t="str">
        <f>"05.0132"</f>
        <v>05.0132</v>
      </c>
      <c r="C190" s="64" t="s">
        <v>2525</v>
      </c>
      <c r="D190" s="27" t="s">
        <v>2229</v>
      </c>
      <c r="E190" s="27" t="s">
        <v>2232</v>
      </c>
      <c r="F190" s="27" t="str">
        <f>"05.0132"</f>
        <v>05.0132</v>
      </c>
      <c r="G190" s="27" t="s">
        <v>2525</v>
      </c>
      <c r="H190" s="65" t="str">
        <f t="shared" si="6"/>
        <v>No Change</v>
      </c>
      <c r="I190" s="65" t="str">
        <f t="shared" si="7"/>
        <v>050132</v>
      </c>
      <c r="J190" s="65" t="str">
        <f t="shared" si="8"/>
        <v>050132</v>
      </c>
    </row>
    <row r="191" spans="1:10" x14ac:dyDescent="0.3">
      <c r="A191" s="27" t="s">
        <v>2526</v>
      </c>
      <c r="B191" s="27" t="str">
        <f>"05.0133"</f>
        <v>05.0133</v>
      </c>
      <c r="C191" s="64" t="s">
        <v>2527</v>
      </c>
      <c r="D191" s="27" t="s">
        <v>2229</v>
      </c>
      <c r="E191" s="27" t="s">
        <v>2232</v>
      </c>
      <c r="F191" s="27" t="str">
        <f>"05.0133"</f>
        <v>05.0133</v>
      </c>
      <c r="G191" s="27" t="s">
        <v>2527</v>
      </c>
      <c r="H191" s="65" t="str">
        <f t="shared" si="6"/>
        <v>No Change</v>
      </c>
      <c r="I191" s="65" t="str">
        <f t="shared" si="7"/>
        <v>050133</v>
      </c>
      <c r="J191" s="65" t="str">
        <f t="shared" si="8"/>
        <v>050133</v>
      </c>
    </row>
    <row r="192" spans="1:10" x14ac:dyDescent="0.3">
      <c r="A192" s="27" t="s">
        <v>2528</v>
      </c>
      <c r="B192" s="27" t="str">
        <f>"05.0134"</f>
        <v>05.0134</v>
      </c>
      <c r="C192" s="64" t="s">
        <v>2529</v>
      </c>
      <c r="D192" s="27" t="s">
        <v>2229</v>
      </c>
      <c r="E192" s="27" t="s">
        <v>2232</v>
      </c>
      <c r="F192" s="27" t="str">
        <f>"05.0134"</f>
        <v>05.0134</v>
      </c>
      <c r="G192" s="27" t="s">
        <v>2529</v>
      </c>
      <c r="H192" s="65" t="str">
        <f t="shared" si="6"/>
        <v>No Change</v>
      </c>
      <c r="I192" s="65" t="str">
        <f t="shared" si="7"/>
        <v>050134</v>
      </c>
      <c r="J192" s="65" t="str">
        <f t="shared" si="8"/>
        <v>050134</v>
      </c>
    </row>
    <row r="193" spans="1:10" x14ac:dyDescent="0.3">
      <c r="A193" s="27" t="s">
        <v>1869</v>
      </c>
      <c r="D193" s="27" t="s">
        <v>2255</v>
      </c>
      <c r="E193" s="27" t="s">
        <v>2232</v>
      </c>
      <c r="F193" s="27" t="str">
        <f>"05.0135"</f>
        <v>05.0135</v>
      </c>
      <c r="G193" s="27" t="s">
        <v>2530</v>
      </c>
      <c r="H193" s="65" t="str">
        <f t="shared" si="6"/>
        <v>Other</v>
      </c>
      <c r="I193" s="65" t="str">
        <f t="shared" si="7"/>
        <v/>
      </c>
      <c r="J193" s="65" t="str">
        <f t="shared" si="8"/>
        <v>050135</v>
      </c>
    </row>
    <row r="194" spans="1:10" x14ac:dyDescent="0.3">
      <c r="A194" s="27" t="s">
        <v>1869</v>
      </c>
      <c r="D194" s="27" t="s">
        <v>2255</v>
      </c>
      <c r="E194" s="27" t="s">
        <v>2232</v>
      </c>
      <c r="F194" s="27" t="str">
        <f>"05.0136"</f>
        <v>05.0136</v>
      </c>
      <c r="G194" s="27" t="s">
        <v>2531</v>
      </c>
      <c r="H194" s="65" t="str">
        <f t="shared" si="6"/>
        <v>Other</v>
      </c>
      <c r="I194" s="65" t="str">
        <f t="shared" si="7"/>
        <v/>
      </c>
      <c r="J194" s="65" t="str">
        <f t="shared" si="8"/>
        <v>050136</v>
      </c>
    </row>
    <row r="195" spans="1:10" x14ac:dyDescent="0.3">
      <c r="A195" s="27" t="s">
        <v>2532</v>
      </c>
      <c r="B195" s="27" t="str">
        <f>"05.0199"</f>
        <v>05.0199</v>
      </c>
      <c r="C195" s="64" t="s">
        <v>2533</v>
      </c>
      <c r="D195" s="27" t="s">
        <v>2229</v>
      </c>
      <c r="E195" s="27" t="s">
        <v>2232</v>
      </c>
      <c r="F195" s="27" t="str">
        <f>"05.0199"</f>
        <v>05.0199</v>
      </c>
      <c r="G195" s="27" t="s">
        <v>2533</v>
      </c>
      <c r="H195" s="65" t="str">
        <f t="shared" ref="H195:H258" si="9">IF(I195=J195,"No Change","Other")</f>
        <v>No Change</v>
      </c>
      <c r="I195" s="65" t="str">
        <f t="shared" ref="I195:I258" si="10">SUBSTITUTE(IF(SUM(LEN(B195))&lt;7,"",B195),".","")</f>
        <v>050199</v>
      </c>
      <c r="J195" s="65" t="str">
        <f t="shared" ref="J195:J258" si="11">SUBSTITUTE(IF(SUM(LEN(F195))&lt;7,"",F195),".","")</f>
        <v>050199</v>
      </c>
    </row>
    <row r="196" spans="1:10" x14ac:dyDescent="0.3">
      <c r="A196" s="27" t="s">
        <v>1869</v>
      </c>
      <c r="B196" s="27" t="str">
        <f>"05.02"</f>
        <v>05.02</v>
      </c>
      <c r="C196" s="64" t="s">
        <v>2534</v>
      </c>
      <c r="D196" s="27" t="s">
        <v>2229</v>
      </c>
      <c r="E196" s="27" t="s">
        <v>2232</v>
      </c>
      <c r="F196" s="27" t="str">
        <f>"05.02"</f>
        <v>05.02</v>
      </c>
      <c r="G196" s="27" t="s">
        <v>2534</v>
      </c>
      <c r="H196" s="65" t="str">
        <f t="shared" si="9"/>
        <v>No Change</v>
      </c>
      <c r="I196" s="65" t="str">
        <f t="shared" si="10"/>
        <v/>
      </c>
      <c r="J196" s="65" t="str">
        <f t="shared" si="11"/>
        <v/>
      </c>
    </row>
    <row r="197" spans="1:10" x14ac:dyDescent="0.3">
      <c r="A197" s="27" t="s">
        <v>2535</v>
      </c>
      <c r="B197" s="27" t="str">
        <f>"05.0200"</f>
        <v>05.0200</v>
      </c>
      <c r="C197" s="64" t="s">
        <v>2536</v>
      </c>
      <c r="D197" s="27" t="s">
        <v>2229</v>
      </c>
      <c r="E197" s="27" t="s">
        <v>2232</v>
      </c>
      <c r="F197" s="27" t="str">
        <f>"05.0200"</f>
        <v>05.0200</v>
      </c>
      <c r="G197" s="27" t="s">
        <v>2536</v>
      </c>
      <c r="H197" s="65" t="str">
        <f t="shared" si="9"/>
        <v>No Change</v>
      </c>
      <c r="I197" s="65" t="str">
        <f t="shared" si="10"/>
        <v>050200</v>
      </c>
      <c r="J197" s="65" t="str">
        <f t="shared" si="11"/>
        <v>050200</v>
      </c>
    </row>
    <row r="198" spans="1:10" x14ac:dyDescent="0.3">
      <c r="A198" s="27" t="s">
        <v>2537</v>
      </c>
      <c r="B198" s="27" t="str">
        <f>"05.0201"</f>
        <v>05.0201</v>
      </c>
      <c r="C198" s="64" t="s">
        <v>2538</v>
      </c>
      <c r="D198" s="27" t="s">
        <v>2229</v>
      </c>
      <c r="E198" s="27" t="s">
        <v>2232</v>
      </c>
      <c r="F198" s="27" t="str">
        <f>"05.0201"</f>
        <v>05.0201</v>
      </c>
      <c r="G198" s="27" t="s">
        <v>2538</v>
      </c>
      <c r="H198" s="65" t="str">
        <f t="shared" si="9"/>
        <v>No Change</v>
      </c>
      <c r="I198" s="65" t="str">
        <f t="shared" si="10"/>
        <v>050201</v>
      </c>
      <c r="J198" s="65" t="str">
        <f t="shared" si="11"/>
        <v>050201</v>
      </c>
    </row>
    <row r="199" spans="1:10" x14ac:dyDescent="0.3">
      <c r="A199" s="27" t="s">
        <v>2539</v>
      </c>
      <c r="B199" s="27" t="str">
        <f>"05.0202"</f>
        <v>05.0202</v>
      </c>
      <c r="C199" s="64" t="s">
        <v>2540</v>
      </c>
      <c r="D199" s="27" t="s">
        <v>2229</v>
      </c>
      <c r="E199" s="27" t="s">
        <v>2232</v>
      </c>
      <c r="F199" s="27" t="str">
        <f>"05.0202"</f>
        <v>05.0202</v>
      </c>
      <c r="G199" s="27" t="s">
        <v>2540</v>
      </c>
      <c r="H199" s="65" t="str">
        <f t="shared" si="9"/>
        <v>No Change</v>
      </c>
      <c r="I199" s="65" t="str">
        <f t="shared" si="10"/>
        <v>050202</v>
      </c>
      <c r="J199" s="65" t="str">
        <f t="shared" si="11"/>
        <v>050202</v>
      </c>
    </row>
    <row r="200" spans="1:10" ht="28.8" x14ac:dyDescent="0.3">
      <c r="A200" s="27" t="s">
        <v>2541</v>
      </c>
      <c r="B200" s="27" t="str">
        <f>"05.0203"</f>
        <v>05.0203</v>
      </c>
      <c r="C200" s="64" t="s">
        <v>2542</v>
      </c>
      <c r="D200" s="27" t="s">
        <v>2229</v>
      </c>
      <c r="E200" s="27" t="s">
        <v>2232</v>
      </c>
      <c r="F200" s="27" t="str">
        <f>"05.0203"</f>
        <v>05.0203</v>
      </c>
      <c r="G200" s="27" t="s">
        <v>2542</v>
      </c>
      <c r="H200" s="65" t="str">
        <f t="shared" si="9"/>
        <v>No Change</v>
      </c>
      <c r="I200" s="65" t="str">
        <f t="shared" si="10"/>
        <v>050203</v>
      </c>
      <c r="J200" s="65" t="str">
        <f t="shared" si="11"/>
        <v>050203</v>
      </c>
    </row>
    <row r="201" spans="1:10" x14ac:dyDescent="0.3">
      <c r="A201" s="27" t="s">
        <v>2543</v>
      </c>
      <c r="B201" s="27" t="str">
        <f>"05.0206"</f>
        <v>05.0206</v>
      </c>
      <c r="C201" s="64" t="s">
        <v>2544</v>
      </c>
      <c r="D201" s="27" t="s">
        <v>2229</v>
      </c>
      <c r="E201" s="27" t="s">
        <v>2232</v>
      </c>
      <c r="F201" s="27" t="str">
        <f>"05.0206"</f>
        <v>05.0206</v>
      </c>
      <c r="G201" s="27" t="s">
        <v>2544</v>
      </c>
      <c r="H201" s="65" t="str">
        <f t="shared" si="9"/>
        <v>No Change</v>
      </c>
      <c r="I201" s="65" t="str">
        <f t="shared" si="10"/>
        <v>050206</v>
      </c>
      <c r="J201" s="65" t="str">
        <f t="shared" si="11"/>
        <v>050206</v>
      </c>
    </row>
    <row r="202" spans="1:10" x14ac:dyDescent="0.3">
      <c r="A202" s="27" t="s">
        <v>2545</v>
      </c>
      <c r="B202" s="27" t="str">
        <f>"05.0207"</f>
        <v>05.0207</v>
      </c>
      <c r="C202" s="64" t="s">
        <v>2546</v>
      </c>
      <c r="D202" s="27" t="s">
        <v>2229</v>
      </c>
      <c r="E202" s="27" t="s">
        <v>2232</v>
      </c>
      <c r="F202" s="27" t="str">
        <f>"05.0207"</f>
        <v>05.0207</v>
      </c>
      <c r="G202" s="27" t="s">
        <v>2546</v>
      </c>
      <c r="H202" s="65" t="str">
        <f t="shared" si="9"/>
        <v>No Change</v>
      </c>
      <c r="I202" s="65" t="str">
        <f t="shared" si="10"/>
        <v>050207</v>
      </c>
      <c r="J202" s="65" t="str">
        <f t="shared" si="11"/>
        <v>050207</v>
      </c>
    </row>
    <row r="203" spans="1:10" x14ac:dyDescent="0.3">
      <c r="A203" s="27" t="s">
        <v>2547</v>
      </c>
      <c r="B203" s="27" t="str">
        <f>"05.0208"</f>
        <v>05.0208</v>
      </c>
      <c r="C203" s="64" t="s">
        <v>2548</v>
      </c>
      <c r="D203" s="27" t="s">
        <v>2229</v>
      </c>
      <c r="E203" s="27" t="s">
        <v>2232</v>
      </c>
      <c r="F203" s="27" t="str">
        <f>"05.0208"</f>
        <v>05.0208</v>
      </c>
      <c r="G203" s="27" t="s">
        <v>2548</v>
      </c>
      <c r="H203" s="65" t="str">
        <f t="shared" si="9"/>
        <v>No Change</v>
      </c>
      <c r="I203" s="65" t="str">
        <f t="shared" si="10"/>
        <v>050208</v>
      </c>
      <c r="J203" s="65" t="str">
        <f t="shared" si="11"/>
        <v>050208</v>
      </c>
    </row>
    <row r="204" spans="1:10" x14ac:dyDescent="0.3">
      <c r="A204" s="27" t="s">
        <v>2549</v>
      </c>
      <c r="B204" s="27" t="str">
        <f>"05.0209"</f>
        <v>05.0209</v>
      </c>
      <c r="C204" s="64" t="s">
        <v>2550</v>
      </c>
      <c r="D204" s="27" t="s">
        <v>2229</v>
      </c>
      <c r="E204" s="27" t="s">
        <v>2232</v>
      </c>
      <c r="F204" s="27" t="str">
        <f>"05.0209"</f>
        <v>05.0209</v>
      </c>
      <c r="G204" s="27" t="s">
        <v>2550</v>
      </c>
      <c r="H204" s="65" t="str">
        <f t="shared" si="9"/>
        <v>No Change</v>
      </c>
      <c r="I204" s="65" t="str">
        <f t="shared" si="10"/>
        <v>050209</v>
      </c>
      <c r="J204" s="65" t="str">
        <f t="shared" si="11"/>
        <v>050209</v>
      </c>
    </row>
    <row r="205" spans="1:10" x14ac:dyDescent="0.3">
      <c r="A205" s="27" t="s">
        <v>2551</v>
      </c>
      <c r="B205" s="27" t="str">
        <f>"05.0210"</f>
        <v>05.0210</v>
      </c>
      <c r="C205" s="64" t="s">
        <v>2552</v>
      </c>
      <c r="D205" s="27" t="s">
        <v>2229</v>
      </c>
      <c r="E205" s="27" t="s">
        <v>2232</v>
      </c>
      <c r="F205" s="27" t="str">
        <f>"05.0210"</f>
        <v>05.0210</v>
      </c>
      <c r="G205" s="27" t="s">
        <v>2552</v>
      </c>
      <c r="H205" s="65" t="str">
        <f t="shared" si="9"/>
        <v>No Change</v>
      </c>
      <c r="I205" s="65" t="str">
        <f t="shared" si="10"/>
        <v>050210</v>
      </c>
      <c r="J205" s="65" t="str">
        <f t="shared" si="11"/>
        <v>050210</v>
      </c>
    </row>
    <row r="206" spans="1:10" x14ac:dyDescent="0.3">
      <c r="A206" s="27" t="s">
        <v>2553</v>
      </c>
      <c r="B206" s="27" t="str">
        <f>"05.0211"</f>
        <v>05.0211</v>
      </c>
      <c r="C206" s="64" t="s">
        <v>2554</v>
      </c>
      <c r="D206" s="27" t="s">
        <v>2229</v>
      </c>
      <c r="E206" s="27" t="s">
        <v>2232</v>
      </c>
      <c r="F206" s="27" t="str">
        <f>"05.0211"</f>
        <v>05.0211</v>
      </c>
      <c r="G206" s="27" t="s">
        <v>2554</v>
      </c>
      <c r="H206" s="65" t="str">
        <f t="shared" si="9"/>
        <v>No Change</v>
      </c>
      <c r="I206" s="65" t="str">
        <f t="shared" si="10"/>
        <v>050211</v>
      </c>
      <c r="J206" s="65" t="str">
        <f t="shared" si="11"/>
        <v>050211</v>
      </c>
    </row>
    <row r="207" spans="1:10" x14ac:dyDescent="0.3">
      <c r="A207" s="27" t="s">
        <v>1869</v>
      </c>
      <c r="D207" s="27" t="s">
        <v>2255</v>
      </c>
      <c r="E207" s="27" t="s">
        <v>2232</v>
      </c>
      <c r="F207" s="27" t="str">
        <f>"05.0212"</f>
        <v>05.0212</v>
      </c>
      <c r="G207" s="27" t="s">
        <v>2555</v>
      </c>
      <c r="H207" s="65" t="str">
        <f t="shared" si="9"/>
        <v>Other</v>
      </c>
      <c r="I207" s="65" t="str">
        <f t="shared" si="10"/>
        <v/>
      </c>
      <c r="J207" s="65" t="str">
        <f t="shared" si="11"/>
        <v>050212</v>
      </c>
    </row>
    <row r="208" spans="1:10" x14ac:dyDescent="0.3">
      <c r="A208" s="27" t="s">
        <v>2556</v>
      </c>
      <c r="B208" s="27" t="str">
        <f>"05.0299"</f>
        <v>05.0299</v>
      </c>
      <c r="C208" s="64" t="s">
        <v>2557</v>
      </c>
      <c r="D208" s="27" t="s">
        <v>2229</v>
      </c>
      <c r="E208" s="27" t="s">
        <v>2232</v>
      </c>
      <c r="F208" s="27" t="str">
        <f>"05.0299"</f>
        <v>05.0299</v>
      </c>
      <c r="G208" s="27" t="s">
        <v>2557</v>
      </c>
      <c r="H208" s="65" t="str">
        <f t="shared" si="9"/>
        <v>No Change</v>
      </c>
      <c r="I208" s="65" t="str">
        <f t="shared" si="10"/>
        <v>050299</v>
      </c>
      <c r="J208" s="65" t="str">
        <f t="shared" si="11"/>
        <v>050299</v>
      </c>
    </row>
    <row r="209" spans="1:10" x14ac:dyDescent="0.3">
      <c r="A209" s="27" t="s">
        <v>1869</v>
      </c>
      <c r="D209" s="27" t="s">
        <v>2255</v>
      </c>
      <c r="E209" s="27" t="s">
        <v>2232</v>
      </c>
      <c r="F209" s="27" t="str">
        <f>"05.99"</f>
        <v>05.99</v>
      </c>
      <c r="G209" s="27" t="s">
        <v>2558</v>
      </c>
      <c r="H209" s="65" t="str">
        <f t="shared" si="9"/>
        <v>No Change</v>
      </c>
      <c r="I209" s="65" t="str">
        <f t="shared" si="10"/>
        <v/>
      </c>
      <c r="J209" s="65" t="str">
        <f t="shared" si="11"/>
        <v/>
      </c>
    </row>
    <row r="210" spans="1:10" x14ac:dyDescent="0.3">
      <c r="A210" s="27" t="s">
        <v>1869</v>
      </c>
      <c r="D210" s="27" t="s">
        <v>2255</v>
      </c>
      <c r="E210" s="27" t="s">
        <v>2232</v>
      </c>
      <c r="F210" s="27" t="str">
        <f>"05.9999"</f>
        <v>05.9999</v>
      </c>
      <c r="G210" s="27" t="s">
        <v>2558</v>
      </c>
      <c r="H210" s="65" t="str">
        <f t="shared" si="9"/>
        <v>Other</v>
      </c>
      <c r="I210" s="65" t="str">
        <f t="shared" si="10"/>
        <v/>
      </c>
      <c r="J210" s="65" t="str">
        <f t="shared" si="11"/>
        <v>059999</v>
      </c>
    </row>
    <row r="211" spans="1:10" x14ac:dyDescent="0.3">
      <c r="A211" s="27" t="s">
        <v>1869</v>
      </c>
      <c r="B211" s="27" t="str">
        <f>"09"</f>
        <v>09</v>
      </c>
      <c r="C211" s="64" t="s">
        <v>2559</v>
      </c>
      <c r="D211" s="27" t="s">
        <v>2229</v>
      </c>
      <c r="E211" s="27" t="s">
        <v>2232</v>
      </c>
      <c r="F211" s="27" t="str">
        <f>"09"</f>
        <v>09</v>
      </c>
      <c r="G211" s="27" t="s">
        <v>2559</v>
      </c>
      <c r="H211" s="65" t="str">
        <f t="shared" si="9"/>
        <v>No Change</v>
      </c>
      <c r="I211" s="65" t="str">
        <f t="shared" si="10"/>
        <v/>
      </c>
      <c r="J211" s="65" t="str">
        <f t="shared" si="11"/>
        <v/>
      </c>
    </row>
    <row r="212" spans="1:10" x14ac:dyDescent="0.3">
      <c r="A212" s="27" t="s">
        <v>1869</v>
      </c>
      <c r="B212" s="27" t="str">
        <f>"09.01"</f>
        <v>09.01</v>
      </c>
      <c r="C212" s="64" t="s">
        <v>2560</v>
      </c>
      <c r="D212" s="27" t="s">
        <v>2229</v>
      </c>
      <c r="E212" s="27" t="s">
        <v>2232</v>
      </c>
      <c r="F212" s="27" t="str">
        <f>"09.01"</f>
        <v>09.01</v>
      </c>
      <c r="G212" s="27" t="s">
        <v>2560</v>
      </c>
      <c r="H212" s="65" t="str">
        <f t="shared" si="9"/>
        <v>No Change</v>
      </c>
      <c r="I212" s="65" t="str">
        <f t="shared" si="10"/>
        <v/>
      </c>
      <c r="J212" s="65" t="str">
        <f t="shared" si="11"/>
        <v/>
      </c>
    </row>
    <row r="213" spans="1:10" x14ac:dyDescent="0.3">
      <c r="A213" s="27" t="s">
        <v>2561</v>
      </c>
      <c r="B213" s="27" t="str">
        <f>"09.0100"</f>
        <v>09.0100</v>
      </c>
      <c r="C213" s="64" t="s">
        <v>2562</v>
      </c>
      <c r="D213" s="27" t="s">
        <v>2229</v>
      </c>
      <c r="E213" s="27" t="s">
        <v>2232</v>
      </c>
      <c r="F213" s="27" t="str">
        <f>"09.0100"</f>
        <v>09.0100</v>
      </c>
      <c r="G213" s="27" t="s">
        <v>2562</v>
      </c>
      <c r="H213" s="65" t="str">
        <f t="shared" si="9"/>
        <v>No Change</v>
      </c>
      <c r="I213" s="65" t="str">
        <f t="shared" si="10"/>
        <v>090100</v>
      </c>
      <c r="J213" s="65" t="str">
        <f t="shared" si="11"/>
        <v>090100</v>
      </c>
    </row>
    <row r="214" spans="1:10" x14ac:dyDescent="0.3">
      <c r="A214" s="27" t="s">
        <v>2563</v>
      </c>
      <c r="B214" s="27" t="str">
        <f>"09.0101"</f>
        <v>09.0101</v>
      </c>
      <c r="C214" s="64" t="s">
        <v>2564</v>
      </c>
      <c r="D214" s="27" t="s">
        <v>2229</v>
      </c>
      <c r="E214" s="27" t="s">
        <v>2232</v>
      </c>
      <c r="F214" s="27" t="str">
        <f>"09.0101"</f>
        <v>09.0101</v>
      </c>
      <c r="G214" s="27" t="s">
        <v>2564</v>
      </c>
      <c r="H214" s="65" t="str">
        <f t="shared" si="9"/>
        <v>No Change</v>
      </c>
      <c r="I214" s="65" t="str">
        <f t="shared" si="10"/>
        <v>090101</v>
      </c>
      <c r="J214" s="65" t="str">
        <f t="shared" si="11"/>
        <v>090101</v>
      </c>
    </row>
    <row r="215" spans="1:10" x14ac:dyDescent="0.3">
      <c r="A215" s="27" t="s">
        <v>2565</v>
      </c>
      <c r="B215" s="27" t="str">
        <f>"09.0102"</f>
        <v>09.0102</v>
      </c>
      <c r="C215" s="64" t="s">
        <v>2566</v>
      </c>
      <c r="D215" s="27" t="s">
        <v>2229</v>
      </c>
      <c r="E215" s="27" t="s">
        <v>2232</v>
      </c>
      <c r="F215" s="27" t="str">
        <f>"09.0102"</f>
        <v>09.0102</v>
      </c>
      <c r="G215" s="27" t="s">
        <v>2566</v>
      </c>
      <c r="H215" s="65" t="str">
        <f t="shared" si="9"/>
        <v>No Change</v>
      </c>
      <c r="I215" s="65" t="str">
        <f t="shared" si="10"/>
        <v>090102</v>
      </c>
      <c r="J215" s="65" t="str">
        <f t="shared" si="11"/>
        <v>090102</v>
      </c>
    </row>
    <row r="216" spans="1:10" x14ac:dyDescent="0.3">
      <c r="A216" s="27" t="s">
        <v>2567</v>
      </c>
      <c r="B216" s="27" t="str">
        <f>"09.0199"</f>
        <v>09.0199</v>
      </c>
      <c r="C216" s="64" t="s">
        <v>2568</v>
      </c>
      <c r="D216" s="27" t="s">
        <v>2229</v>
      </c>
      <c r="E216" s="27" t="s">
        <v>2232</v>
      </c>
      <c r="F216" s="27" t="str">
        <f>"09.0199"</f>
        <v>09.0199</v>
      </c>
      <c r="G216" s="27" t="s">
        <v>2568</v>
      </c>
      <c r="H216" s="65" t="str">
        <f t="shared" si="9"/>
        <v>No Change</v>
      </c>
      <c r="I216" s="65" t="str">
        <f t="shared" si="10"/>
        <v>090199</v>
      </c>
      <c r="J216" s="65" t="str">
        <f t="shared" si="11"/>
        <v>090199</v>
      </c>
    </row>
    <row r="217" spans="1:10" x14ac:dyDescent="0.3">
      <c r="A217" s="27" t="s">
        <v>1869</v>
      </c>
      <c r="B217" s="27" t="str">
        <f>"09.04"</f>
        <v>09.04</v>
      </c>
      <c r="C217" s="64" t="s">
        <v>2569</v>
      </c>
      <c r="D217" s="27" t="s">
        <v>2229</v>
      </c>
      <c r="E217" s="27" t="s">
        <v>2232</v>
      </c>
      <c r="F217" s="27" t="str">
        <f>"09.04"</f>
        <v>09.04</v>
      </c>
      <c r="G217" s="27" t="s">
        <v>2569</v>
      </c>
      <c r="H217" s="65" t="str">
        <f t="shared" si="9"/>
        <v>No Change</v>
      </c>
      <c r="I217" s="65" t="str">
        <f t="shared" si="10"/>
        <v/>
      </c>
      <c r="J217" s="65" t="str">
        <f t="shared" si="11"/>
        <v/>
      </c>
    </row>
    <row r="218" spans="1:10" x14ac:dyDescent="0.3">
      <c r="A218" s="27" t="s">
        <v>2570</v>
      </c>
      <c r="B218" s="27" t="str">
        <f>"09.0401"</f>
        <v>09.0401</v>
      </c>
      <c r="C218" s="64" t="s">
        <v>2569</v>
      </c>
      <c r="D218" s="27" t="s">
        <v>2229</v>
      </c>
      <c r="E218" s="27" t="s">
        <v>2232</v>
      </c>
      <c r="F218" s="27" t="str">
        <f>"09.0401"</f>
        <v>09.0401</v>
      </c>
      <c r="G218" s="27" t="s">
        <v>2569</v>
      </c>
      <c r="H218" s="65" t="str">
        <f t="shared" si="9"/>
        <v>No Change</v>
      </c>
      <c r="I218" s="65" t="str">
        <f t="shared" si="10"/>
        <v>090401</v>
      </c>
      <c r="J218" s="65" t="str">
        <f t="shared" si="11"/>
        <v>090401</v>
      </c>
    </row>
    <row r="219" spans="1:10" x14ac:dyDescent="0.3">
      <c r="A219" s="27" t="s">
        <v>545</v>
      </c>
      <c r="B219" s="27" t="str">
        <f>"09.0402"</f>
        <v>09.0402</v>
      </c>
      <c r="C219" s="64" t="s">
        <v>546</v>
      </c>
      <c r="D219" s="27" t="s">
        <v>2229</v>
      </c>
      <c r="E219" s="27" t="s">
        <v>2232</v>
      </c>
      <c r="F219" s="27" t="str">
        <f>"09.0402"</f>
        <v>09.0402</v>
      </c>
      <c r="G219" s="27" t="s">
        <v>546</v>
      </c>
      <c r="H219" s="65" t="str">
        <f t="shared" si="9"/>
        <v>No Change</v>
      </c>
      <c r="I219" s="65" t="str">
        <f t="shared" si="10"/>
        <v>090402</v>
      </c>
      <c r="J219" s="65" t="str">
        <f t="shared" si="11"/>
        <v>090402</v>
      </c>
    </row>
    <row r="220" spans="1:10" x14ac:dyDescent="0.3">
      <c r="A220" s="27" t="s">
        <v>2571</v>
      </c>
      <c r="B220" s="27" t="str">
        <f>"09.0404"</f>
        <v>09.0404</v>
      </c>
      <c r="C220" s="64" t="s">
        <v>2572</v>
      </c>
      <c r="D220" s="27" t="s">
        <v>2229</v>
      </c>
      <c r="E220" s="27" t="s">
        <v>2232</v>
      </c>
      <c r="F220" s="27" t="str">
        <f>"09.0404"</f>
        <v>09.0404</v>
      </c>
      <c r="G220" s="27" t="s">
        <v>2572</v>
      </c>
      <c r="H220" s="65" t="str">
        <f t="shared" si="9"/>
        <v>No Change</v>
      </c>
      <c r="I220" s="65" t="str">
        <f t="shared" si="10"/>
        <v>090404</v>
      </c>
      <c r="J220" s="65" t="str">
        <f t="shared" si="11"/>
        <v>090404</v>
      </c>
    </row>
    <row r="221" spans="1:10" x14ac:dyDescent="0.3">
      <c r="A221" s="27" t="s">
        <v>1869</v>
      </c>
      <c r="D221" s="27" t="s">
        <v>2255</v>
      </c>
      <c r="E221" s="27" t="s">
        <v>2232</v>
      </c>
      <c r="F221" s="27" t="str">
        <f>"09.0405"</f>
        <v>09.0405</v>
      </c>
      <c r="G221" s="27" t="s">
        <v>2573</v>
      </c>
      <c r="H221" s="65" t="str">
        <f t="shared" si="9"/>
        <v>Other</v>
      </c>
      <c r="I221" s="65" t="str">
        <f t="shared" si="10"/>
        <v/>
      </c>
      <c r="J221" s="65" t="str">
        <f t="shared" si="11"/>
        <v>090405</v>
      </c>
    </row>
    <row r="222" spans="1:10" x14ac:dyDescent="0.3">
      <c r="A222" s="27" t="s">
        <v>1869</v>
      </c>
      <c r="D222" s="27" t="s">
        <v>2255</v>
      </c>
      <c r="E222" s="27" t="s">
        <v>2232</v>
      </c>
      <c r="F222" s="27" t="str">
        <f>"09.0406"</f>
        <v>09.0406</v>
      </c>
      <c r="G222" s="27" t="s">
        <v>2574</v>
      </c>
      <c r="H222" s="65" t="str">
        <f t="shared" si="9"/>
        <v>Other</v>
      </c>
      <c r="I222" s="65" t="str">
        <f t="shared" si="10"/>
        <v/>
      </c>
      <c r="J222" s="65" t="str">
        <f t="shared" si="11"/>
        <v>090406</v>
      </c>
    </row>
    <row r="223" spans="1:10" x14ac:dyDescent="0.3">
      <c r="A223" s="27" t="s">
        <v>1869</v>
      </c>
      <c r="D223" s="27" t="s">
        <v>2255</v>
      </c>
      <c r="E223" s="27" t="s">
        <v>2232</v>
      </c>
      <c r="F223" s="27" t="str">
        <f>"09.0407"</f>
        <v>09.0407</v>
      </c>
      <c r="G223" s="27" t="s">
        <v>2575</v>
      </c>
      <c r="H223" s="65" t="str">
        <f t="shared" si="9"/>
        <v>Other</v>
      </c>
      <c r="I223" s="65" t="str">
        <f t="shared" si="10"/>
        <v/>
      </c>
      <c r="J223" s="65" t="str">
        <f t="shared" si="11"/>
        <v>090407</v>
      </c>
    </row>
    <row r="224" spans="1:10" x14ac:dyDescent="0.3">
      <c r="A224" s="27" t="s">
        <v>548</v>
      </c>
      <c r="B224" s="27" t="str">
        <f>"09.0499"</f>
        <v>09.0499</v>
      </c>
      <c r="C224" s="64" t="s">
        <v>549</v>
      </c>
      <c r="D224" s="27" t="s">
        <v>2229</v>
      </c>
      <c r="E224" s="27" t="s">
        <v>2232</v>
      </c>
      <c r="F224" s="27" t="str">
        <f>"09.0499"</f>
        <v>09.0499</v>
      </c>
      <c r="G224" s="27" t="s">
        <v>549</v>
      </c>
      <c r="H224" s="65" t="str">
        <f t="shared" si="9"/>
        <v>No Change</v>
      </c>
      <c r="I224" s="65" t="str">
        <f t="shared" si="10"/>
        <v>090499</v>
      </c>
      <c r="J224" s="65" t="str">
        <f t="shared" si="11"/>
        <v>090499</v>
      </c>
    </row>
    <row r="225" spans="1:10" x14ac:dyDescent="0.3">
      <c r="A225" s="27" t="s">
        <v>1869</v>
      </c>
      <c r="B225" s="27" t="str">
        <f>"09.07"</f>
        <v>09.07</v>
      </c>
      <c r="C225" s="64" t="s">
        <v>2576</v>
      </c>
      <c r="D225" s="27" t="s">
        <v>2229</v>
      </c>
      <c r="E225" s="27" t="s">
        <v>2232</v>
      </c>
      <c r="F225" s="27" t="str">
        <f>"09.07"</f>
        <v>09.07</v>
      </c>
      <c r="G225" s="27" t="s">
        <v>2576</v>
      </c>
      <c r="H225" s="65" t="str">
        <f t="shared" si="9"/>
        <v>No Change</v>
      </c>
      <c r="I225" s="65" t="str">
        <f t="shared" si="10"/>
        <v/>
      </c>
      <c r="J225" s="65" t="str">
        <f t="shared" si="11"/>
        <v/>
      </c>
    </row>
    <row r="226" spans="1:10" x14ac:dyDescent="0.3">
      <c r="A226" s="27" t="s">
        <v>2577</v>
      </c>
      <c r="B226" s="27" t="str">
        <f>"09.0701"</f>
        <v>09.0701</v>
      </c>
      <c r="C226" s="64" t="s">
        <v>2578</v>
      </c>
      <c r="D226" s="27" t="s">
        <v>2229</v>
      </c>
      <c r="E226" s="27" t="s">
        <v>2232</v>
      </c>
      <c r="F226" s="27" t="str">
        <f>"09.0701"</f>
        <v>09.0701</v>
      </c>
      <c r="G226" s="27" t="s">
        <v>2578</v>
      </c>
      <c r="H226" s="65" t="str">
        <f t="shared" si="9"/>
        <v>No Change</v>
      </c>
      <c r="I226" s="65" t="str">
        <f t="shared" si="10"/>
        <v>090701</v>
      </c>
      <c r="J226" s="65" t="str">
        <f t="shared" si="11"/>
        <v>090701</v>
      </c>
    </row>
    <row r="227" spans="1:10" x14ac:dyDescent="0.3">
      <c r="A227" s="27" t="s">
        <v>235</v>
      </c>
      <c r="B227" s="27" t="str">
        <f>"09.0702"</f>
        <v>09.0702</v>
      </c>
      <c r="C227" s="64" t="s">
        <v>236</v>
      </c>
      <c r="D227" s="27" t="s">
        <v>2229</v>
      </c>
      <c r="E227" s="27" t="s">
        <v>2232</v>
      </c>
      <c r="F227" s="27" t="str">
        <f>"09.0702"</f>
        <v>09.0702</v>
      </c>
      <c r="G227" s="27" t="s">
        <v>236</v>
      </c>
      <c r="H227" s="65" t="str">
        <f t="shared" si="9"/>
        <v>No Change</v>
      </c>
      <c r="I227" s="65" t="str">
        <f t="shared" si="10"/>
        <v>090702</v>
      </c>
      <c r="J227" s="65" t="str">
        <f t="shared" si="11"/>
        <v>090702</v>
      </c>
    </row>
    <row r="228" spans="1:10" x14ac:dyDescent="0.3">
      <c r="A228" s="27" t="s">
        <v>2579</v>
      </c>
      <c r="B228" s="27" t="str">
        <f>"09.0799"</f>
        <v>09.0799</v>
      </c>
      <c r="C228" s="64" t="s">
        <v>2580</v>
      </c>
      <c r="D228" s="27" t="s">
        <v>2229</v>
      </c>
      <c r="E228" s="27" t="s">
        <v>2232</v>
      </c>
      <c r="F228" s="27" t="str">
        <f>"09.0799"</f>
        <v>09.0799</v>
      </c>
      <c r="G228" s="27" t="s">
        <v>2580</v>
      </c>
      <c r="H228" s="65" t="str">
        <f t="shared" si="9"/>
        <v>No Change</v>
      </c>
      <c r="I228" s="65" t="str">
        <f t="shared" si="10"/>
        <v>090799</v>
      </c>
      <c r="J228" s="65" t="str">
        <f t="shared" si="11"/>
        <v>090799</v>
      </c>
    </row>
    <row r="229" spans="1:10" x14ac:dyDescent="0.3">
      <c r="A229" s="27" t="s">
        <v>1869</v>
      </c>
      <c r="B229" s="27" t="str">
        <f>"09.09"</f>
        <v>09.09</v>
      </c>
      <c r="C229" s="64" t="s">
        <v>2581</v>
      </c>
      <c r="D229" s="27" t="s">
        <v>2229</v>
      </c>
      <c r="E229" s="27" t="s">
        <v>2232</v>
      </c>
      <c r="F229" s="27" t="str">
        <f>"09.09"</f>
        <v>09.09</v>
      </c>
      <c r="G229" s="27" t="s">
        <v>2581</v>
      </c>
      <c r="H229" s="65" t="str">
        <f t="shared" si="9"/>
        <v>No Change</v>
      </c>
      <c r="I229" s="65" t="str">
        <f t="shared" si="10"/>
        <v/>
      </c>
      <c r="J229" s="65" t="str">
        <f t="shared" si="11"/>
        <v/>
      </c>
    </row>
    <row r="230" spans="1:10" x14ac:dyDescent="0.3">
      <c r="A230" s="27" t="s">
        <v>2582</v>
      </c>
      <c r="B230" s="27" t="str">
        <f>"09.0900"</f>
        <v>09.0900</v>
      </c>
      <c r="C230" s="64" t="s">
        <v>2581</v>
      </c>
      <c r="D230" s="27" t="s">
        <v>2229</v>
      </c>
      <c r="E230" s="27" t="s">
        <v>2232</v>
      </c>
      <c r="F230" s="27" t="str">
        <f>"09.0900"</f>
        <v>09.0900</v>
      </c>
      <c r="G230" s="27" t="s">
        <v>2581</v>
      </c>
      <c r="H230" s="65" t="str">
        <f t="shared" si="9"/>
        <v>No Change</v>
      </c>
      <c r="I230" s="65" t="str">
        <f t="shared" si="10"/>
        <v>090900</v>
      </c>
      <c r="J230" s="65" t="str">
        <f t="shared" si="11"/>
        <v>090900</v>
      </c>
    </row>
    <row r="231" spans="1:10" x14ac:dyDescent="0.3">
      <c r="A231" s="27" t="s">
        <v>2583</v>
      </c>
      <c r="B231" s="27" t="str">
        <f>"09.0901"</f>
        <v>09.0901</v>
      </c>
      <c r="C231" s="64" t="s">
        <v>2584</v>
      </c>
      <c r="D231" s="27" t="s">
        <v>2229</v>
      </c>
      <c r="E231" s="27" t="s">
        <v>2232</v>
      </c>
      <c r="F231" s="27" t="str">
        <f>"09.0901"</f>
        <v>09.0901</v>
      </c>
      <c r="G231" s="27" t="s">
        <v>2584</v>
      </c>
      <c r="H231" s="65" t="str">
        <f t="shared" si="9"/>
        <v>No Change</v>
      </c>
      <c r="I231" s="65" t="str">
        <f t="shared" si="10"/>
        <v>090901</v>
      </c>
      <c r="J231" s="65" t="str">
        <f t="shared" si="11"/>
        <v>090901</v>
      </c>
    </row>
    <row r="232" spans="1:10" x14ac:dyDescent="0.3">
      <c r="A232" s="27" t="s">
        <v>2585</v>
      </c>
      <c r="B232" s="27" t="str">
        <f>"09.0902"</f>
        <v>09.0902</v>
      </c>
      <c r="C232" s="64" t="s">
        <v>2586</v>
      </c>
      <c r="D232" s="27" t="s">
        <v>2229</v>
      </c>
      <c r="E232" s="27" t="s">
        <v>2232</v>
      </c>
      <c r="F232" s="27" t="str">
        <f>"09.0902"</f>
        <v>09.0902</v>
      </c>
      <c r="G232" s="27" t="s">
        <v>2586</v>
      </c>
      <c r="H232" s="65" t="str">
        <f t="shared" si="9"/>
        <v>No Change</v>
      </c>
      <c r="I232" s="65" t="str">
        <f t="shared" si="10"/>
        <v>090902</v>
      </c>
      <c r="J232" s="65" t="str">
        <f t="shared" si="11"/>
        <v>090902</v>
      </c>
    </row>
    <row r="233" spans="1:10" x14ac:dyDescent="0.3">
      <c r="A233" s="27" t="s">
        <v>2587</v>
      </c>
      <c r="B233" s="27" t="str">
        <f>"09.0903"</f>
        <v>09.0903</v>
      </c>
      <c r="C233" s="64" t="s">
        <v>2588</v>
      </c>
      <c r="D233" s="27" t="s">
        <v>2229</v>
      </c>
      <c r="E233" s="27" t="s">
        <v>2232</v>
      </c>
      <c r="F233" s="27" t="str">
        <f>"09.0903"</f>
        <v>09.0903</v>
      </c>
      <c r="G233" s="27" t="s">
        <v>2588</v>
      </c>
      <c r="H233" s="65" t="str">
        <f t="shared" si="9"/>
        <v>No Change</v>
      </c>
      <c r="I233" s="65" t="str">
        <f t="shared" si="10"/>
        <v>090903</v>
      </c>
      <c r="J233" s="65" t="str">
        <f t="shared" si="11"/>
        <v>090903</v>
      </c>
    </row>
    <row r="234" spans="1:10" x14ac:dyDescent="0.3">
      <c r="A234" s="27" t="s">
        <v>2589</v>
      </c>
      <c r="B234" s="27" t="str">
        <f>"09.0904"</f>
        <v>09.0904</v>
      </c>
      <c r="C234" s="64" t="s">
        <v>2590</v>
      </c>
      <c r="D234" s="27" t="s">
        <v>2229</v>
      </c>
      <c r="E234" s="27" t="s">
        <v>2232</v>
      </c>
      <c r="F234" s="27" t="str">
        <f>"09.0904"</f>
        <v>09.0904</v>
      </c>
      <c r="G234" s="27" t="s">
        <v>2590</v>
      </c>
      <c r="H234" s="65" t="str">
        <f t="shared" si="9"/>
        <v>No Change</v>
      </c>
      <c r="I234" s="65" t="str">
        <f t="shared" si="10"/>
        <v>090904</v>
      </c>
      <c r="J234" s="65" t="str">
        <f t="shared" si="11"/>
        <v>090904</v>
      </c>
    </row>
    <row r="235" spans="1:10" x14ac:dyDescent="0.3">
      <c r="A235" s="27" t="s">
        <v>2591</v>
      </c>
      <c r="B235" s="27" t="str">
        <f>"09.0905"</f>
        <v>09.0905</v>
      </c>
      <c r="C235" s="64" t="s">
        <v>2592</v>
      </c>
      <c r="D235" s="27" t="s">
        <v>2229</v>
      </c>
      <c r="E235" s="27" t="s">
        <v>2232</v>
      </c>
      <c r="F235" s="27" t="str">
        <f>"09.0905"</f>
        <v>09.0905</v>
      </c>
      <c r="G235" s="27" t="s">
        <v>2592</v>
      </c>
      <c r="H235" s="65" t="str">
        <f t="shared" si="9"/>
        <v>No Change</v>
      </c>
      <c r="I235" s="65" t="str">
        <f t="shared" si="10"/>
        <v>090905</v>
      </c>
      <c r="J235" s="65" t="str">
        <f t="shared" si="11"/>
        <v>090905</v>
      </c>
    </row>
    <row r="236" spans="1:10" x14ac:dyDescent="0.3">
      <c r="A236" s="27" t="s">
        <v>2593</v>
      </c>
      <c r="B236" s="27" t="str">
        <f>"09.0906"</f>
        <v>09.0906</v>
      </c>
      <c r="C236" s="64" t="s">
        <v>2594</v>
      </c>
      <c r="D236" s="27" t="s">
        <v>2229</v>
      </c>
      <c r="E236" s="27" t="s">
        <v>2232</v>
      </c>
      <c r="F236" s="27" t="str">
        <f>"09.0906"</f>
        <v>09.0906</v>
      </c>
      <c r="G236" s="27" t="s">
        <v>2594</v>
      </c>
      <c r="H236" s="65" t="str">
        <f t="shared" si="9"/>
        <v>No Change</v>
      </c>
      <c r="I236" s="65" t="str">
        <f t="shared" si="10"/>
        <v>090906</v>
      </c>
      <c r="J236" s="65" t="str">
        <f t="shared" si="11"/>
        <v>090906</v>
      </c>
    </row>
    <row r="237" spans="1:10" x14ac:dyDescent="0.3">
      <c r="A237" s="27" t="s">
        <v>2595</v>
      </c>
      <c r="B237" s="27" t="str">
        <f>"09.0907"</f>
        <v>09.0907</v>
      </c>
      <c r="C237" s="64" t="s">
        <v>2596</v>
      </c>
      <c r="D237" s="27" t="s">
        <v>2229</v>
      </c>
      <c r="E237" s="27" t="s">
        <v>2232</v>
      </c>
      <c r="F237" s="27" t="str">
        <f>"09.0907"</f>
        <v>09.0907</v>
      </c>
      <c r="G237" s="27" t="s">
        <v>2596</v>
      </c>
      <c r="H237" s="65" t="str">
        <f t="shared" si="9"/>
        <v>No Change</v>
      </c>
      <c r="I237" s="65" t="str">
        <f t="shared" si="10"/>
        <v>090907</v>
      </c>
      <c r="J237" s="65" t="str">
        <f t="shared" si="11"/>
        <v>090907</v>
      </c>
    </row>
    <row r="238" spans="1:10" x14ac:dyDescent="0.3">
      <c r="A238" s="27" t="s">
        <v>2597</v>
      </c>
      <c r="B238" s="27" t="str">
        <f>"09.0908"</f>
        <v>09.0908</v>
      </c>
      <c r="C238" s="64" t="s">
        <v>2598</v>
      </c>
      <c r="D238" s="27" t="s">
        <v>2229</v>
      </c>
      <c r="E238" s="27" t="s">
        <v>2232</v>
      </c>
      <c r="F238" s="27" t="str">
        <f>"09.0908"</f>
        <v>09.0908</v>
      </c>
      <c r="G238" s="27" t="s">
        <v>2598</v>
      </c>
      <c r="H238" s="65" t="str">
        <f t="shared" si="9"/>
        <v>No Change</v>
      </c>
      <c r="I238" s="65" t="str">
        <f t="shared" si="10"/>
        <v>090908</v>
      </c>
      <c r="J238" s="65" t="str">
        <f t="shared" si="11"/>
        <v>090908</v>
      </c>
    </row>
    <row r="239" spans="1:10" x14ac:dyDescent="0.3">
      <c r="A239" s="27" t="s">
        <v>1869</v>
      </c>
      <c r="D239" s="27" t="s">
        <v>2255</v>
      </c>
      <c r="E239" s="27" t="s">
        <v>2232</v>
      </c>
      <c r="F239" s="27" t="str">
        <f>"09.0909"</f>
        <v>09.0909</v>
      </c>
      <c r="G239" s="27" t="s">
        <v>2599</v>
      </c>
      <c r="H239" s="65" t="str">
        <f t="shared" si="9"/>
        <v>Other</v>
      </c>
      <c r="I239" s="65" t="str">
        <f t="shared" si="10"/>
        <v/>
      </c>
      <c r="J239" s="65" t="str">
        <f t="shared" si="11"/>
        <v>090909</v>
      </c>
    </row>
    <row r="240" spans="1:10" ht="28.8" x14ac:dyDescent="0.3">
      <c r="A240" s="27" t="s">
        <v>2600</v>
      </c>
      <c r="B240" s="27" t="str">
        <f>"09.0999"</f>
        <v>09.0999</v>
      </c>
      <c r="C240" s="64" t="s">
        <v>2601</v>
      </c>
      <c r="D240" s="27" t="s">
        <v>2229</v>
      </c>
      <c r="E240" s="27" t="s">
        <v>2232</v>
      </c>
      <c r="F240" s="27" t="str">
        <f>"09.0999"</f>
        <v>09.0999</v>
      </c>
      <c r="G240" s="27" t="s">
        <v>2602</v>
      </c>
      <c r="H240" s="65" t="str">
        <f t="shared" si="9"/>
        <v>No Change</v>
      </c>
      <c r="I240" s="65" t="str">
        <f t="shared" si="10"/>
        <v>090999</v>
      </c>
      <c r="J240" s="65" t="str">
        <f t="shared" si="11"/>
        <v>090999</v>
      </c>
    </row>
    <row r="241" spans="1:10" x14ac:dyDescent="0.3">
      <c r="A241" s="27" t="s">
        <v>1869</v>
      </c>
      <c r="B241" s="27" t="str">
        <f>"09.10"</f>
        <v>09.10</v>
      </c>
      <c r="C241" s="64" t="s">
        <v>2603</v>
      </c>
      <c r="D241" s="27" t="s">
        <v>2229</v>
      </c>
      <c r="E241" s="27" t="s">
        <v>2232</v>
      </c>
      <c r="F241" s="27" t="str">
        <f>"09.10"</f>
        <v>09.10</v>
      </c>
      <c r="G241" s="27" t="s">
        <v>2603</v>
      </c>
      <c r="H241" s="65" t="str">
        <f t="shared" si="9"/>
        <v>No Change</v>
      </c>
      <c r="I241" s="65" t="str">
        <f t="shared" si="10"/>
        <v/>
      </c>
      <c r="J241" s="65" t="str">
        <f t="shared" si="11"/>
        <v/>
      </c>
    </row>
    <row r="242" spans="1:10" x14ac:dyDescent="0.3">
      <c r="A242" s="27" t="s">
        <v>2604</v>
      </c>
      <c r="B242" s="27" t="str">
        <f>"09.1001"</f>
        <v>09.1001</v>
      </c>
      <c r="C242" s="64" t="s">
        <v>2603</v>
      </c>
      <c r="D242" s="27" t="s">
        <v>2229</v>
      </c>
      <c r="E242" s="27" t="s">
        <v>2232</v>
      </c>
      <c r="F242" s="27" t="str">
        <f>"09.1001"</f>
        <v>09.1001</v>
      </c>
      <c r="G242" s="27" t="s">
        <v>2603</v>
      </c>
      <c r="H242" s="65" t="str">
        <f t="shared" si="9"/>
        <v>No Change</v>
      </c>
      <c r="I242" s="65" t="str">
        <f t="shared" si="10"/>
        <v>091001</v>
      </c>
      <c r="J242" s="65" t="str">
        <f t="shared" si="11"/>
        <v>091001</v>
      </c>
    </row>
    <row r="243" spans="1:10" x14ac:dyDescent="0.3">
      <c r="A243" s="27" t="s">
        <v>1869</v>
      </c>
      <c r="B243" s="27" t="str">
        <f>"09.99"</f>
        <v>09.99</v>
      </c>
      <c r="C243" s="64" t="s">
        <v>2605</v>
      </c>
      <c r="D243" s="27" t="s">
        <v>2229</v>
      </c>
      <c r="E243" s="27" t="s">
        <v>2232</v>
      </c>
      <c r="F243" s="27" t="str">
        <f>"09.99"</f>
        <v>09.99</v>
      </c>
      <c r="G243" s="27" t="s">
        <v>2605</v>
      </c>
      <c r="H243" s="65" t="str">
        <f t="shared" si="9"/>
        <v>No Change</v>
      </c>
      <c r="I243" s="65" t="str">
        <f t="shared" si="10"/>
        <v/>
      </c>
      <c r="J243" s="65" t="str">
        <f t="shared" si="11"/>
        <v/>
      </c>
    </row>
    <row r="244" spans="1:10" x14ac:dyDescent="0.3">
      <c r="A244" s="27" t="s">
        <v>2606</v>
      </c>
      <c r="B244" s="27" t="str">
        <f>"09.9999"</f>
        <v>09.9999</v>
      </c>
      <c r="C244" s="64" t="s">
        <v>2605</v>
      </c>
      <c r="D244" s="27" t="s">
        <v>2229</v>
      </c>
      <c r="E244" s="27" t="s">
        <v>2232</v>
      </c>
      <c r="F244" s="27" t="str">
        <f>"09.9999"</f>
        <v>09.9999</v>
      </c>
      <c r="G244" s="27" t="s">
        <v>2605</v>
      </c>
      <c r="H244" s="65" t="str">
        <f t="shared" si="9"/>
        <v>No Change</v>
      </c>
      <c r="I244" s="65" t="str">
        <f t="shared" si="10"/>
        <v>099999</v>
      </c>
      <c r="J244" s="65" t="str">
        <f t="shared" si="11"/>
        <v>099999</v>
      </c>
    </row>
    <row r="245" spans="1:10" ht="28.8" x14ac:dyDescent="0.3">
      <c r="A245" s="27" t="s">
        <v>1869</v>
      </c>
      <c r="B245" s="27" t="str">
        <f>"10"</f>
        <v>10</v>
      </c>
      <c r="C245" s="64" t="s">
        <v>2607</v>
      </c>
      <c r="D245" s="27" t="s">
        <v>2229</v>
      </c>
      <c r="E245" s="27" t="s">
        <v>2232</v>
      </c>
      <c r="F245" s="27" t="str">
        <f>"10"</f>
        <v>10</v>
      </c>
      <c r="G245" s="27" t="s">
        <v>2607</v>
      </c>
      <c r="H245" s="65" t="str">
        <f t="shared" si="9"/>
        <v>No Change</v>
      </c>
      <c r="I245" s="65" t="str">
        <f t="shared" si="10"/>
        <v/>
      </c>
      <c r="J245" s="65" t="str">
        <f t="shared" si="11"/>
        <v/>
      </c>
    </row>
    <row r="246" spans="1:10" x14ac:dyDescent="0.3">
      <c r="A246" s="27" t="s">
        <v>1869</v>
      </c>
      <c r="B246" s="27" t="str">
        <f>"10.01"</f>
        <v>10.01</v>
      </c>
      <c r="C246" s="64" t="s">
        <v>45</v>
      </c>
      <c r="D246" s="27" t="s">
        <v>2229</v>
      </c>
      <c r="E246" s="27" t="s">
        <v>2230</v>
      </c>
      <c r="F246" s="27" t="str">
        <f>"10.01"</f>
        <v>10.01</v>
      </c>
      <c r="G246" s="27" t="s">
        <v>2608</v>
      </c>
      <c r="H246" s="65" t="str">
        <f t="shared" si="9"/>
        <v>No Change</v>
      </c>
      <c r="I246" s="65" t="str">
        <f t="shared" si="10"/>
        <v/>
      </c>
      <c r="J246" s="65" t="str">
        <f t="shared" si="11"/>
        <v/>
      </c>
    </row>
    <row r="247" spans="1:10" x14ac:dyDescent="0.3">
      <c r="A247" s="27" t="s">
        <v>44</v>
      </c>
      <c r="B247" s="27" t="str">
        <f>"10.0105"</f>
        <v>10.0105</v>
      </c>
      <c r="C247" s="64" t="s">
        <v>45</v>
      </c>
      <c r="D247" s="27" t="s">
        <v>2229</v>
      </c>
      <c r="E247" s="27" t="s">
        <v>2232</v>
      </c>
      <c r="F247" s="27" t="str">
        <f>"10.0105"</f>
        <v>10.0105</v>
      </c>
      <c r="G247" s="27" t="s">
        <v>45</v>
      </c>
      <c r="H247" s="65" t="str">
        <f t="shared" si="9"/>
        <v>No Change</v>
      </c>
      <c r="I247" s="65" t="str">
        <f t="shared" si="10"/>
        <v>100105</v>
      </c>
      <c r="J247" s="65" t="str">
        <f t="shared" si="11"/>
        <v>100105</v>
      </c>
    </row>
    <row r="248" spans="1:10" x14ac:dyDescent="0.3">
      <c r="A248" s="27" t="s">
        <v>1869</v>
      </c>
      <c r="B248" s="27" t="str">
        <f>"10.02"</f>
        <v>10.02</v>
      </c>
      <c r="C248" s="64" t="s">
        <v>2609</v>
      </c>
      <c r="D248" s="27" t="s">
        <v>2229</v>
      </c>
      <c r="E248" s="27" t="s">
        <v>2230</v>
      </c>
      <c r="F248" s="27" t="str">
        <f>"10.02"</f>
        <v>10.02</v>
      </c>
      <c r="G248" s="27" t="s">
        <v>2609</v>
      </c>
      <c r="H248" s="65" t="str">
        <f t="shared" si="9"/>
        <v>No Change</v>
      </c>
      <c r="I248" s="65" t="str">
        <f t="shared" si="10"/>
        <v/>
      </c>
      <c r="J248" s="65" t="str">
        <f t="shared" si="11"/>
        <v/>
      </c>
    </row>
    <row r="249" spans="1:10" ht="28.8" x14ac:dyDescent="0.3">
      <c r="A249" s="27" t="s">
        <v>467</v>
      </c>
      <c r="B249" s="27" t="str">
        <f>"10.0201"</f>
        <v>10.0201</v>
      </c>
      <c r="C249" s="64" t="s">
        <v>2610</v>
      </c>
      <c r="D249" s="27" t="s">
        <v>2229</v>
      </c>
      <c r="E249" s="27" t="s">
        <v>2230</v>
      </c>
      <c r="F249" s="27" t="str">
        <f>"10.0201"</f>
        <v>10.0201</v>
      </c>
      <c r="G249" s="27" t="s">
        <v>2611</v>
      </c>
      <c r="H249" s="65" t="str">
        <f t="shared" si="9"/>
        <v>No Change</v>
      </c>
      <c r="I249" s="65" t="str">
        <f t="shared" si="10"/>
        <v>100201</v>
      </c>
      <c r="J249" s="65" t="str">
        <f t="shared" si="11"/>
        <v>100201</v>
      </c>
    </row>
    <row r="250" spans="1:10" x14ac:dyDescent="0.3">
      <c r="A250" s="27" t="s">
        <v>428</v>
      </c>
      <c r="B250" s="27" t="str">
        <f>"10.0202"</f>
        <v>10.0202</v>
      </c>
      <c r="C250" s="64" t="s">
        <v>429</v>
      </c>
      <c r="D250" s="27" t="s">
        <v>2229</v>
      </c>
      <c r="E250" s="27" t="s">
        <v>2230</v>
      </c>
      <c r="F250" s="27" t="str">
        <f>"10.0202"</f>
        <v>10.0202</v>
      </c>
      <c r="G250" s="27" t="s">
        <v>429</v>
      </c>
      <c r="H250" s="65" t="str">
        <f t="shared" si="9"/>
        <v>No Change</v>
      </c>
      <c r="I250" s="65" t="str">
        <f t="shared" si="10"/>
        <v>100202</v>
      </c>
      <c r="J250" s="65" t="str">
        <f t="shared" si="11"/>
        <v>100202</v>
      </c>
    </row>
    <row r="251" spans="1:10" x14ac:dyDescent="0.3">
      <c r="A251" s="27" t="s">
        <v>2612</v>
      </c>
      <c r="B251" s="27" t="str">
        <f>"10.0203"</f>
        <v>10.0203</v>
      </c>
      <c r="C251" s="64" t="s">
        <v>2613</v>
      </c>
      <c r="D251" s="27" t="s">
        <v>2229</v>
      </c>
      <c r="E251" s="27" t="s">
        <v>2230</v>
      </c>
      <c r="F251" s="27" t="str">
        <f>"10.0203"</f>
        <v>10.0203</v>
      </c>
      <c r="G251" s="27" t="s">
        <v>2613</v>
      </c>
      <c r="H251" s="65" t="str">
        <f t="shared" si="9"/>
        <v>No Change</v>
      </c>
      <c r="I251" s="65" t="str">
        <f t="shared" si="10"/>
        <v>100203</v>
      </c>
      <c r="J251" s="65" t="str">
        <f t="shared" si="11"/>
        <v>100203</v>
      </c>
    </row>
    <row r="252" spans="1:10" x14ac:dyDescent="0.3">
      <c r="A252" s="27" t="s">
        <v>1869</v>
      </c>
      <c r="D252" s="27" t="s">
        <v>2255</v>
      </c>
      <c r="E252" s="27" t="s">
        <v>2232</v>
      </c>
      <c r="F252" s="27" t="str">
        <f>"10.0204"</f>
        <v>10.0204</v>
      </c>
      <c r="G252" s="27" t="s">
        <v>2614</v>
      </c>
      <c r="H252" s="65" t="str">
        <f t="shared" si="9"/>
        <v>Other</v>
      </c>
      <c r="I252" s="65" t="str">
        <f t="shared" si="10"/>
        <v/>
      </c>
      <c r="J252" s="65" t="str">
        <f t="shared" si="11"/>
        <v>100204</v>
      </c>
    </row>
    <row r="253" spans="1:10" x14ac:dyDescent="0.3">
      <c r="A253" s="27" t="s">
        <v>2615</v>
      </c>
      <c r="B253" s="27" t="str">
        <f>"10.0299"</f>
        <v>10.0299</v>
      </c>
      <c r="C253" s="64" t="s">
        <v>2616</v>
      </c>
      <c r="D253" s="27" t="s">
        <v>2229</v>
      </c>
      <c r="E253" s="27" t="s">
        <v>2230</v>
      </c>
      <c r="F253" s="27" t="str">
        <f>"10.0299"</f>
        <v>10.0299</v>
      </c>
      <c r="G253" s="27" t="s">
        <v>2616</v>
      </c>
      <c r="H253" s="65" t="str">
        <f t="shared" si="9"/>
        <v>No Change</v>
      </c>
      <c r="I253" s="65" t="str">
        <f t="shared" si="10"/>
        <v>100299</v>
      </c>
      <c r="J253" s="65" t="str">
        <f t="shared" si="11"/>
        <v>100299</v>
      </c>
    </row>
    <row r="254" spans="1:10" x14ac:dyDescent="0.3">
      <c r="A254" s="27" t="s">
        <v>1869</v>
      </c>
      <c r="B254" s="27" t="str">
        <f>"10.03"</f>
        <v>10.03</v>
      </c>
      <c r="C254" s="64" t="s">
        <v>2617</v>
      </c>
      <c r="D254" s="27" t="s">
        <v>2229</v>
      </c>
      <c r="E254" s="27" t="s">
        <v>2232</v>
      </c>
      <c r="F254" s="27" t="str">
        <f>"10.03"</f>
        <v>10.03</v>
      </c>
      <c r="G254" s="27" t="s">
        <v>2617</v>
      </c>
      <c r="H254" s="65" t="str">
        <f t="shared" si="9"/>
        <v>No Change</v>
      </c>
      <c r="I254" s="65" t="str">
        <f t="shared" si="10"/>
        <v/>
      </c>
      <c r="J254" s="65" t="str">
        <f t="shared" si="11"/>
        <v/>
      </c>
    </row>
    <row r="255" spans="1:10" x14ac:dyDescent="0.3">
      <c r="A255" s="27" t="s">
        <v>2618</v>
      </c>
      <c r="B255" s="27" t="str">
        <f>"10.0301"</f>
        <v>10.0301</v>
      </c>
      <c r="C255" s="64" t="s">
        <v>2619</v>
      </c>
      <c r="D255" s="27" t="s">
        <v>2229</v>
      </c>
      <c r="E255" s="27" t="s">
        <v>2232</v>
      </c>
      <c r="F255" s="27" t="str">
        <f>"10.0301"</f>
        <v>10.0301</v>
      </c>
      <c r="G255" s="27" t="s">
        <v>2619</v>
      </c>
      <c r="H255" s="65" t="str">
        <f t="shared" si="9"/>
        <v>No Change</v>
      </c>
      <c r="I255" s="65" t="str">
        <f t="shared" si="10"/>
        <v>100301</v>
      </c>
      <c r="J255" s="65" t="str">
        <f t="shared" si="11"/>
        <v>100301</v>
      </c>
    </row>
    <row r="256" spans="1:10" x14ac:dyDescent="0.3">
      <c r="A256" s="27" t="s">
        <v>2620</v>
      </c>
      <c r="B256" s="27" t="str">
        <f>"10.0302"</f>
        <v>10.0302</v>
      </c>
      <c r="C256" s="64" t="s">
        <v>2621</v>
      </c>
      <c r="D256" s="27" t="s">
        <v>2229</v>
      </c>
      <c r="E256" s="27" t="s">
        <v>2232</v>
      </c>
      <c r="F256" s="27" t="str">
        <f>"10.0302"</f>
        <v>10.0302</v>
      </c>
      <c r="G256" s="27" t="s">
        <v>2621</v>
      </c>
      <c r="H256" s="65" t="str">
        <f t="shared" si="9"/>
        <v>No Change</v>
      </c>
      <c r="I256" s="65" t="str">
        <f t="shared" si="10"/>
        <v>100302</v>
      </c>
      <c r="J256" s="65" t="str">
        <f t="shared" si="11"/>
        <v>100302</v>
      </c>
    </row>
    <row r="257" spans="1:10" x14ac:dyDescent="0.3">
      <c r="A257" s="27" t="s">
        <v>1032</v>
      </c>
      <c r="B257" s="27" t="str">
        <f>"10.0303"</f>
        <v>10.0303</v>
      </c>
      <c r="C257" s="64" t="s">
        <v>1033</v>
      </c>
      <c r="D257" s="27" t="s">
        <v>2229</v>
      </c>
      <c r="E257" s="27" t="s">
        <v>2232</v>
      </c>
      <c r="F257" s="27" t="str">
        <f>"10.0303"</f>
        <v>10.0303</v>
      </c>
      <c r="G257" s="27" t="s">
        <v>1033</v>
      </c>
      <c r="H257" s="65" t="str">
        <f t="shared" si="9"/>
        <v>No Change</v>
      </c>
      <c r="I257" s="65" t="str">
        <f t="shared" si="10"/>
        <v>100303</v>
      </c>
      <c r="J257" s="65" t="str">
        <f t="shared" si="11"/>
        <v>100303</v>
      </c>
    </row>
    <row r="258" spans="1:10" ht="28.8" x14ac:dyDescent="0.3">
      <c r="A258" s="27" t="s">
        <v>551</v>
      </c>
      <c r="B258" s="27" t="str">
        <f>"10.0304"</f>
        <v>10.0304</v>
      </c>
      <c r="C258" s="64" t="s">
        <v>2622</v>
      </c>
      <c r="D258" s="27" t="s">
        <v>2229</v>
      </c>
      <c r="E258" s="27" t="s">
        <v>2232</v>
      </c>
      <c r="F258" s="27" t="str">
        <f>"10.0304"</f>
        <v>10.0304</v>
      </c>
      <c r="G258" s="27" t="s">
        <v>552</v>
      </c>
      <c r="H258" s="65" t="str">
        <f t="shared" si="9"/>
        <v>No Change</v>
      </c>
      <c r="I258" s="65" t="str">
        <f t="shared" si="10"/>
        <v>100304</v>
      </c>
      <c r="J258" s="65" t="str">
        <f t="shared" si="11"/>
        <v>100304</v>
      </c>
    </row>
    <row r="259" spans="1:10" x14ac:dyDescent="0.3">
      <c r="A259" s="27" t="s">
        <v>1062</v>
      </c>
      <c r="B259" s="27" t="str">
        <f>"10.0305"</f>
        <v>10.0305</v>
      </c>
      <c r="C259" s="64" t="s">
        <v>1063</v>
      </c>
      <c r="D259" s="27" t="s">
        <v>2229</v>
      </c>
      <c r="E259" s="27" t="s">
        <v>2232</v>
      </c>
      <c r="F259" s="27" t="str">
        <f>"10.0305"</f>
        <v>10.0305</v>
      </c>
      <c r="G259" s="27" t="s">
        <v>1063</v>
      </c>
      <c r="H259" s="65" t="str">
        <f t="shared" ref="H259:H322" si="12">IF(I259=J259,"No Change","Other")</f>
        <v>No Change</v>
      </c>
      <c r="I259" s="65" t="str">
        <f t="shared" ref="I259:I322" si="13">SUBSTITUTE(IF(SUM(LEN(B259))&lt;7,"",B259),".","")</f>
        <v>100305</v>
      </c>
      <c r="J259" s="65" t="str">
        <f t="shared" ref="J259:J322" si="14">SUBSTITUTE(IF(SUM(LEN(F259))&lt;7,"",F259),".","")</f>
        <v>100305</v>
      </c>
    </row>
    <row r="260" spans="1:10" x14ac:dyDescent="0.3">
      <c r="A260" s="27" t="s">
        <v>2623</v>
      </c>
      <c r="B260" s="27" t="str">
        <f>"10.0306"</f>
        <v>10.0306</v>
      </c>
      <c r="C260" s="64" t="s">
        <v>2624</v>
      </c>
      <c r="D260" s="27" t="s">
        <v>2229</v>
      </c>
      <c r="E260" s="27" t="s">
        <v>2232</v>
      </c>
      <c r="F260" s="27" t="str">
        <f>"10.0306"</f>
        <v>10.0306</v>
      </c>
      <c r="G260" s="27" t="s">
        <v>2624</v>
      </c>
      <c r="H260" s="65" t="str">
        <f t="shared" si="12"/>
        <v>No Change</v>
      </c>
      <c r="I260" s="65" t="str">
        <f t="shared" si="13"/>
        <v>100306</v>
      </c>
      <c r="J260" s="65" t="str">
        <f t="shared" si="14"/>
        <v>100306</v>
      </c>
    </row>
    <row r="261" spans="1:10" x14ac:dyDescent="0.3">
      <c r="A261" s="27" t="s">
        <v>2625</v>
      </c>
      <c r="B261" s="27" t="str">
        <f>"10.0307"</f>
        <v>10.0307</v>
      </c>
      <c r="C261" s="64" t="s">
        <v>2626</v>
      </c>
      <c r="D261" s="27" t="s">
        <v>2229</v>
      </c>
      <c r="E261" s="27" t="s">
        <v>2232</v>
      </c>
      <c r="F261" s="27" t="str">
        <f>"10.0307"</f>
        <v>10.0307</v>
      </c>
      <c r="G261" s="27" t="s">
        <v>2626</v>
      </c>
      <c r="H261" s="65" t="str">
        <f t="shared" si="12"/>
        <v>No Change</v>
      </c>
      <c r="I261" s="65" t="str">
        <f t="shared" si="13"/>
        <v>100307</v>
      </c>
      <c r="J261" s="65" t="str">
        <f t="shared" si="14"/>
        <v>100307</v>
      </c>
    </row>
    <row r="262" spans="1:10" x14ac:dyDescent="0.3">
      <c r="A262" s="27" t="s">
        <v>2627</v>
      </c>
      <c r="B262" s="27" t="str">
        <f>"10.0308"</f>
        <v>10.0308</v>
      </c>
      <c r="C262" s="64" t="s">
        <v>2628</v>
      </c>
      <c r="D262" s="27" t="s">
        <v>2229</v>
      </c>
      <c r="E262" s="27" t="s">
        <v>2232</v>
      </c>
      <c r="F262" s="27" t="str">
        <f>"10.0308"</f>
        <v>10.0308</v>
      </c>
      <c r="G262" s="27" t="s">
        <v>2628</v>
      </c>
      <c r="H262" s="65" t="str">
        <f t="shared" si="12"/>
        <v>No Change</v>
      </c>
      <c r="I262" s="65" t="str">
        <f t="shared" si="13"/>
        <v>100308</v>
      </c>
      <c r="J262" s="65" t="str">
        <f t="shared" si="14"/>
        <v>100308</v>
      </c>
    </row>
    <row r="263" spans="1:10" x14ac:dyDescent="0.3">
      <c r="A263" s="27" t="s">
        <v>2629</v>
      </c>
      <c r="B263" s="27" t="str">
        <f>"10.0399"</f>
        <v>10.0399</v>
      </c>
      <c r="C263" s="64" t="s">
        <v>2630</v>
      </c>
      <c r="D263" s="27" t="s">
        <v>2229</v>
      </c>
      <c r="E263" s="27" t="s">
        <v>2232</v>
      </c>
      <c r="F263" s="27" t="str">
        <f>"10.0399"</f>
        <v>10.0399</v>
      </c>
      <c r="G263" s="27" t="s">
        <v>2630</v>
      </c>
      <c r="H263" s="65" t="str">
        <f t="shared" si="12"/>
        <v>No Change</v>
      </c>
      <c r="I263" s="65" t="str">
        <f t="shared" si="13"/>
        <v>100399</v>
      </c>
      <c r="J263" s="65" t="str">
        <f t="shared" si="14"/>
        <v>100399</v>
      </c>
    </row>
    <row r="264" spans="1:10" ht="28.8" x14ac:dyDescent="0.3">
      <c r="A264" s="27" t="s">
        <v>1869</v>
      </c>
      <c r="B264" s="27" t="str">
        <f>"10.99"</f>
        <v>10.99</v>
      </c>
      <c r="C264" s="64" t="s">
        <v>2631</v>
      </c>
      <c r="D264" s="27" t="s">
        <v>2229</v>
      </c>
      <c r="E264" s="27" t="s">
        <v>2232</v>
      </c>
      <c r="F264" s="27" t="str">
        <f>"10.99"</f>
        <v>10.99</v>
      </c>
      <c r="G264" s="27" t="s">
        <v>2631</v>
      </c>
      <c r="H264" s="65" t="str">
        <f t="shared" si="12"/>
        <v>No Change</v>
      </c>
      <c r="I264" s="65" t="str">
        <f t="shared" si="13"/>
        <v/>
      </c>
      <c r="J264" s="65" t="str">
        <f t="shared" si="14"/>
        <v/>
      </c>
    </row>
    <row r="265" spans="1:10" ht="28.8" x14ac:dyDescent="0.3">
      <c r="A265" s="27" t="s">
        <v>2632</v>
      </c>
      <c r="B265" s="27" t="str">
        <f>"10.9999"</f>
        <v>10.9999</v>
      </c>
      <c r="C265" s="64" t="s">
        <v>2631</v>
      </c>
      <c r="D265" s="27" t="s">
        <v>2229</v>
      </c>
      <c r="E265" s="27" t="s">
        <v>2232</v>
      </c>
      <c r="F265" s="27" t="str">
        <f>"10.9999"</f>
        <v>10.9999</v>
      </c>
      <c r="G265" s="27" t="s">
        <v>2631</v>
      </c>
      <c r="H265" s="65" t="str">
        <f t="shared" si="12"/>
        <v>No Change</v>
      </c>
      <c r="I265" s="65" t="str">
        <f t="shared" si="13"/>
        <v>109999</v>
      </c>
      <c r="J265" s="65" t="str">
        <f t="shared" si="14"/>
        <v>109999</v>
      </c>
    </row>
    <row r="266" spans="1:10" ht="28.8" x14ac:dyDescent="0.3">
      <c r="A266" s="27" t="s">
        <v>1869</v>
      </c>
      <c r="B266" s="27" t="str">
        <f>"11"</f>
        <v>11</v>
      </c>
      <c r="C266" s="64" t="s">
        <v>2633</v>
      </c>
      <c r="D266" s="27" t="s">
        <v>2229</v>
      </c>
      <c r="E266" s="27" t="s">
        <v>2232</v>
      </c>
      <c r="F266" s="27" t="str">
        <f>"11"</f>
        <v>11</v>
      </c>
      <c r="G266" s="27" t="s">
        <v>2633</v>
      </c>
      <c r="H266" s="65" t="str">
        <f t="shared" si="12"/>
        <v>No Change</v>
      </c>
      <c r="I266" s="65" t="str">
        <f t="shared" si="13"/>
        <v/>
      </c>
      <c r="J266" s="65" t="str">
        <f t="shared" si="14"/>
        <v/>
      </c>
    </row>
    <row r="267" spans="1:10" x14ac:dyDescent="0.3">
      <c r="A267" s="27" t="s">
        <v>1869</v>
      </c>
      <c r="B267" s="27" t="str">
        <f>"11.01"</f>
        <v>11.01</v>
      </c>
      <c r="C267" s="64" t="s">
        <v>2634</v>
      </c>
      <c r="D267" s="27" t="s">
        <v>2229</v>
      </c>
      <c r="E267" s="27" t="s">
        <v>2232</v>
      </c>
      <c r="F267" s="27" t="str">
        <f>"11.01"</f>
        <v>11.01</v>
      </c>
      <c r="G267" s="27" t="s">
        <v>2634</v>
      </c>
      <c r="H267" s="65" t="str">
        <f t="shared" si="12"/>
        <v>No Change</v>
      </c>
      <c r="I267" s="65" t="str">
        <f t="shared" si="13"/>
        <v/>
      </c>
      <c r="J267" s="65" t="str">
        <f t="shared" si="14"/>
        <v/>
      </c>
    </row>
    <row r="268" spans="1:10" x14ac:dyDescent="0.3">
      <c r="A268" s="27" t="s">
        <v>347</v>
      </c>
      <c r="B268" s="27" t="str">
        <f>"11.0101"</f>
        <v>11.0101</v>
      </c>
      <c r="C268" s="64" t="s">
        <v>2634</v>
      </c>
      <c r="D268" s="27" t="s">
        <v>2229</v>
      </c>
      <c r="E268" s="27" t="s">
        <v>2232</v>
      </c>
      <c r="F268" s="27" t="str">
        <f>"11.0101"</f>
        <v>11.0101</v>
      </c>
      <c r="G268" s="27" t="s">
        <v>2634</v>
      </c>
      <c r="H268" s="65" t="str">
        <f t="shared" si="12"/>
        <v>No Change</v>
      </c>
      <c r="I268" s="65" t="str">
        <f t="shared" si="13"/>
        <v>110101</v>
      </c>
      <c r="J268" s="65" t="str">
        <f t="shared" si="14"/>
        <v>110101</v>
      </c>
    </row>
    <row r="269" spans="1:10" x14ac:dyDescent="0.3">
      <c r="A269" s="27" t="s">
        <v>2635</v>
      </c>
      <c r="B269" s="27" t="str">
        <f>"11.0102"</f>
        <v>11.0102</v>
      </c>
      <c r="C269" s="64" t="s">
        <v>2636</v>
      </c>
      <c r="D269" s="27" t="s">
        <v>2229</v>
      </c>
      <c r="E269" s="27" t="s">
        <v>2232</v>
      </c>
      <c r="F269" s="27" t="str">
        <f>"11.0102"</f>
        <v>11.0102</v>
      </c>
      <c r="G269" s="27" t="s">
        <v>2636</v>
      </c>
      <c r="H269" s="65" t="str">
        <f t="shared" si="12"/>
        <v>No Change</v>
      </c>
      <c r="I269" s="65" t="str">
        <f t="shared" si="13"/>
        <v>110102</v>
      </c>
      <c r="J269" s="65" t="str">
        <f t="shared" si="14"/>
        <v>110102</v>
      </c>
    </row>
    <row r="270" spans="1:10" x14ac:dyDescent="0.3">
      <c r="A270" s="27" t="s">
        <v>168</v>
      </c>
      <c r="B270" s="27" t="str">
        <f>"11.0103"</f>
        <v>11.0103</v>
      </c>
      <c r="C270" s="64" t="s">
        <v>169</v>
      </c>
      <c r="D270" s="27" t="s">
        <v>2229</v>
      </c>
      <c r="E270" s="27" t="s">
        <v>2232</v>
      </c>
      <c r="F270" s="27" t="str">
        <f>"11.0103"</f>
        <v>11.0103</v>
      </c>
      <c r="G270" s="27" t="s">
        <v>169</v>
      </c>
      <c r="H270" s="65" t="str">
        <f t="shared" si="12"/>
        <v>No Change</v>
      </c>
      <c r="I270" s="65" t="str">
        <f t="shared" si="13"/>
        <v>110103</v>
      </c>
      <c r="J270" s="65" t="str">
        <f t="shared" si="14"/>
        <v>110103</v>
      </c>
    </row>
    <row r="271" spans="1:10" x14ac:dyDescent="0.3">
      <c r="A271" s="27" t="s">
        <v>2637</v>
      </c>
      <c r="B271" s="27" t="str">
        <f>"11.0104"</f>
        <v>11.0104</v>
      </c>
      <c r="C271" s="64" t="s">
        <v>2638</v>
      </c>
      <c r="D271" s="27" t="s">
        <v>2229</v>
      </c>
      <c r="E271" s="27" t="s">
        <v>2232</v>
      </c>
      <c r="F271" s="27" t="str">
        <f>"11.0104"</f>
        <v>11.0104</v>
      </c>
      <c r="G271" s="27" t="s">
        <v>2638</v>
      </c>
      <c r="H271" s="65" t="str">
        <f t="shared" si="12"/>
        <v>No Change</v>
      </c>
      <c r="I271" s="65" t="str">
        <f t="shared" si="13"/>
        <v>110104</v>
      </c>
      <c r="J271" s="65" t="str">
        <f t="shared" si="14"/>
        <v>110104</v>
      </c>
    </row>
    <row r="272" spans="1:10" x14ac:dyDescent="0.3">
      <c r="A272" s="27" t="s">
        <v>1869</v>
      </c>
      <c r="D272" s="27" t="s">
        <v>2255</v>
      </c>
      <c r="E272" s="27" t="s">
        <v>2232</v>
      </c>
      <c r="F272" s="27" t="str">
        <f>"11.0105"</f>
        <v>11.0105</v>
      </c>
      <c r="G272" s="27" t="s">
        <v>2639</v>
      </c>
      <c r="H272" s="65" t="str">
        <f t="shared" si="12"/>
        <v>Other</v>
      </c>
      <c r="I272" s="65" t="str">
        <f t="shared" si="13"/>
        <v/>
      </c>
      <c r="J272" s="65" t="str">
        <f t="shared" si="14"/>
        <v>110105</v>
      </c>
    </row>
    <row r="273" spans="1:10" x14ac:dyDescent="0.3">
      <c r="A273" s="27" t="s">
        <v>2640</v>
      </c>
      <c r="B273" s="27" t="str">
        <f>"11.0199"</f>
        <v>11.0199</v>
      </c>
      <c r="C273" s="64" t="s">
        <v>2641</v>
      </c>
      <c r="D273" s="27" t="s">
        <v>2229</v>
      </c>
      <c r="E273" s="27" t="s">
        <v>2232</v>
      </c>
      <c r="F273" s="27" t="str">
        <f>"11.0199"</f>
        <v>11.0199</v>
      </c>
      <c r="G273" s="27" t="s">
        <v>2641</v>
      </c>
      <c r="H273" s="65" t="str">
        <f t="shared" si="12"/>
        <v>No Change</v>
      </c>
      <c r="I273" s="65" t="str">
        <f t="shared" si="13"/>
        <v>110199</v>
      </c>
      <c r="J273" s="65" t="str">
        <f t="shared" si="14"/>
        <v>110199</v>
      </c>
    </row>
    <row r="274" spans="1:10" x14ac:dyDescent="0.3">
      <c r="A274" s="27" t="s">
        <v>1869</v>
      </c>
      <c r="B274" s="27" t="str">
        <f>"11.02"</f>
        <v>11.02</v>
      </c>
      <c r="C274" s="64" t="s">
        <v>2642</v>
      </c>
      <c r="D274" s="27" t="s">
        <v>2229</v>
      </c>
      <c r="E274" s="27" t="s">
        <v>2232</v>
      </c>
      <c r="F274" s="27" t="str">
        <f>"11.02"</f>
        <v>11.02</v>
      </c>
      <c r="G274" s="27" t="s">
        <v>2642</v>
      </c>
      <c r="H274" s="65" t="str">
        <f t="shared" si="12"/>
        <v>No Change</v>
      </c>
      <c r="I274" s="65" t="str">
        <f t="shared" si="13"/>
        <v/>
      </c>
      <c r="J274" s="65" t="str">
        <f t="shared" si="14"/>
        <v/>
      </c>
    </row>
    <row r="275" spans="1:10" x14ac:dyDescent="0.3">
      <c r="A275" s="27" t="s">
        <v>171</v>
      </c>
      <c r="B275" s="27" t="str">
        <f>"11.0201"</f>
        <v>11.0201</v>
      </c>
      <c r="C275" s="64" t="s">
        <v>172</v>
      </c>
      <c r="D275" s="27" t="s">
        <v>2229</v>
      </c>
      <c r="E275" s="27" t="s">
        <v>2232</v>
      </c>
      <c r="F275" s="27" t="str">
        <f>"11.0201"</f>
        <v>11.0201</v>
      </c>
      <c r="G275" s="27" t="s">
        <v>172</v>
      </c>
      <c r="H275" s="65" t="str">
        <f t="shared" si="12"/>
        <v>No Change</v>
      </c>
      <c r="I275" s="65" t="str">
        <f t="shared" si="13"/>
        <v>110201</v>
      </c>
      <c r="J275" s="65" t="str">
        <f t="shared" si="14"/>
        <v>110201</v>
      </c>
    </row>
    <row r="276" spans="1:10" x14ac:dyDescent="0.3">
      <c r="A276" s="27" t="s">
        <v>391</v>
      </c>
      <c r="B276" s="27" t="str">
        <f>"11.0202"</f>
        <v>11.0202</v>
      </c>
      <c r="C276" s="64" t="s">
        <v>392</v>
      </c>
      <c r="D276" s="27" t="s">
        <v>2229</v>
      </c>
      <c r="E276" s="27" t="s">
        <v>2232</v>
      </c>
      <c r="F276" s="27" t="str">
        <f>"11.0202"</f>
        <v>11.0202</v>
      </c>
      <c r="G276" s="27" t="s">
        <v>392</v>
      </c>
      <c r="H276" s="65" t="str">
        <f t="shared" si="12"/>
        <v>No Change</v>
      </c>
      <c r="I276" s="65" t="str">
        <f t="shared" si="13"/>
        <v>110202</v>
      </c>
      <c r="J276" s="65" t="str">
        <f t="shared" si="14"/>
        <v>110202</v>
      </c>
    </row>
    <row r="277" spans="1:10" x14ac:dyDescent="0.3">
      <c r="A277" s="27" t="s">
        <v>812</v>
      </c>
      <c r="B277" s="27" t="str">
        <f>"11.0203"</f>
        <v>11.0203</v>
      </c>
      <c r="C277" s="64" t="s">
        <v>813</v>
      </c>
      <c r="D277" s="27" t="s">
        <v>2229</v>
      </c>
      <c r="E277" s="27" t="s">
        <v>2232</v>
      </c>
      <c r="F277" s="27" t="str">
        <f>"11.0203"</f>
        <v>11.0203</v>
      </c>
      <c r="G277" s="27" t="s">
        <v>813</v>
      </c>
      <c r="H277" s="65" t="str">
        <f t="shared" si="12"/>
        <v>No Change</v>
      </c>
      <c r="I277" s="65" t="str">
        <f t="shared" si="13"/>
        <v>110203</v>
      </c>
      <c r="J277" s="65" t="str">
        <f t="shared" si="14"/>
        <v>110203</v>
      </c>
    </row>
    <row r="278" spans="1:10" x14ac:dyDescent="0.3">
      <c r="A278" s="27" t="s">
        <v>1869</v>
      </c>
      <c r="D278" s="27" t="s">
        <v>2255</v>
      </c>
      <c r="E278" s="27" t="s">
        <v>2232</v>
      </c>
      <c r="F278" s="27" t="str">
        <f>"11.0204"</f>
        <v>11.0204</v>
      </c>
      <c r="G278" s="27" t="s">
        <v>2643</v>
      </c>
      <c r="H278" s="65" t="str">
        <f t="shared" si="12"/>
        <v>Other</v>
      </c>
      <c r="I278" s="65" t="str">
        <f t="shared" si="13"/>
        <v/>
      </c>
      <c r="J278" s="65" t="str">
        <f t="shared" si="14"/>
        <v>110204</v>
      </c>
    </row>
    <row r="279" spans="1:10" x14ac:dyDescent="0.3">
      <c r="A279" s="27" t="s">
        <v>1869</v>
      </c>
      <c r="D279" s="27" t="s">
        <v>2255</v>
      </c>
      <c r="E279" s="27" t="s">
        <v>2232</v>
      </c>
      <c r="F279" s="27" t="str">
        <f>"11.0205"</f>
        <v>11.0205</v>
      </c>
      <c r="G279" s="27" t="s">
        <v>2644</v>
      </c>
      <c r="H279" s="65" t="str">
        <f t="shared" si="12"/>
        <v>Other</v>
      </c>
      <c r="I279" s="65" t="str">
        <f t="shared" si="13"/>
        <v/>
      </c>
      <c r="J279" s="65" t="str">
        <f t="shared" si="14"/>
        <v>110205</v>
      </c>
    </row>
    <row r="280" spans="1:10" x14ac:dyDescent="0.3">
      <c r="A280" s="27" t="s">
        <v>2645</v>
      </c>
      <c r="B280" s="27" t="str">
        <f>"11.0299"</f>
        <v>11.0299</v>
      </c>
      <c r="C280" s="64" t="s">
        <v>2646</v>
      </c>
      <c r="D280" s="27" t="s">
        <v>2229</v>
      </c>
      <c r="E280" s="27" t="s">
        <v>2232</v>
      </c>
      <c r="F280" s="27" t="str">
        <f>"11.0299"</f>
        <v>11.0299</v>
      </c>
      <c r="G280" s="27" t="s">
        <v>2646</v>
      </c>
      <c r="H280" s="65" t="str">
        <f t="shared" si="12"/>
        <v>No Change</v>
      </c>
      <c r="I280" s="65" t="str">
        <f t="shared" si="13"/>
        <v>110299</v>
      </c>
      <c r="J280" s="65" t="str">
        <f t="shared" si="14"/>
        <v>110299</v>
      </c>
    </row>
    <row r="281" spans="1:10" x14ac:dyDescent="0.3">
      <c r="A281" s="27" t="s">
        <v>1869</v>
      </c>
      <c r="B281" s="27" t="str">
        <f>"11.03"</f>
        <v>11.03</v>
      </c>
      <c r="C281" s="64" t="s">
        <v>2647</v>
      </c>
      <c r="D281" s="27" t="s">
        <v>2229</v>
      </c>
      <c r="E281" s="27" t="s">
        <v>2232</v>
      </c>
      <c r="F281" s="27" t="str">
        <f>"11.03"</f>
        <v>11.03</v>
      </c>
      <c r="G281" s="27" t="s">
        <v>2647</v>
      </c>
      <c r="H281" s="65" t="str">
        <f t="shared" si="12"/>
        <v>No Change</v>
      </c>
      <c r="I281" s="65" t="str">
        <f t="shared" si="13"/>
        <v/>
      </c>
      <c r="J281" s="65" t="str">
        <f t="shared" si="14"/>
        <v/>
      </c>
    </row>
    <row r="282" spans="1:10" x14ac:dyDescent="0.3">
      <c r="A282" s="27" t="s">
        <v>2648</v>
      </c>
      <c r="B282" s="27" t="str">
        <f>"11.0301"</f>
        <v>11.0301</v>
      </c>
      <c r="C282" s="64" t="s">
        <v>2649</v>
      </c>
      <c r="D282" s="27" t="s">
        <v>2229</v>
      </c>
      <c r="E282" s="27" t="s">
        <v>2232</v>
      </c>
      <c r="F282" s="27" t="str">
        <f>"11.0301"</f>
        <v>11.0301</v>
      </c>
      <c r="G282" s="27" t="s">
        <v>2649</v>
      </c>
      <c r="H282" s="65" t="str">
        <f t="shared" si="12"/>
        <v>No Change</v>
      </c>
      <c r="I282" s="65" t="str">
        <f t="shared" si="13"/>
        <v>110301</v>
      </c>
      <c r="J282" s="65" t="str">
        <f t="shared" si="14"/>
        <v>110301</v>
      </c>
    </row>
    <row r="283" spans="1:10" x14ac:dyDescent="0.3">
      <c r="A283" s="27" t="s">
        <v>1869</v>
      </c>
      <c r="B283" s="27" t="str">
        <f>"11.04"</f>
        <v>11.04</v>
      </c>
      <c r="C283" s="64" t="s">
        <v>2650</v>
      </c>
      <c r="D283" s="27" t="s">
        <v>2229</v>
      </c>
      <c r="E283" s="27" t="s">
        <v>2232</v>
      </c>
      <c r="F283" s="27" t="str">
        <f>"11.04"</f>
        <v>11.04</v>
      </c>
      <c r="G283" s="27" t="s">
        <v>2650</v>
      </c>
      <c r="H283" s="65" t="str">
        <f t="shared" si="12"/>
        <v>No Change</v>
      </c>
      <c r="I283" s="65" t="str">
        <f t="shared" si="13"/>
        <v/>
      </c>
      <c r="J283" s="65" t="str">
        <f t="shared" si="14"/>
        <v/>
      </c>
    </row>
    <row r="284" spans="1:10" x14ac:dyDescent="0.3">
      <c r="A284" s="27" t="s">
        <v>2651</v>
      </c>
      <c r="B284" s="27" t="str">
        <f>"11.0401"</f>
        <v>11.0401</v>
      </c>
      <c r="C284" s="64" t="s">
        <v>2650</v>
      </c>
      <c r="D284" s="27" t="s">
        <v>2229</v>
      </c>
      <c r="E284" s="27" t="s">
        <v>2232</v>
      </c>
      <c r="F284" s="27" t="str">
        <f>"11.0401"</f>
        <v>11.0401</v>
      </c>
      <c r="G284" s="27" t="s">
        <v>2650</v>
      </c>
      <c r="H284" s="65" t="str">
        <f t="shared" si="12"/>
        <v>No Change</v>
      </c>
      <c r="I284" s="65" t="str">
        <f t="shared" si="13"/>
        <v>110401</v>
      </c>
      <c r="J284" s="65" t="str">
        <f t="shared" si="14"/>
        <v>110401</v>
      </c>
    </row>
    <row r="285" spans="1:10" x14ac:dyDescent="0.3">
      <c r="A285" s="27" t="s">
        <v>1869</v>
      </c>
      <c r="B285" s="27" t="str">
        <f>"11.05"</f>
        <v>11.05</v>
      </c>
      <c r="C285" s="64" t="s">
        <v>2652</v>
      </c>
      <c r="D285" s="27" t="s">
        <v>2229</v>
      </c>
      <c r="E285" s="27" t="s">
        <v>2232</v>
      </c>
      <c r="F285" s="27" t="str">
        <f>"11.05"</f>
        <v>11.05</v>
      </c>
      <c r="G285" s="27" t="s">
        <v>2652</v>
      </c>
      <c r="H285" s="65" t="str">
        <f t="shared" si="12"/>
        <v>No Change</v>
      </c>
      <c r="I285" s="65" t="str">
        <f t="shared" si="13"/>
        <v/>
      </c>
      <c r="J285" s="65" t="str">
        <f t="shared" si="14"/>
        <v/>
      </c>
    </row>
    <row r="286" spans="1:10" x14ac:dyDescent="0.3">
      <c r="A286" s="27" t="s">
        <v>513</v>
      </c>
      <c r="B286" s="27" t="str">
        <f>"11.0501"</f>
        <v>11.0501</v>
      </c>
      <c r="C286" s="64" t="s">
        <v>514</v>
      </c>
      <c r="D286" s="27" t="s">
        <v>2229</v>
      </c>
      <c r="E286" s="27" t="s">
        <v>2232</v>
      </c>
      <c r="F286" s="27" t="str">
        <f>"11.0501"</f>
        <v>11.0501</v>
      </c>
      <c r="G286" s="27" t="s">
        <v>514</v>
      </c>
      <c r="H286" s="65" t="str">
        <f t="shared" si="12"/>
        <v>No Change</v>
      </c>
      <c r="I286" s="65" t="str">
        <f t="shared" si="13"/>
        <v>110501</v>
      </c>
      <c r="J286" s="65" t="str">
        <f t="shared" si="14"/>
        <v>110501</v>
      </c>
    </row>
    <row r="287" spans="1:10" x14ac:dyDescent="0.3">
      <c r="A287" s="27" t="s">
        <v>1869</v>
      </c>
      <c r="B287" s="27" t="str">
        <f>"11.06"</f>
        <v>11.06</v>
      </c>
      <c r="C287" s="64" t="s">
        <v>2653</v>
      </c>
      <c r="D287" s="27" t="s">
        <v>2229</v>
      </c>
      <c r="E287" s="27" t="s">
        <v>2232</v>
      </c>
      <c r="F287" s="27" t="str">
        <f>"11.06"</f>
        <v>11.06</v>
      </c>
      <c r="G287" s="27" t="s">
        <v>2653</v>
      </c>
      <c r="H287" s="65" t="str">
        <f t="shared" si="12"/>
        <v>No Change</v>
      </c>
      <c r="I287" s="65" t="str">
        <f t="shared" si="13"/>
        <v/>
      </c>
      <c r="J287" s="65" t="str">
        <f t="shared" si="14"/>
        <v/>
      </c>
    </row>
    <row r="288" spans="1:10" x14ac:dyDescent="0.3">
      <c r="A288" s="27" t="s">
        <v>2654</v>
      </c>
      <c r="B288" s="27" t="str">
        <f>"11.0601"</f>
        <v>11.0601</v>
      </c>
      <c r="C288" s="64" t="s">
        <v>2655</v>
      </c>
      <c r="D288" s="27" t="s">
        <v>2229</v>
      </c>
      <c r="E288" s="27" t="s">
        <v>2232</v>
      </c>
      <c r="F288" s="27" t="str">
        <f>"11.0601"</f>
        <v>11.0601</v>
      </c>
      <c r="G288" s="27" t="s">
        <v>2655</v>
      </c>
      <c r="H288" s="65" t="str">
        <f t="shared" si="12"/>
        <v>No Change</v>
      </c>
      <c r="I288" s="65" t="str">
        <f t="shared" si="13"/>
        <v>110601</v>
      </c>
      <c r="J288" s="65" t="str">
        <f t="shared" si="14"/>
        <v>110601</v>
      </c>
    </row>
    <row r="289" spans="1:10" x14ac:dyDescent="0.3">
      <c r="A289" s="27" t="s">
        <v>2656</v>
      </c>
      <c r="B289" s="27" t="str">
        <f>"11.0602"</f>
        <v>11.0602</v>
      </c>
      <c r="C289" s="64" t="s">
        <v>2657</v>
      </c>
      <c r="D289" s="27" t="s">
        <v>2229</v>
      </c>
      <c r="E289" s="27" t="s">
        <v>2232</v>
      </c>
      <c r="F289" s="27" t="str">
        <f>"11.0602"</f>
        <v>11.0602</v>
      </c>
      <c r="G289" s="27" t="s">
        <v>2657</v>
      </c>
      <c r="H289" s="65" t="str">
        <f t="shared" si="12"/>
        <v>No Change</v>
      </c>
      <c r="I289" s="65" t="str">
        <f t="shared" si="13"/>
        <v>110602</v>
      </c>
      <c r="J289" s="65" t="str">
        <f t="shared" si="14"/>
        <v>110602</v>
      </c>
    </row>
    <row r="290" spans="1:10" x14ac:dyDescent="0.3">
      <c r="A290" s="27" t="s">
        <v>2658</v>
      </c>
      <c r="B290" s="27" t="str">
        <f>"11.0699"</f>
        <v>11.0699</v>
      </c>
      <c r="C290" s="64" t="s">
        <v>2659</v>
      </c>
      <c r="D290" s="27" t="s">
        <v>2229</v>
      </c>
      <c r="E290" s="27" t="s">
        <v>2232</v>
      </c>
      <c r="F290" s="27" t="str">
        <f>"11.0699"</f>
        <v>11.0699</v>
      </c>
      <c r="G290" s="27" t="s">
        <v>2659</v>
      </c>
      <c r="H290" s="65" t="str">
        <f t="shared" si="12"/>
        <v>No Change</v>
      </c>
      <c r="I290" s="65" t="str">
        <f t="shared" si="13"/>
        <v>110699</v>
      </c>
      <c r="J290" s="65" t="str">
        <f t="shared" si="14"/>
        <v>110699</v>
      </c>
    </row>
    <row r="291" spans="1:10" x14ac:dyDescent="0.3">
      <c r="A291" s="27" t="s">
        <v>1869</v>
      </c>
      <c r="B291" s="27" t="str">
        <f>"11.07"</f>
        <v>11.07</v>
      </c>
      <c r="C291" s="64" t="s">
        <v>2660</v>
      </c>
      <c r="D291" s="27" t="s">
        <v>2229</v>
      </c>
      <c r="E291" s="27" t="s">
        <v>2232</v>
      </c>
      <c r="F291" s="27" t="str">
        <f>"11.07"</f>
        <v>11.07</v>
      </c>
      <c r="G291" s="27" t="s">
        <v>2660</v>
      </c>
      <c r="H291" s="65" t="str">
        <f t="shared" si="12"/>
        <v>No Change</v>
      </c>
      <c r="I291" s="65" t="str">
        <f t="shared" si="13"/>
        <v/>
      </c>
      <c r="J291" s="65" t="str">
        <f t="shared" si="14"/>
        <v/>
      </c>
    </row>
    <row r="292" spans="1:10" x14ac:dyDescent="0.3">
      <c r="A292" s="27" t="s">
        <v>2661</v>
      </c>
      <c r="B292" s="27" t="str">
        <f>"11.0701"</f>
        <v>11.0701</v>
      </c>
      <c r="C292" s="64" t="s">
        <v>2660</v>
      </c>
      <c r="D292" s="27" t="s">
        <v>2229</v>
      </c>
      <c r="E292" s="27" t="s">
        <v>2232</v>
      </c>
      <c r="F292" s="27" t="str">
        <f>"11.0701"</f>
        <v>11.0701</v>
      </c>
      <c r="G292" s="27" t="s">
        <v>2660</v>
      </c>
      <c r="H292" s="65" t="str">
        <f t="shared" si="12"/>
        <v>No Change</v>
      </c>
      <c r="I292" s="65" t="str">
        <f t="shared" si="13"/>
        <v>110701</v>
      </c>
      <c r="J292" s="65" t="str">
        <f t="shared" si="14"/>
        <v>110701</v>
      </c>
    </row>
    <row r="293" spans="1:10" x14ac:dyDescent="0.3">
      <c r="A293" s="27" t="s">
        <v>1869</v>
      </c>
      <c r="B293" s="27" t="str">
        <f>"11.08"</f>
        <v>11.08</v>
      </c>
      <c r="C293" s="64" t="s">
        <v>2662</v>
      </c>
      <c r="D293" s="27" t="s">
        <v>2229</v>
      </c>
      <c r="E293" s="27" t="s">
        <v>2232</v>
      </c>
      <c r="F293" s="27" t="str">
        <f>"11.08"</f>
        <v>11.08</v>
      </c>
      <c r="G293" s="27" t="s">
        <v>2662</v>
      </c>
      <c r="H293" s="65" t="str">
        <f t="shared" si="12"/>
        <v>No Change</v>
      </c>
      <c r="I293" s="65" t="str">
        <f t="shared" si="13"/>
        <v/>
      </c>
      <c r="J293" s="65" t="str">
        <f t="shared" si="14"/>
        <v/>
      </c>
    </row>
    <row r="294" spans="1:10" ht="28.8" x14ac:dyDescent="0.3">
      <c r="A294" s="27" t="s">
        <v>115</v>
      </c>
      <c r="B294" s="27" t="str">
        <f>"11.0801"</f>
        <v>11.0801</v>
      </c>
      <c r="C294" s="64" t="s">
        <v>116</v>
      </c>
      <c r="D294" s="27" t="s">
        <v>2229</v>
      </c>
      <c r="E294" s="27" t="s">
        <v>2230</v>
      </c>
      <c r="F294" s="27" t="str">
        <f>"11.0801"</f>
        <v>11.0801</v>
      </c>
      <c r="G294" s="27" t="s">
        <v>116</v>
      </c>
      <c r="H294" s="65" t="str">
        <f t="shared" si="12"/>
        <v>No Change</v>
      </c>
      <c r="I294" s="65" t="str">
        <f t="shared" si="13"/>
        <v>110801</v>
      </c>
      <c r="J294" s="65" t="str">
        <f t="shared" si="14"/>
        <v>110801</v>
      </c>
    </row>
    <row r="295" spans="1:10" x14ac:dyDescent="0.3">
      <c r="A295" s="27" t="s">
        <v>1467</v>
      </c>
      <c r="B295" s="27" t="str">
        <f>"11.0802"</f>
        <v>11.0802</v>
      </c>
      <c r="C295" s="64" t="s">
        <v>1468</v>
      </c>
      <c r="D295" s="27" t="s">
        <v>2229</v>
      </c>
      <c r="E295" s="27" t="s">
        <v>2232</v>
      </c>
      <c r="F295" s="27" t="str">
        <f>"11.0802"</f>
        <v>11.0802</v>
      </c>
      <c r="G295" s="27" t="s">
        <v>1468</v>
      </c>
      <c r="H295" s="65" t="str">
        <f t="shared" si="12"/>
        <v>No Change</v>
      </c>
      <c r="I295" s="65" t="str">
        <f t="shared" si="13"/>
        <v>110802</v>
      </c>
      <c r="J295" s="65" t="str">
        <f t="shared" si="14"/>
        <v>110802</v>
      </c>
    </row>
    <row r="296" spans="1:10" x14ac:dyDescent="0.3">
      <c r="A296" s="27" t="s">
        <v>238</v>
      </c>
      <c r="B296" s="27" t="str">
        <f>"11.0803"</f>
        <v>11.0803</v>
      </c>
      <c r="C296" s="64" t="s">
        <v>239</v>
      </c>
      <c r="D296" s="27" t="s">
        <v>2229</v>
      </c>
      <c r="E296" s="27" t="s">
        <v>2232</v>
      </c>
      <c r="F296" s="27" t="str">
        <f>"11.0803"</f>
        <v>11.0803</v>
      </c>
      <c r="G296" s="27" t="s">
        <v>239</v>
      </c>
      <c r="H296" s="65" t="str">
        <f t="shared" si="12"/>
        <v>No Change</v>
      </c>
      <c r="I296" s="65" t="str">
        <f t="shared" si="13"/>
        <v>110803</v>
      </c>
      <c r="J296" s="65" t="str">
        <f t="shared" si="14"/>
        <v>110803</v>
      </c>
    </row>
    <row r="297" spans="1:10" x14ac:dyDescent="0.3">
      <c r="A297" s="27" t="s">
        <v>1471</v>
      </c>
      <c r="B297" s="27" t="str">
        <f>"11.0804"</f>
        <v>11.0804</v>
      </c>
      <c r="C297" s="64" t="s">
        <v>1472</v>
      </c>
      <c r="D297" s="27" t="s">
        <v>2229</v>
      </c>
      <c r="E297" s="27" t="s">
        <v>2232</v>
      </c>
      <c r="F297" s="27" t="str">
        <f>"11.0804"</f>
        <v>11.0804</v>
      </c>
      <c r="G297" s="27" t="s">
        <v>1472</v>
      </c>
      <c r="H297" s="65" t="str">
        <f t="shared" si="12"/>
        <v>No Change</v>
      </c>
      <c r="I297" s="65" t="str">
        <f t="shared" si="13"/>
        <v>110804</v>
      </c>
      <c r="J297" s="65" t="str">
        <f t="shared" si="14"/>
        <v>110804</v>
      </c>
    </row>
    <row r="298" spans="1:10" x14ac:dyDescent="0.3">
      <c r="A298" s="27" t="s">
        <v>2663</v>
      </c>
      <c r="B298" s="27" t="str">
        <f>"11.0899"</f>
        <v>11.0899</v>
      </c>
      <c r="C298" s="64" t="s">
        <v>2664</v>
      </c>
      <c r="D298" s="27" t="s">
        <v>2229</v>
      </c>
      <c r="E298" s="27" t="s">
        <v>2232</v>
      </c>
      <c r="F298" s="27" t="str">
        <f>"11.0899"</f>
        <v>11.0899</v>
      </c>
      <c r="G298" s="27" t="s">
        <v>2664</v>
      </c>
      <c r="H298" s="65" t="str">
        <f t="shared" si="12"/>
        <v>No Change</v>
      </c>
      <c r="I298" s="65" t="str">
        <f t="shared" si="13"/>
        <v>110899</v>
      </c>
      <c r="J298" s="65" t="str">
        <f t="shared" si="14"/>
        <v>110899</v>
      </c>
    </row>
    <row r="299" spans="1:10" x14ac:dyDescent="0.3">
      <c r="A299" s="27" t="s">
        <v>1869</v>
      </c>
      <c r="B299" s="27" t="str">
        <f>"11.09"</f>
        <v>11.09</v>
      </c>
      <c r="C299" s="64" t="s">
        <v>1478</v>
      </c>
      <c r="D299" s="27" t="s">
        <v>2229</v>
      </c>
      <c r="E299" s="27" t="s">
        <v>2232</v>
      </c>
      <c r="F299" s="27" t="str">
        <f>"11.09"</f>
        <v>11.09</v>
      </c>
      <c r="G299" s="27" t="s">
        <v>1478</v>
      </c>
      <c r="H299" s="65" t="str">
        <f t="shared" si="12"/>
        <v>No Change</v>
      </c>
      <c r="I299" s="65" t="str">
        <f t="shared" si="13"/>
        <v/>
      </c>
      <c r="J299" s="65" t="str">
        <f t="shared" si="14"/>
        <v/>
      </c>
    </row>
    <row r="300" spans="1:10" x14ac:dyDescent="0.3">
      <c r="A300" s="27" t="s">
        <v>1477</v>
      </c>
      <c r="B300" s="27" t="str">
        <f>"11.0901"</f>
        <v>11.0901</v>
      </c>
      <c r="C300" s="64" t="s">
        <v>1478</v>
      </c>
      <c r="D300" s="27" t="s">
        <v>2229</v>
      </c>
      <c r="E300" s="27" t="s">
        <v>2232</v>
      </c>
      <c r="F300" s="27" t="str">
        <f>"11.0901"</f>
        <v>11.0901</v>
      </c>
      <c r="G300" s="27" t="s">
        <v>1478</v>
      </c>
      <c r="H300" s="65" t="str">
        <f t="shared" si="12"/>
        <v>No Change</v>
      </c>
      <c r="I300" s="65" t="str">
        <f t="shared" si="13"/>
        <v>110901</v>
      </c>
      <c r="J300" s="65" t="str">
        <f t="shared" si="14"/>
        <v>110901</v>
      </c>
    </row>
    <row r="301" spans="1:10" x14ac:dyDescent="0.3">
      <c r="A301" s="27" t="s">
        <v>1869</v>
      </c>
      <c r="D301" s="27" t="s">
        <v>2255</v>
      </c>
      <c r="E301" s="27" t="s">
        <v>2232</v>
      </c>
      <c r="F301" s="27" t="str">
        <f>"11.0902"</f>
        <v>11.0902</v>
      </c>
      <c r="G301" s="27" t="s">
        <v>2665</v>
      </c>
      <c r="H301" s="65" t="str">
        <f t="shared" si="12"/>
        <v>Other</v>
      </c>
      <c r="I301" s="65" t="str">
        <f t="shared" si="13"/>
        <v/>
      </c>
      <c r="J301" s="65" t="str">
        <f t="shared" si="14"/>
        <v>110902</v>
      </c>
    </row>
    <row r="302" spans="1:10" x14ac:dyDescent="0.3">
      <c r="A302" s="27" t="s">
        <v>1869</v>
      </c>
      <c r="D302" s="27" t="s">
        <v>2255</v>
      </c>
      <c r="E302" s="27" t="s">
        <v>2232</v>
      </c>
      <c r="F302" s="27" t="str">
        <f>"11.0999"</f>
        <v>11.0999</v>
      </c>
      <c r="G302" s="27" t="s">
        <v>2666</v>
      </c>
      <c r="H302" s="65" t="str">
        <f t="shared" si="12"/>
        <v>Other</v>
      </c>
      <c r="I302" s="65" t="str">
        <f t="shared" si="13"/>
        <v/>
      </c>
      <c r="J302" s="65" t="str">
        <f t="shared" si="14"/>
        <v>110999</v>
      </c>
    </row>
    <row r="303" spans="1:10" ht="28.8" x14ac:dyDescent="0.3">
      <c r="A303" s="27" t="s">
        <v>1869</v>
      </c>
      <c r="B303" s="27" t="str">
        <f>"11.10"</f>
        <v>11.10</v>
      </c>
      <c r="C303" s="64" t="s">
        <v>2667</v>
      </c>
      <c r="D303" s="27" t="s">
        <v>2229</v>
      </c>
      <c r="E303" s="27" t="s">
        <v>2232</v>
      </c>
      <c r="F303" s="27" t="str">
        <f>"11.10"</f>
        <v>11.10</v>
      </c>
      <c r="G303" s="27" t="s">
        <v>2667</v>
      </c>
      <c r="H303" s="65" t="str">
        <f t="shared" si="12"/>
        <v>No Change</v>
      </c>
      <c r="I303" s="65" t="str">
        <f t="shared" si="13"/>
        <v/>
      </c>
      <c r="J303" s="65" t="str">
        <f t="shared" si="14"/>
        <v/>
      </c>
    </row>
    <row r="304" spans="1:10" x14ac:dyDescent="0.3">
      <c r="A304" s="27" t="s">
        <v>32</v>
      </c>
      <c r="B304" s="27" t="str">
        <f>"11.1001"</f>
        <v>11.1001</v>
      </c>
      <c r="C304" s="64" t="s">
        <v>33</v>
      </c>
      <c r="D304" s="27" t="s">
        <v>2229</v>
      </c>
      <c r="E304" s="27" t="s">
        <v>2232</v>
      </c>
      <c r="F304" s="27" t="str">
        <f>"11.1001"</f>
        <v>11.1001</v>
      </c>
      <c r="G304" s="27" t="s">
        <v>33</v>
      </c>
      <c r="H304" s="65" t="str">
        <f t="shared" si="12"/>
        <v>No Change</v>
      </c>
      <c r="I304" s="65" t="str">
        <f t="shared" si="13"/>
        <v>111001</v>
      </c>
      <c r="J304" s="65" t="str">
        <f t="shared" si="14"/>
        <v>111001</v>
      </c>
    </row>
    <row r="305" spans="1:10" x14ac:dyDescent="0.3">
      <c r="A305" s="27" t="s">
        <v>710</v>
      </c>
      <c r="B305" s="27" t="str">
        <f>"11.1002"</f>
        <v>11.1002</v>
      </c>
      <c r="C305" s="64" t="s">
        <v>711</v>
      </c>
      <c r="D305" s="27" t="s">
        <v>2229</v>
      </c>
      <c r="E305" s="27" t="s">
        <v>2232</v>
      </c>
      <c r="F305" s="27" t="str">
        <f>"11.1002"</f>
        <v>11.1002</v>
      </c>
      <c r="G305" s="27" t="s">
        <v>711</v>
      </c>
      <c r="H305" s="65" t="str">
        <f t="shared" si="12"/>
        <v>No Change</v>
      </c>
      <c r="I305" s="65" t="str">
        <f t="shared" si="13"/>
        <v>111002</v>
      </c>
      <c r="J305" s="65" t="str">
        <f t="shared" si="14"/>
        <v>111002</v>
      </c>
    </row>
    <row r="306" spans="1:10" ht="28.8" x14ac:dyDescent="0.3">
      <c r="A306" s="27" t="s">
        <v>504</v>
      </c>
      <c r="B306" s="27" t="str">
        <f>"11.1003"</f>
        <v>11.1003</v>
      </c>
      <c r="C306" s="64" t="s">
        <v>2668</v>
      </c>
      <c r="D306" s="27" t="s">
        <v>2229</v>
      </c>
      <c r="E306" s="27" t="s">
        <v>2230</v>
      </c>
      <c r="F306" s="27" t="str">
        <f>"11.1003"</f>
        <v>11.1003</v>
      </c>
      <c r="G306" s="27" t="s">
        <v>505</v>
      </c>
      <c r="H306" s="65" t="str">
        <f t="shared" si="12"/>
        <v>No Change</v>
      </c>
      <c r="I306" s="65" t="str">
        <f t="shared" si="13"/>
        <v>111003</v>
      </c>
      <c r="J306" s="65" t="str">
        <f t="shared" si="14"/>
        <v>111003</v>
      </c>
    </row>
    <row r="307" spans="1:10" x14ac:dyDescent="0.3">
      <c r="A307" s="27" t="s">
        <v>2669</v>
      </c>
      <c r="B307" s="27" t="str">
        <f>"11.1004"</f>
        <v>11.1004</v>
      </c>
      <c r="C307" s="64" t="s">
        <v>2670</v>
      </c>
      <c r="D307" s="27" t="s">
        <v>2229</v>
      </c>
      <c r="E307" s="27" t="s">
        <v>2232</v>
      </c>
      <c r="F307" s="27" t="str">
        <f>"11.1004"</f>
        <v>11.1004</v>
      </c>
      <c r="G307" s="27" t="s">
        <v>2670</v>
      </c>
      <c r="H307" s="65" t="str">
        <f t="shared" si="12"/>
        <v>No Change</v>
      </c>
      <c r="I307" s="65" t="str">
        <f t="shared" si="13"/>
        <v>111004</v>
      </c>
      <c r="J307" s="65" t="str">
        <f t="shared" si="14"/>
        <v>111004</v>
      </c>
    </row>
    <row r="308" spans="1:10" x14ac:dyDescent="0.3">
      <c r="A308" s="27" t="s">
        <v>752</v>
      </c>
      <c r="B308" s="27" t="str">
        <f>"11.1005"</f>
        <v>11.1005</v>
      </c>
      <c r="C308" s="64" t="s">
        <v>753</v>
      </c>
      <c r="D308" s="27" t="s">
        <v>2229</v>
      </c>
      <c r="E308" s="27" t="s">
        <v>2232</v>
      </c>
      <c r="F308" s="27" t="str">
        <f>"11.1005"</f>
        <v>11.1005</v>
      </c>
      <c r="G308" s="27" t="s">
        <v>753</v>
      </c>
      <c r="H308" s="65" t="str">
        <f t="shared" si="12"/>
        <v>No Change</v>
      </c>
      <c r="I308" s="65" t="str">
        <f t="shared" si="13"/>
        <v>111005</v>
      </c>
      <c r="J308" s="65" t="str">
        <f t="shared" si="14"/>
        <v>111005</v>
      </c>
    </row>
    <row r="309" spans="1:10" x14ac:dyDescent="0.3">
      <c r="A309" s="27" t="s">
        <v>2671</v>
      </c>
      <c r="B309" s="27" t="str">
        <f>"11.1006"</f>
        <v>11.1006</v>
      </c>
      <c r="C309" s="64" t="s">
        <v>2672</v>
      </c>
      <c r="D309" s="27" t="s">
        <v>2229</v>
      </c>
      <c r="E309" s="27" t="s">
        <v>2232</v>
      </c>
      <c r="F309" s="27" t="str">
        <f>"11.1006"</f>
        <v>11.1006</v>
      </c>
      <c r="G309" s="27" t="s">
        <v>2672</v>
      </c>
      <c r="H309" s="65" t="str">
        <f t="shared" si="12"/>
        <v>No Change</v>
      </c>
      <c r="I309" s="65" t="str">
        <f t="shared" si="13"/>
        <v>111006</v>
      </c>
      <c r="J309" s="65" t="str">
        <f t="shared" si="14"/>
        <v>111006</v>
      </c>
    </row>
    <row r="310" spans="1:10" ht="28.8" x14ac:dyDescent="0.3">
      <c r="A310" s="27" t="s">
        <v>2673</v>
      </c>
      <c r="B310" s="27" t="str">
        <f>"11.1099"</f>
        <v>11.1099</v>
      </c>
      <c r="C310" s="64" t="s">
        <v>2674</v>
      </c>
      <c r="D310" s="27" t="s">
        <v>2229</v>
      </c>
      <c r="E310" s="27" t="s">
        <v>2232</v>
      </c>
      <c r="F310" s="27" t="str">
        <f>"11.1099"</f>
        <v>11.1099</v>
      </c>
      <c r="G310" s="27" t="s">
        <v>2674</v>
      </c>
      <c r="H310" s="65" t="str">
        <f t="shared" si="12"/>
        <v>No Change</v>
      </c>
      <c r="I310" s="65" t="str">
        <f t="shared" si="13"/>
        <v>111099</v>
      </c>
      <c r="J310" s="65" t="str">
        <f t="shared" si="14"/>
        <v>111099</v>
      </c>
    </row>
    <row r="311" spans="1:10" ht="28.8" x14ac:dyDescent="0.3">
      <c r="A311" s="27" t="s">
        <v>1869</v>
      </c>
      <c r="B311" s="27" t="str">
        <f>"11.99"</f>
        <v>11.99</v>
      </c>
      <c r="C311" s="64" t="s">
        <v>2675</v>
      </c>
      <c r="D311" s="27" t="s">
        <v>2229</v>
      </c>
      <c r="E311" s="27" t="s">
        <v>2232</v>
      </c>
      <c r="F311" s="27" t="str">
        <f>"11.99"</f>
        <v>11.99</v>
      </c>
      <c r="G311" s="27" t="s">
        <v>2675</v>
      </c>
      <c r="H311" s="65" t="str">
        <f t="shared" si="12"/>
        <v>No Change</v>
      </c>
      <c r="I311" s="65" t="str">
        <f t="shared" si="13"/>
        <v/>
      </c>
      <c r="J311" s="65" t="str">
        <f t="shared" si="14"/>
        <v/>
      </c>
    </row>
    <row r="312" spans="1:10" ht="28.8" x14ac:dyDescent="0.3">
      <c r="A312" s="27" t="s">
        <v>2676</v>
      </c>
      <c r="B312" s="27" t="str">
        <f>"11.9999"</f>
        <v>11.9999</v>
      </c>
      <c r="C312" s="64" t="s">
        <v>2675</v>
      </c>
      <c r="D312" s="27" t="s">
        <v>2229</v>
      </c>
      <c r="E312" s="27" t="s">
        <v>2232</v>
      </c>
      <c r="F312" s="27" t="str">
        <f>"11.9999"</f>
        <v>11.9999</v>
      </c>
      <c r="G312" s="27" t="s">
        <v>2675</v>
      </c>
      <c r="H312" s="65" t="str">
        <f t="shared" si="12"/>
        <v>No Change</v>
      </c>
      <c r="I312" s="65" t="str">
        <f t="shared" si="13"/>
        <v>119999</v>
      </c>
      <c r="J312" s="65" t="str">
        <f t="shared" si="14"/>
        <v>119999</v>
      </c>
    </row>
    <row r="313" spans="1:10" x14ac:dyDescent="0.3">
      <c r="A313" s="27" t="s">
        <v>1869</v>
      </c>
      <c r="B313" s="27" t="str">
        <f>"12"</f>
        <v>12</v>
      </c>
      <c r="C313" s="64" t="s">
        <v>2677</v>
      </c>
      <c r="D313" s="27" t="s">
        <v>2229</v>
      </c>
      <c r="E313" s="27" t="s">
        <v>2230</v>
      </c>
      <c r="F313" s="27" t="str">
        <f>"12"</f>
        <v>12</v>
      </c>
      <c r="G313" s="27" t="s">
        <v>2678</v>
      </c>
      <c r="H313" s="65" t="str">
        <f t="shared" si="12"/>
        <v>No Change</v>
      </c>
      <c r="I313" s="65" t="str">
        <f t="shared" si="13"/>
        <v/>
      </c>
      <c r="J313" s="65" t="str">
        <f t="shared" si="14"/>
        <v/>
      </c>
    </row>
    <row r="314" spans="1:10" x14ac:dyDescent="0.3">
      <c r="A314" s="27" t="s">
        <v>1869</v>
      </c>
      <c r="B314" s="27" t="str">
        <f>"12.03"</f>
        <v>12.03</v>
      </c>
      <c r="C314" s="64" t="s">
        <v>2679</v>
      </c>
      <c r="D314" s="27" t="s">
        <v>2229</v>
      </c>
      <c r="E314" s="27" t="s">
        <v>2232</v>
      </c>
      <c r="F314" s="27" t="str">
        <f>"12.03"</f>
        <v>12.03</v>
      </c>
      <c r="G314" s="27" t="s">
        <v>2679</v>
      </c>
      <c r="H314" s="65" t="str">
        <f t="shared" si="12"/>
        <v>No Change</v>
      </c>
      <c r="I314" s="65" t="str">
        <f t="shared" si="13"/>
        <v/>
      </c>
      <c r="J314" s="65" t="str">
        <f t="shared" si="14"/>
        <v/>
      </c>
    </row>
    <row r="315" spans="1:10" x14ac:dyDescent="0.3">
      <c r="A315" s="27" t="s">
        <v>190</v>
      </c>
      <c r="B315" s="27" t="str">
        <f>"12.0301"</f>
        <v>12.0301</v>
      </c>
      <c r="C315" s="64" t="s">
        <v>191</v>
      </c>
      <c r="D315" s="27" t="s">
        <v>2229</v>
      </c>
      <c r="E315" s="27" t="s">
        <v>2232</v>
      </c>
      <c r="F315" s="27" t="str">
        <f>"12.0301"</f>
        <v>12.0301</v>
      </c>
      <c r="G315" s="27" t="s">
        <v>191</v>
      </c>
      <c r="H315" s="65" t="str">
        <f t="shared" si="12"/>
        <v>No Change</v>
      </c>
      <c r="I315" s="65" t="str">
        <f t="shared" si="13"/>
        <v>120301</v>
      </c>
      <c r="J315" s="65" t="str">
        <f t="shared" si="14"/>
        <v>120301</v>
      </c>
    </row>
    <row r="316" spans="1:10" x14ac:dyDescent="0.3">
      <c r="A316" s="27" t="s">
        <v>2680</v>
      </c>
      <c r="B316" s="27" t="str">
        <f>"12.0302"</f>
        <v>12.0302</v>
      </c>
      <c r="C316" s="64" t="s">
        <v>2681</v>
      </c>
      <c r="D316" s="27" t="s">
        <v>2229</v>
      </c>
      <c r="E316" s="27" t="s">
        <v>2232</v>
      </c>
      <c r="F316" s="27" t="str">
        <f>"12.0302"</f>
        <v>12.0302</v>
      </c>
      <c r="G316" s="27" t="s">
        <v>2681</v>
      </c>
      <c r="H316" s="65" t="str">
        <f t="shared" si="12"/>
        <v>No Change</v>
      </c>
      <c r="I316" s="65" t="str">
        <f t="shared" si="13"/>
        <v>120302</v>
      </c>
      <c r="J316" s="65" t="str">
        <f t="shared" si="14"/>
        <v>120302</v>
      </c>
    </row>
    <row r="317" spans="1:10" x14ac:dyDescent="0.3">
      <c r="A317" s="27" t="s">
        <v>2682</v>
      </c>
      <c r="B317" s="27" t="str">
        <f>"12.0303"</f>
        <v>12.0303</v>
      </c>
      <c r="C317" s="64" t="s">
        <v>2683</v>
      </c>
      <c r="D317" s="27" t="s">
        <v>2229</v>
      </c>
      <c r="E317" s="27" t="s">
        <v>2232</v>
      </c>
      <c r="F317" s="27" t="str">
        <f>"12.0303"</f>
        <v>12.0303</v>
      </c>
      <c r="G317" s="27" t="s">
        <v>2683</v>
      </c>
      <c r="H317" s="65" t="str">
        <f t="shared" si="12"/>
        <v>No Change</v>
      </c>
      <c r="I317" s="65" t="str">
        <f t="shared" si="13"/>
        <v>120303</v>
      </c>
      <c r="J317" s="65" t="str">
        <f t="shared" si="14"/>
        <v>120303</v>
      </c>
    </row>
    <row r="318" spans="1:10" x14ac:dyDescent="0.3">
      <c r="A318" s="27" t="s">
        <v>2684</v>
      </c>
      <c r="B318" s="27" t="str">
        <f>"12.0399"</f>
        <v>12.0399</v>
      </c>
      <c r="C318" s="64" t="s">
        <v>2685</v>
      </c>
      <c r="D318" s="27" t="s">
        <v>2229</v>
      </c>
      <c r="E318" s="27" t="s">
        <v>2232</v>
      </c>
      <c r="F318" s="27" t="str">
        <f>"12.0399"</f>
        <v>12.0399</v>
      </c>
      <c r="G318" s="27" t="s">
        <v>2685</v>
      </c>
      <c r="H318" s="65" t="str">
        <f t="shared" si="12"/>
        <v>No Change</v>
      </c>
      <c r="I318" s="65" t="str">
        <f t="shared" si="13"/>
        <v>120399</v>
      </c>
      <c r="J318" s="65" t="str">
        <f t="shared" si="14"/>
        <v>120399</v>
      </c>
    </row>
    <row r="319" spans="1:10" x14ac:dyDescent="0.3">
      <c r="A319" s="27" t="s">
        <v>1869</v>
      </c>
      <c r="B319" s="27" t="str">
        <f>"12.04"</f>
        <v>12.04</v>
      </c>
      <c r="C319" s="64" t="s">
        <v>2686</v>
      </c>
      <c r="D319" s="27" t="s">
        <v>2229</v>
      </c>
      <c r="E319" s="27" t="s">
        <v>2232</v>
      </c>
      <c r="F319" s="27" t="str">
        <f>"12.04"</f>
        <v>12.04</v>
      </c>
      <c r="G319" s="27" t="s">
        <v>2686</v>
      </c>
      <c r="H319" s="65" t="str">
        <f t="shared" si="12"/>
        <v>No Change</v>
      </c>
      <c r="I319" s="65" t="str">
        <f t="shared" si="13"/>
        <v/>
      </c>
      <c r="J319" s="65" t="str">
        <f t="shared" si="14"/>
        <v/>
      </c>
    </row>
    <row r="320" spans="1:10" x14ac:dyDescent="0.3">
      <c r="A320" s="27" t="s">
        <v>241</v>
      </c>
      <c r="B320" s="27" t="str">
        <f>"12.0401"</f>
        <v>12.0401</v>
      </c>
      <c r="C320" s="64" t="s">
        <v>242</v>
      </c>
      <c r="D320" s="27" t="s">
        <v>2229</v>
      </c>
      <c r="E320" s="27" t="s">
        <v>2232</v>
      </c>
      <c r="F320" s="27" t="str">
        <f>"12.0401"</f>
        <v>12.0401</v>
      </c>
      <c r="G320" s="27" t="s">
        <v>242</v>
      </c>
      <c r="H320" s="65" t="str">
        <f t="shared" si="12"/>
        <v>No Change</v>
      </c>
      <c r="I320" s="65" t="str">
        <f t="shared" si="13"/>
        <v>120401</v>
      </c>
      <c r="J320" s="65" t="str">
        <f t="shared" si="14"/>
        <v>120401</v>
      </c>
    </row>
    <row r="321" spans="1:10" x14ac:dyDescent="0.3">
      <c r="A321" s="27" t="s">
        <v>431</v>
      </c>
      <c r="B321" s="27" t="str">
        <f>"12.0402"</f>
        <v>12.0402</v>
      </c>
      <c r="C321" s="64" t="s">
        <v>432</v>
      </c>
      <c r="D321" s="27" t="s">
        <v>2229</v>
      </c>
      <c r="E321" s="27" t="s">
        <v>2232</v>
      </c>
      <c r="F321" s="27" t="str">
        <f>"12.0402"</f>
        <v>12.0402</v>
      </c>
      <c r="G321" s="27" t="s">
        <v>432</v>
      </c>
      <c r="H321" s="65" t="str">
        <f t="shared" si="12"/>
        <v>No Change</v>
      </c>
      <c r="I321" s="65" t="str">
        <f t="shared" si="13"/>
        <v>120402</v>
      </c>
      <c r="J321" s="65" t="str">
        <f t="shared" si="14"/>
        <v>120402</v>
      </c>
    </row>
    <row r="322" spans="1:10" x14ac:dyDescent="0.3">
      <c r="A322" s="27" t="s">
        <v>2687</v>
      </c>
      <c r="B322" s="27" t="str">
        <f>"12.0404"</f>
        <v>12.0404</v>
      </c>
      <c r="C322" s="64" t="s">
        <v>2688</v>
      </c>
      <c r="D322" s="27" t="s">
        <v>2229</v>
      </c>
      <c r="E322" s="27" t="s">
        <v>2232</v>
      </c>
      <c r="F322" s="27" t="str">
        <f>"12.0404"</f>
        <v>12.0404</v>
      </c>
      <c r="G322" s="27" t="s">
        <v>2688</v>
      </c>
      <c r="H322" s="65" t="str">
        <f t="shared" si="12"/>
        <v>No Change</v>
      </c>
      <c r="I322" s="65" t="str">
        <f t="shared" si="13"/>
        <v>120404</v>
      </c>
      <c r="J322" s="65" t="str">
        <f t="shared" si="14"/>
        <v>120404</v>
      </c>
    </row>
    <row r="323" spans="1:10" x14ac:dyDescent="0.3">
      <c r="A323" s="27" t="s">
        <v>2689</v>
      </c>
      <c r="B323" s="27" t="str">
        <f>"12.0406"</f>
        <v>12.0406</v>
      </c>
      <c r="C323" s="64" t="s">
        <v>2690</v>
      </c>
      <c r="D323" s="27" t="s">
        <v>2229</v>
      </c>
      <c r="E323" s="27" t="s">
        <v>2232</v>
      </c>
      <c r="F323" s="27" t="str">
        <f>"12.0406"</f>
        <v>12.0406</v>
      </c>
      <c r="G323" s="27" t="s">
        <v>2690</v>
      </c>
      <c r="H323" s="65" t="str">
        <f t="shared" ref="H323:H386" si="15">IF(I323=J323,"No Change","Other")</f>
        <v>No Change</v>
      </c>
      <c r="I323" s="65" t="str">
        <f t="shared" ref="I323:I386" si="16">SUBSTITUTE(IF(SUM(LEN(B323))&lt;7,"",B323),".","")</f>
        <v>120406</v>
      </c>
      <c r="J323" s="65" t="str">
        <f t="shared" ref="J323:J386" si="17">SUBSTITUTE(IF(SUM(LEN(F323))&lt;7,"",F323),".","")</f>
        <v>120406</v>
      </c>
    </row>
    <row r="324" spans="1:10" x14ac:dyDescent="0.3">
      <c r="A324" s="27" t="s">
        <v>2691</v>
      </c>
      <c r="B324" s="27" t="str">
        <f>"12.0407"</f>
        <v>12.0407</v>
      </c>
      <c r="C324" s="64" t="s">
        <v>2692</v>
      </c>
      <c r="D324" s="27" t="s">
        <v>2229</v>
      </c>
      <c r="E324" s="27" t="s">
        <v>2232</v>
      </c>
      <c r="F324" s="27" t="str">
        <f>"12.0407"</f>
        <v>12.0407</v>
      </c>
      <c r="G324" s="27" t="s">
        <v>2692</v>
      </c>
      <c r="H324" s="65" t="str">
        <f t="shared" si="15"/>
        <v>No Change</v>
      </c>
      <c r="I324" s="65" t="str">
        <f t="shared" si="16"/>
        <v>120407</v>
      </c>
      <c r="J324" s="65" t="str">
        <f t="shared" si="17"/>
        <v>120407</v>
      </c>
    </row>
    <row r="325" spans="1:10" x14ac:dyDescent="0.3">
      <c r="A325" s="27" t="s">
        <v>244</v>
      </c>
      <c r="B325" s="27" t="str">
        <f>"12.0408"</f>
        <v>12.0408</v>
      </c>
      <c r="C325" s="64" t="s">
        <v>245</v>
      </c>
      <c r="D325" s="27" t="s">
        <v>2229</v>
      </c>
      <c r="E325" s="27" t="s">
        <v>2232</v>
      </c>
      <c r="F325" s="27" t="str">
        <f>"12.0408"</f>
        <v>12.0408</v>
      </c>
      <c r="G325" s="27" t="s">
        <v>245</v>
      </c>
      <c r="H325" s="65" t="str">
        <f t="shared" si="15"/>
        <v>No Change</v>
      </c>
      <c r="I325" s="65" t="str">
        <f t="shared" si="16"/>
        <v>120408</v>
      </c>
      <c r="J325" s="65" t="str">
        <f t="shared" si="17"/>
        <v>120408</v>
      </c>
    </row>
    <row r="326" spans="1:10" x14ac:dyDescent="0.3">
      <c r="A326" s="27" t="s">
        <v>713</v>
      </c>
      <c r="B326" s="27" t="str">
        <f>"12.0409"</f>
        <v>12.0409</v>
      </c>
      <c r="C326" s="64" t="s">
        <v>714</v>
      </c>
      <c r="D326" s="27" t="s">
        <v>2229</v>
      </c>
      <c r="E326" s="27" t="s">
        <v>2232</v>
      </c>
      <c r="F326" s="27" t="str">
        <f>"12.0409"</f>
        <v>12.0409</v>
      </c>
      <c r="G326" s="27" t="s">
        <v>714</v>
      </c>
      <c r="H326" s="65" t="str">
        <f t="shared" si="15"/>
        <v>No Change</v>
      </c>
      <c r="I326" s="65" t="str">
        <f t="shared" si="16"/>
        <v>120409</v>
      </c>
      <c r="J326" s="65" t="str">
        <f t="shared" si="17"/>
        <v>120409</v>
      </c>
    </row>
    <row r="327" spans="1:10" x14ac:dyDescent="0.3">
      <c r="A327" s="27" t="s">
        <v>716</v>
      </c>
      <c r="B327" s="27" t="str">
        <f>"12.0410"</f>
        <v>12.0410</v>
      </c>
      <c r="C327" s="64" t="s">
        <v>717</v>
      </c>
      <c r="D327" s="27" t="s">
        <v>2229</v>
      </c>
      <c r="E327" s="27" t="s">
        <v>2232</v>
      </c>
      <c r="F327" s="27" t="str">
        <f>"12.0410"</f>
        <v>12.0410</v>
      </c>
      <c r="G327" s="27" t="s">
        <v>717</v>
      </c>
      <c r="H327" s="65" t="str">
        <f t="shared" si="15"/>
        <v>No Change</v>
      </c>
      <c r="I327" s="65" t="str">
        <f t="shared" si="16"/>
        <v>120410</v>
      </c>
      <c r="J327" s="65" t="str">
        <f t="shared" si="17"/>
        <v>120410</v>
      </c>
    </row>
    <row r="328" spans="1:10" x14ac:dyDescent="0.3">
      <c r="A328" s="27" t="s">
        <v>2693</v>
      </c>
      <c r="B328" s="27" t="str">
        <f>"12.0411"</f>
        <v>12.0411</v>
      </c>
      <c r="C328" s="64" t="s">
        <v>2694</v>
      </c>
      <c r="D328" s="27" t="s">
        <v>2229</v>
      </c>
      <c r="E328" s="27" t="s">
        <v>2232</v>
      </c>
      <c r="F328" s="27" t="str">
        <f>"12.0411"</f>
        <v>12.0411</v>
      </c>
      <c r="G328" s="27" t="s">
        <v>2694</v>
      </c>
      <c r="H328" s="65" t="str">
        <f t="shared" si="15"/>
        <v>No Change</v>
      </c>
      <c r="I328" s="65" t="str">
        <f t="shared" si="16"/>
        <v>120411</v>
      </c>
      <c r="J328" s="65" t="str">
        <f t="shared" si="17"/>
        <v>120411</v>
      </c>
    </row>
    <row r="329" spans="1:10" x14ac:dyDescent="0.3">
      <c r="A329" s="27" t="s">
        <v>2695</v>
      </c>
      <c r="B329" s="27" t="str">
        <f>"12.0412"</f>
        <v>12.0412</v>
      </c>
      <c r="C329" s="64" t="s">
        <v>2696</v>
      </c>
      <c r="D329" s="27" t="s">
        <v>2229</v>
      </c>
      <c r="E329" s="27" t="s">
        <v>2232</v>
      </c>
      <c r="F329" s="27" t="str">
        <f>"12.0412"</f>
        <v>12.0412</v>
      </c>
      <c r="G329" s="27" t="s">
        <v>2696</v>
      </c>
      <c r="H329" s="65" t="str">
        <f t="shared" si="15"/>
        <v>No Change</v>
      </c>
      <c r="I329" s="65" t="str">
        <f t="shared" si="16"/>
        <v>120412</v>
      </c>
      <c r="J329" s="65" t="str">
        <f t="shared" si="17"/>
        <v>120412</v>
      </c>
    </row>
    <row r="330" spans="1:10" x14ac:dyDescent="0.3">
      <c r="A330" s="27" t="s">
        <v>2697</v>
      </c>
      <c r="B330" s="27" t="str">
        <f>"12.0413"</f>
        <v>12.0413</v>
      </c>
      <c r="C330" s="64" t="s">
        <v>2698</v>
      </c>
      <c r="D330" s="27" t="s">
        <v>2229</v>
      </c>
      <c r="E330" s="27" t="s">
        <v>2232</v>
      </c>
      <c r="F330" s="27" t="str">
        <f>"12.0413"</f>
        <v>12.0413</v>
      </c>
      <c r="G330" s="27" t="s">
        <v>2698</v>
      </c>
      <c r="H330" s="65" t="str">
        <f t="shared" si="15"/>
        <v>No Change</v>
      </c>
      <c r="I330" s="65" t="str">
        <f t="shared" si="16"/>
        <v>120413</v>
      </c>
      <c r="J330" s="65" t="str">
        <f t="shared" si="17"/>
        <v>120413</v>
      </c>
    </row>
    <row r="331" spans="1:10" x14ac:dyDescent="0.3">
      <c r="A331" s="27" t="s">
        <v>2699</v>
      </c>
      <c r="B331" s="27" t="str">
        <f>"12.0414"</f>
        <v>12.0414</v>
      </c>
      <c r="C331" s="64" t="s">
        <v>2700</v>
      </c>
      <c r="D331" s="27" t="s">
        <v>2229</v>
      </c>
      <c r="E331" s="27" t="s">
        <v>2232</v>
      </c>
      <c r="F331" s="27" t="str">
        <f>"12.0414"</f>
        <v>12.0414</v>
      </c>
      <c r="G331" s="27" t="s">
        <v>2700</v>
      </c>
      <c r="H331" s="65" t="str">
        <f t="shared" si="15"/>
        <v>No Change</v>
      </c>
      <c r="I331" s="65" t="str">
        <f t="shared" si="16"/>
        <v>120414</v>
      </c>
      <c r="J331" s="65" t="str">
        <f t="shared" si="17"/>
        <v>120414</v>
      </c>
    </row>
    <row r="332" spans="1:10" x14ac:dyDescent="0.3">
      <c r="A332" s="27" t="s">
        <v>2701</v>
      </c>
      <c r="B332" s="27" t="str">
        <f>"12.0499"</f>
        <v>12.0499</v>
      </c>
      <c r="C332" s="64" t="s">
        <v>2702</v>
      </c>
      <c r="D332" s="27" t="s">
        <v>2229</v>
      </c>
      <c r="E332" s="27" t="s">
        <v>2232</v>
      </c>
      <c r="F332" s="27" t="str">
        <f>"12.0499"</f>
        <v>12.0499</v>
      </c>
      <c r="G332" s="27" t="s">
        <v>2702</v>
      </c>
      <c r="H332" s="65" t="str">
        <f t="shared" si="15"/>
        <v>No Change</v>
      </c>
      <c r="I332" s="65" t="str">
        <f t="shared" si="16"/>
        <v>120499</v>
      </c>
      <c r="J332" s="65" t="str">
        <f t="shared" si="17"/>
        <v>120499</v>
      </c>
    </row>
    <row r="333" spans="1:10" x14ac:dyDescent="0.3">
      <c r="A333" s="27" t="s">
        <v>1869</v>
      </c>
      <c r="B333" s="27" t="str">
        <f>"12.05"</f>
        <v>12.05</v>
      </c>
      <c r="C333" s="64" t="s">
        <v>2703</v>
      </c>
      <c r="D333" s="27" t="s">
        <v>2229</v>
      </c>
      <c r="E333" s="27" t="s">
        <v>2232</v>
      </c>
      <c r="F333" s="27" t="str">
        <f>"12.05"</f>
        <v>12.05</v>
      </c>
      <c r="G333" s="27" t="s">
        <v>2703</v>
      </c>
      <c r="H333" s="65" t="str">
        <f t="shared" si="15"/>
        <v>No Change</v>
      </c>
      <c r="I333" s="65" t="str">
        <f t="shared" si="16"/>
        <v/>
      </c>
      <c r="J333" s="65" t="str">
        <f t="shared" si="17"/>
        <v/>
      </c>
    </row>
    <row r="334" spans="1:10" x14ac:dyDescent="0.3">
      <c r="A334" s="27" t="s">
        <v>2704</v>
      </c>
      <c r="B334" s="27" t="str">
        <f>"12.0500"</f>
        <v>12.0500</v>
      </c>
      <c r="C334" s="64" t="s">
        <v>2705</v>
      </c>
      <c r="D334" s="27" t="s">
        <v>2229</v>
      </c>
      <c r="E334" s="27" t="s">
        <v>2232</v>
      </c>
      <c r="F334" s="27" t="str">
        <f>"12.0500"</f>
        <v>12.0500</v>
      </c>
      <c r="G334" s="27" t="s">
        <v>2705</v>
      </c>
      <c r="H334" s="65" t="str">
        <f t="shared" si="15"/>
        <v>No Change</v>
      </c>
      <c r="I334" s="65" t="str">
        <f t="shared" si="16"/>
        <v>120500</v>
      </c>
      <c r="J334" s="65" t="str">
        <f t="shared" si="17"/>
        <v>120500</v>
      </c>
    </row>
    <row r="335" spans="1:10" x14ac:dyDescent="0.3">
      <c r="A335" s="27" t="s">
        <v>434</v>
      </c>
      <c r="B335" s="27" t="str">
        <f>"12.0501"</f>
        <v>12.0501</v>
      </c>
      <c r="C335" s="64" t="s">
        <v>435</v>
      </c>
      <c r="D335" s="27" t="s">
        <v>2229</v>
      </c>
      <c r="E335" s="27" t="s">
        <v>2232</v>
      </c>
      <c r="F335" s="27" t="str">
        <f>"12.0501"</f>
        <v>12.0501</v>
      </c>
      <c r="G335" s="27" t="s">
        <v>435</v>
      </c>
      <c r="H335" s="65" t="str">
        <f t="shared" si="15"/>
        <v>No Change</v>
      </c>
      <c r="I335" s="65" t="str">
        <f t="shared" si="16"/>
        <v>120501</v>
      </c>
      <c r="J335" s="65" t="str">
        <f t="shared" si="17"/>
        <v>120501</v>
      </c>
    </row>
    <row r="336" spans="1:10" x14ac:dyDescent="0.3">
      <c r="A336" s="27" t="s">
        <v>2706</v>
      </c>
      <c r="B336" s="27" t="str">
        <f>"12.0502"</f>
        <v>12.0502</v>
      </c>
      <c r="C336" s="64" t="s">
        <v>2707</v>
      </c>
      <c r="D336" s="27" t="s">
        <v>2229</v>
      </c>
      <c r="E336" s="27" t="s">
        <v>2232</v>
      </c>
      <c r="F336" s="27" t="str">
        <f>"12.0502"</f>
        <v>12.0502</v>
      </c>
      <c r="G336" s="27" t="s">
        <v>2707</v>
      </c>
      <c r="H336" s="65" t="str">
        <f t="shared" si="15"/>
        <v>No Change</v>
      </c>
      <c r="I336" s="65" t="str">
        <f t="shared" si="16"/>
        <v>120502</v>
      </c>
      <c r="J336" s="65" t="str">
        <f t="shared" si="17"/>
        <v>120502</v>
      </c>
    </row>
    <row r="337" spans="1:10" x14ac:dyDescent="0.3">
      <c r="A337" s="27" t="s">
        <v>47</v>
      </c>
      <c r="B337" s="27" t="str">
        <f>"12.0503"</f>
        <v>12.0503</v>
      </c>
      <c r="C337" s="64" t="s">
        <v>48</v>
      </c>
      <c r="D337" s="27" t="s">
        <v>2229</v>
      </c>
      <c r="E337" s="27" t="s">
        <v>2232</v>
      </c>
      <c r="F337" s="27" t="str">
        <f>"12.0503"</f>
        <v>12.0503</v>
      </c>
      <c r="G337" s="27" t="s">
        <v>48</v>
      </c>
      <c r="H337" s="65" t="str">
        <f t="shared" si="15"/>
        <v>No Change</v>
      </c>
      <c r="I337" s="65" t="str">
        <f t="shared" si="16"/>
        <v>120503</v>
      </c>
      <c r="J337" s="65" t="str">
        <f t="shared" si="17"/>
        <v>120503</v>
      </c>
    </row>
    <row r="338" spans="1:10" x14ac:dyDescent="0.3">
      <c r="A338" s="27" t="s">
        <v>118</v>
      </c>
      <c r="B338" s="27" t="str">
        <f>"12.0504"</f>
        <v>12.0504</v>
      </c>
      <c r="C338" s="64" t="s">
        <v>119</v>
      </c>
      <c r="D338" s="27" t="s">
        <v>2229</v>
      </c>
      <c r="E338" s="27" t="s">
        <v>2232</v>
      </c>
      <c r="F338" s="27" t="str">
        <f>"12.0504"</f>
        <v>12.0504</v>
      </c>
      <c r="G338" s="27" t="s">
        <v>119</v>
      </c>
      <c r="H338" s="65" t="str">
        <f t="shared" si="15"/>
        <v>No Change</v>
      </c>
      <c r="I338" s="65" t="str">
        <f t="shared" si="16"/>
        <v>120504</v>
      </c>
      <c r="J338" s="65" t="str">
        <f t="shared" si="17"/>
        <v>120504</v>
      </c>
    </row>
    <row r="339" spans="1:10" x14ac:dyDescent="0.3">
      <c r="A339" s="27" t="s">
        <v>1841</v>
      </c>
      <c r="B339" s="27" t="str">
        <f>"12.0505"</f>
        <v>12.0505</v>
      </c>
      <c r="C339" s="64" t="s">
        <v>2708</v>
      </c>
      <c r="D339" s="27" t="s">
        <v>2229</v>
      </c>
      <c r="E339" s="27" t="s">
        <v>2232</v>
      </c>
      <c r="F339" s="27" t="str">
        <f>"12.0505"</f>
        <v>12.0505</v>
      </c>
      <c r="G339" s="27" t="s">
        <v>2708</v>
      </c>
      <c r="H339" s="65" t="str">
        <f t="shared" si="15"/>
        <v>No Change</v>
      </c>
      <c r="I339" s="65" t="str">
        <f t="shared" si="16"/>
        <v>120505</v>
      </c>
      <c r="J339" s="65" t="str">
        <f t="shared" si="17"/>
        <v>120505</v>
      </c>
    </row>
    <row r="340" spans="1:10" x14ac:dyDescent="0.3">
      <c r="A340" s="27" t="s">
        <v>2709</v>
      </c>
      <c r="B340" s="27" t="str">
        <f>"12.0506"</f>
        <v>12.0506</v>
      </c>
      <c r="C340" s="64" t="s">
        <v>2710</v>
      </c>
      <c r="D340" s="27" t="s">
        <v>2229</v>
      </c>
      <c r="E340" s="27" t="s">
        <v>2232</v>
      </c>
      <c r="F340" s="27" t="str">
        <f>"12.0506"</f>
        <v>12.0506</v>
      </c>
      <c r="G340" s="27" t="s">
        <v>2710</v>
      </c>
      <c r="H340" s="65" t="str">
        <f t="shared" si="15"/>
        <v>No Change</v>
      </c>
      <c r="I340" s="65" t="str">
        <f t="shared" si="16"/>
        <v>120506</v>
      </c>
      <c r="J340" s="65" t="str">
        <f t="shared" si="17"/>
        <v>120506</v>
      </c>
    </row>
    <row r="341" spans="1:10" ht="28.8" x14ac:dyDescent="0.3">
      <c r="A341" s="27" t="s">
        <v>2711</v>
      </c>
      <c r="B341" s="27" t="str">
        <f>"12.0507"</f>
        <v>12.0507</v>
      </c>
      <c r="C341" s="64" t="s">
        <v>2712</v>
      </c>
      <c r="D341" s="27" t="s">
        <v>2229</v>
      </c>
      <c r="E341" s="27" t="s">
        <v>2232</v>
      </c>
      <c r="F341" s="27" t="str">
        <f>"12.0507"</f>
        <v>12.0507</v>
      </c>
      <c r="G341" s="27" t="s">
        <v>2712</v>
      </c>
      <c r="H341" s="65" t="str">
        <f t="shared" si="15"/>
        <v>No Change</v>
      </c>
      <c r="I341" s="65" t="str">
        <f t="shared" si="16"/>
        <v>120507</v>
      </c>
      <c r="J341" s="65" t="str">
        <f t="shared" si="17"/>
        <v>120507</v>
      </c>
    </row>
    <row r="342" spans="1:10" x14ac:dyDescent="0.3">
      <c r="A342" s="27" t="s">
        <v>2713</v>
      </c>
      <c r="B342" s="27" t="str">
        <f>"12.0508"</f>
        <v>12.0508</v>
      </c>
      <c r="C342" s="64" t="s">
        <v>2714</v>
      </c>
      <c r="D342" s="27" t="s">
        <v>2229</v>
      </c>
      <c r="E342" s="27" t="s">
        <v>2232</v>
      </c>
      <c r="F342" s="27" t="str">
        <f>"12.0508"</f>
        <v>12.0508</v>
      </c>
      <c r="G342" s="27" t="s">
        <v>2714</v>
      </c>
      <c r="H342" s="65" t="str">
        <f t="shared" si="15"/>
        <v>No Change</v>
      </c>
      <c r="I342" s="65" t="str">
        <f t="shared" si="16"/>
        <v>120508</v>
      </c>
      <c r="J342" s="65" t="str">
        <f t="shared" si="17"/>
        <v>120508</v>
      </c>
    </row>
    <row r="343" spans="1:10" x14ac:dyDescent="0.3">
      <c r="A343" s="27" t="s">
        <v>2715</v>
      </c>
      <c r="B343" s="27" t="str">
        <f>"12.0509"</f>
        <v>12.0509</v>
      </c>
      <c r="C343" s="64" t="s">
        <v>2716</v>
      </c>
      <c r="D343" s="27" t="s">
        <v>2229</v>
      </c>
      <c r="E343" s="27" t="s">
        <v>2232</v>
      </c>
      <c r="F343" s="27" t="str">
        <f>"12.0509"</f>
        <v>12.0509</v>
      </c>
      <c r="G343" s="27" t="s">
        <v>2716</v>
      </c>
      <c r="H343" s="65" t="str">
        <f t="shared" si="15"/>
        <v>No Change</v>
      </c>
      <c r="I343" s="65" t="str">
        <f t="shared" si="16"/>
        <v>120509</v>
      </c>
      <c r="J343" s="65" t="str">
        <f t="shared" si="17"/>
        <v>120509</v>
      </c>
    </row>
    <row r="344" spans="1:10" x14ac:dyDescent="0.3">
      <c r="A344" s="27" t="s">
        <v>2717</v>
      </c>
      <c r="B344" s="27" t="str">
        <f>"12.0510"</f>
        <v>12.0510</v>
      </c>
      <c r="C344" s="64" t="s">
        <v>2718</v>
      </c>
      <c r="D344" s="27" t="s">
        <v>2229</v>
      </c>
      <c r="E344" s="27" t="s">
        <v>2232</v>
      </c>
      <c r="F344" s="27" t="str">
        <f>"12.0510"</f>
        <v>12.0510</v>
      </c>
      <c r="G344" s="27" t="s">
        <v>2718</v>
      </c>
      <c r="H344" s="65" t="str">
        <f t="shared" si="15"/>
        <v>No Change</v>
      </c>
      <c r="I344" s="65" t="str">
        <f t="shared" si="16"/>
        <v>120510</v>
      </c>
      <c r="J344" s="65" t="str">
        <f t="shared" si="17"/>
        <v>120510</v>
      </c>
    </row>
    <row r="345" spans="1:10" x14ac:dyDescent="0.3">
      <c r="A345" s="27" t="s">
        <v>2719</v>
      </c>
      <c r="B345" s="27" t="str">
        <f>"12.0599"</f>
        <v>12.0599</v>
      </c>
      <c r="C345" s="64" t="s">
        <v>2720</v>
      </c>
      <c r="D345" s="27" t="s">
        <v>2229</v>
      </c>
      <c r="E345" s="27" t="s">
        <v>2232</v>
      </c>
      <c r="F345" s="27" t="str">
        <f>"12.0599"</f>
        <v>12.0599</v>
      </c>
      <c r="G345" s="27" t="s">
        <v>2720</v>
      </c>
      <c r="H345" s="65" t="str">
        <f t="shared" si="15"/>
        <v>No Change</v>
      </c>
      <c r="I345" s="65" t="str">
        <f t="shared" si="16"/>
        <v>120599</v>
      </c>
      <c r="J345" s="65" t="str">
        <f t="shared" si="17"/>
        <v>120599</v>
      </c>
    </row>
    <row r="346" spans="1:10" x14ac:dyDescent="0.3">
      <c r="A346" s="27" t="s">
        <v>1869</v>
      </c>
      <c r="D346" s="27" t="s">
        <v>2255</v>
      </c>
      <c r="E346" s="27" t="s">
        <v>2232</v>
      </c>
      <c r="F346" s="27" t="str">
        <f>"12.06"</f>
        <v>12.06</v>
      </c>
      <c r="G346" s="27" t="s">
        <v>2721</v>
      </c>
      <c r="H346" s="65" t="str">
        <f t="shared" si="15"/>
        <v>No Change</v>
      </c>
      <c r="I346" s="65" t="str">
        <f t="shared" si="16"/>
        <v/>
      </c>
      <c r="J346" s="65" t="str">
        <f t="shared" si="17"/>
        <v/>
      </c>
    </row>
    <row r="347" spans="1:10" x14ac:dyDescent="0.3">
      <c r="A347" s="27" t="s">
        <v>1869</v>
      </c>
      <c r="D347" s="27" t="s">
        <v>2255</v>
      </c>
      <c r="E347" s="27" t="s">
        <v>2232</v>
      </c>
      <c r="F347" s="27" t="str">
        <f>"12.0601"</f>
        <v>12.0601</v>
      </c>
      <c r="G347" s="27" t="s">
        <v>2722</v>
      </c>
      <c r="H347" s="65" t="str">
        <f t="shared" si="15"/>
        <v>Other</v>
      </c>
      <c r="I347" s="65" t="str">
        <f t="shared" si="16"/>
        <v/>
      </c>
      <c r="J347" s="65" t="str">
        <f t="shared" si="17"/>
        <v>120601</v>
      </c>
    </row>
    <row r="348" spans="1:10" x14ac:dyDescent="0.3">
      <c r="A348" s="27" t="s">
        <v>1869</v>
      </c>
      <c r="D348" s="27" t="s">
        <v>2255</v>
      </c>
      <c r="E348" s="27" t="s">
        <v>2232</v>
      </c>
      <c r="F348" s="27" t="str">
        <f>"12.0602"</f>
        <v>12.0602</v>
      </c>
      <c r="G348" s="27" t="s">
        <v>2723</v>
      </c>
      <c r="H348" s="65" t="str">
        <f t="shared" si="15"/>
        <v>Other</v>
      </c>
      <c r="I348" s="65" t="str">
        <f t="shared" si="16"/>
        <v/>
      </c>
      <c r="J348" s="65" t="str">
        <f t="shared" si="17"/>
        <v>120602</v>
      </c>
    </row>
    <row r="349" spans="1:10" x14ac:dyDescent="0.3">
      <c r="A349" s="27" t="s">
        <v>1869</v>
      </c>
      <c r="D349" s="27" t="s">
        <v>2255</v>
      </c>
      <c r="E349" s="27" t="s">
        <v>2232</v>
      </c>
      <c r="F349" s="27" t="str">
        <f>"12.0699"</f>
        <v>12.0699</v>
      </c>
      <c r="G349" s="27" t="s">
        <v>2724</v>
      </c>
      <c r="H349" s="65" t="str">
        <f t="shared" si="15"/>
        <v>Other</v>
      </c>
      <c r="I349" s="65" t="str">
        <f t="shared" si="16"/>
        <v/>
      </c>
      <c r="J349" s="65" t="str">
        <f t="shared" si="17"/>
        <v>120699</v>
      </c>
    </row>
    <row r="350" spans="1:10" x14ac:dyDescent="0.3">
      <c r="A350" s="27" t="s">
        <v>1869</v>
      </c>
      <c r="B350" s="27" t="str">
        <f>"12.99"</f>
        <v>12.99</v>
      </c>
      <c r="C350" s="64" t="s">
        <v>2725</v>
      </c>
      <c r="D350" s="27" t="s">
        <v>2229</v>
      </c>
      <c r="E350" s="27" t="s">
        <v>2230</v>
      </c>
      <c r="F350" s="27" t="str">
        <f>"12.99"</f>
        <v>12.99</v>
      </c>
      <c r="G350" s="27" t="s">
        <v>2726</v>
      </c>
      <c r="H350" s="65" t="str">
        <f t="shared" si="15"/>
        <v>No Change</v>
      </c>
      <c r="I350" s="65" t="str">
        <f t="shared" si="16"/>
        <v/>
      </c>
      <c r="J350" s="65" t="str">
        <f t="shared" si="17"/>
        <v/>
      </c>
    </row>
    <row r="351" spans="1:10" x14ac:dyDescent="0.3">
      <c r="A351" s="27" t="s">
        <v>2727</v>
      </c>
      <c r="B351" s="27" t="str">
        <f>"12.9999"</f>
        <v>12.9999</v>
      </c>
      <c r="C351" s="64" t="s">
        <v>2725</v>
      </c>
      <c r="D351" s="27" t="s">
        <v>2229</v>
      </c>
      <c r="E351" s="27" t="s">
        <v>2230</v>
      </c>
      <c r="F351" s="27" t="str">
        <f>"12.9999"</f>
        <v>12.9999</v>
      </c>
      <c r="G351" s="27" t="s">
        <v>2726</v>
      </c>
      <c r="H351" s="65" t="str">
        <f t="shared" si="15"/>
        <v>No Change</v>
      </c>
      <c r="I351" s="65" t="str">
        <f t="shared" si="16"/>
        <v>129999</v>
      </c>
      <c r="J351" s="65" t="str">
        <f t="shared" si="17"/>
        <v>129999</v>
      </c>
    </row>
    <row r="352" spans="1:10" x14ac:dyDescent="0.3">
      <c r="A352" s="27" t="s">
        <v>1869</v>
      </c>
      <c r="B352" s="27" t="str">
        <f>"13"</f>
        <v>13</v>
      </c>
      <c r="C352" s="64" t="s">
        <v>2728</v>
      </c>
      <c r="D352" s="27" t="s">
        <v>2229</v>
      </c>
      <c r="E352" s="27" t="s">
        <v>2232</v>
      </c>
      <c r="F352" s="27" t="str">
        <f>"13"</f>
        <v>13</v>
      </c>
      <c r="G352" s="27" t="s">
        <v>2728</v>
      </c>
      <c r="H352" s="65" t="str">
        <f t="shared" si="15"/>
        <v>No Change</v>
      </c>
      <c r="I352" s="65" t="str">
        <f t="shared" si="16"/>
        <v/>
      </c>
      <c r="J352" s="65" t="str">
        <f t="shared" si="17"/>
        <v/>
      </c>
    </row>
    <row r="353" spans="1:10" x14ac:dyDescent="0.3">
      <c r="A353" s="27" t="s">
        <v>1869</v>
      </c>
      <c r="B353" s="27" t="str">
        <f>"13.01"</f>
        <v>13.01</v>
      </c>
      <c r="C353" s="64" t="s">
        <v>2729</v>
      </c>
      <c r="D353" s="27" t="s">
        <v>2229</v>
      </c>
      <c r="E353" s="27" t="s">
        <v>2232</v>
      </c>
      <c r="F353" s="27" t="str">
        <f>"13.01"</f>
        <v>13.01</v>
      </c>
      <c r="G353" s="27" t="s">
        <v>2729</v>
      </c>
      <c r="H353" s="65" t="str">
        <f t="shared" si="15"/>
        <v>No Change</v>
      </c>
      <c r="I353" s="65" t="str">
        <f t="shared" si="16"/>
        <v/>
      </c>
      <c r="J353" s="65" t="str">
        <f t="shared" si="17"/>
        <v/>
      </c>
    </row>
    <row r="354" spans="1:10" x14ac:dyDescent="0.3">
      <c r="A354" s="27" t="s">
        <v>2730</v>
      </c>
      <c r="B354" s="27" t="str">
        <f>"13.0101"</f>
        <v>13.0101</v>
      </c>
      <c r="C354" s="64" t="s">
        <v>2729</v>
      </c>
      <c r="D354" s="27" t="s">
        <v>2229</v>
      </c>
      <c r="E354" s="27" t="s">
        <v>2232</v>
      </c>
      <c r="F354" s="27" t="str">
        <f>"13.0101"</f>
        <v>13.0101</v>
      </c>
      <c r="G354" s="27" t="s">
        <v>2729</v>
      </c>
      <c r="H354" s="65" t="str">
        <f t="shared" si="15"/>
        <v>No Change</v>
      </c>
      <c r="I354" s="65" t="str">
        <f t="shared" si="16"/>
        <v>130101</v>
      </c>
      <c r="J354" s="65" t="str">
        <f t="shared" si="17"/>
        <v>130101</v>
      </c>
    </row>
    <row r="355" spans="1:10" x14ac:dyDescent="0.3">
      <c r="A355" s="27" t="s">
        <v>1869</v>
      </c>
      <c r="B355" s="27" t="str">
        <f>"13.02"</f>
        <v>13.02</v>
      </c>
      <c r="C355" s="64" t="s">
        <v>2731</v>
      </c>
      <c r="D355" s="27" t="s">
        <v>2229</v>
      </c>
      <c r="E355" s="27" t="s">
        <v>2232</v>
      </c>
      <c r="F355" s="27" t="str">
        <f>"13.02"</f>
        <v>13.02</v>
      </c>
      <c r="G355" s="27" t="s">
        <v>2731</v>
      </c>
      <c r="H355" s="65" t="str">
        <f t="shared" si="15"/>
        <v>No Change</v>
      </c>
      <c r="I355" s="65" t="str">
        <f t="shared" si="16"/>
        <v/>
      </c>
      <c r="J355" s="65" t="str">
        <f t="shared" si="17"/>
        <v/>
      </c>
    </row>
    <row r="356" spans="1:10" x14ac:dyDescent="0.3">
      <c r="A356" s="27" t="s">
        <v>2732</v>
      </c>
      <c r="B356" s="27" t="str">
        <f>"13.0201"</f>
        <v>13.0201</v>
      </c>
      <c r="C356" s="64" t="s">
        <v>2733</v>
      </c>
      <c r="D356" s="27" t="s">
        <v>2229</v>
      </c>
      <c r="E356" s="27" t="s">
        <v>2232</v>
      </c>
      <c r="F356" s="27" t="str">
        <f>"13.0201"</f>
        <v>13.0201</v>
      </c>
      <c r="G356" s="27" t="s">
        <v>2733</v>
      </c>
      <c r="H356" s="65" t="str">
        <f t="shared" si="15"/>
        <v>No Change</v>
      </c>
      <c r="I356" s="65" t="str">
        <f t="shared" si="16"/>
        <v>130201</v>
      </c>
      <c r="J356" s="65" t="str">
        <f t="shared" si="17"/>
        <v>130201</v>
      </c>
    </row>
    <row r="357" spans="1:10" x14ac:dyDescent="0.3">
      <c r="A357" s="27" t="s">
        <v>2734</v>
      </c>
      <c r="B357" s="27" t="str">
        <f>"13.0202"</f>
        <v>13.0202</v>
      </c>
      <c r="C357" s="64" t="s">
        <v>2735</v>
      </c>
      <c r="D357" s="27" t="s">
        <v>2229</v>
      </c>
      <c r="E357" s="27" t="s">
        <v>2232</v>
      </c>
      <c r="F357" s="27" t="str">
        <f>"13.0202"</f>
        <v>13.0202</v>
      </c>
      <c r="G357" s="27" t="s">
        <v>2735</v>
      </c>
      <c r="H357" s="65" t="str">
        <f t="shared" si="15"/>
        <v>No Change</v>
      </c>
      <c r="I357" s="65" t="str">
        <f t="shared" si="16"/>
        <v>130202</v>
      </c>
      <c r="J357" s="65" t="str">
        <f t="shared" si="17"/>
        <v>130202</v>
      </c>
    </row>
    <row r="358" spans="1:10" x14ac:dyDescent="0.3">
      <c r="A358" s="27" t="s">
        <v>2736</v>
      </c>
      <c r="B358" s="27" t="str">
        <f>"13.0203"</f>
        <v>13.0203</v>
      </c>
      <c r="C358" s="64" t="s">
        <v>2737</v>
      </c>
      <c r="D358" s="27" t="s">
        <v>2229</v>
      </c>
      <c r="E358" s="27" t="s">
        <v>2232</v>
      </c>
      <c r="F358" s="27" t="str">
        <f>"13.0203"</f>
        <v>13.0203</v>
      </c>
      <c r="G358" s="27" t="s">
        <v>2737</v>
      </c>
      <c r="H358" s="65" t="str">
        <f t="shared" si="15"/>
        <v>No Change</v>
      </c>
      <c r="I358" s="65" t="str">
        <f t="shared" si="16"/>
        <v>130203</v>
      </c>
      <c r="J358" s="65" t="str">
        <f t="shared" si="17"/>
        <v>130203</v>
      </c>
    </row>
    <row r="359" spans="1:10" x14ac:dyDescent="0.3">
      <c r="A359" s="27" t="s">
        <v>2738</v>
      </c>
      <c r="B359" s="27" t="str">
        <f>"13.0299"</f>
        <v>13.0299</v>
      </c>
      <c r="C359" s="64" t="s">
        <v>2739</v>
      </c>
      <c r="D359" s="27" t="s">
        <v>2229</v>
      </c>
      <c r="E359" s="27" t="s">
        <v>2232</v>
      </c>
      <c r="F359" s="27" t="str">
        <f>"13.0299"</f>
        <v>13.0299</v>
      </c>
      <c r="G359" s="27" t="s">
        <v>2739</v>
      </c>
      <c r="H359" s="65" t="str">
        <f t="shared" si="15"/>
        <v>No Change</v>
      </c>
      <c r="I359" s="65" t="str">
        <f t="shared" si="16"/>
        <v>130299</v>
      </c>
      <c r="J359" s="65" t="str">
        <f t="shared" si="17"/>
        <v>130299</v>
      </c>
    </row>
    <row r="360" spans="1:10" x14ac:dyDescent="0.3">
      <c r="A360" s="27" t="s">
        <v>1869</v>
      </c>
      <c r="B360" s="27" t="str">
        <f>"13.03"</f>
        <v>13.03</v>
      </c>
      <c r="C360" s="64" t="s">
        <v>2740</v>
      </c>
      <c r="D360" s="27" t="s">
        <v>2229</v>
      </c>
      <c r="E360" s="27" t="s">
        <v>2232</v>
      </c>
      <c r="F360" s="27" t="str">
        <f>"13.03"</f>
        <v>13.03</v>
      </c>
      <c r="G360" s="27" t="s">
        <v>2740</v>
      </c>
      <c r="H360" s="65" t="str">
        <f t="shared" si="15"/>
        <v>No Change</v>
      </c>
      <c r="I360" s="65" t="str">
        <f t="shared" si="16"/>
        <v/>
      </c>
      <c r="J360" s="65" t="str">
        <f t="shared" si="17"/>
        <v/>
      </c>
    </row>
    <row r="361" spans="1:10" x14ac:dyDescent="0.3">
      <c r="A361" s="27" t="s">
        <v>2741</v>
      </c>
      <c r="B361" s="27" t="str">
        <f>"13.0301"</f>
        <v>13.0301</v>
      </c>
      <c r="C361" s="64" t="s">
        <v>2740</v>
      </c>
      <c r="D361" s="27" t="s">
        <v>2229</v>
      </c>
      <c r="E361" s="27" t="s">
        <v>2232</v>
      </c>
      <c r="F361" s="27" t="str">
        <f>"13.0301"</f>
        <v>13.0301</v>
      </c>
      <c r="G361" s="27" t="s">
        <v>2740</v>
      </c>
      <c r="H361" s="65" t="str">
        <f t="shared" si="15"/>
        <v>No Change</v>
      </c>
      <c r="I361" s="65" t="str">
        <f t="shared" si="16"/>
        <v>130301</v>
      </c>
      <c r="J361" s="65" t="str">
        <f t="shared" si="17"/>
        <v>130301</v>
      </c>
    </row>
    <row r="362" spans="1:10" x14ac:dyDescent="0.3">
      <c r="A362" s="27" t="s">
        <v>1869</v>
      </c>
      <c r="B362" s="27" t="str">
        <f>"13.04"</f>
        <v>13.04</v>
      </c>
      <c r="C362" s="64" t="s">
        <v>2742</v>
      </c>
      <c r="D362" s="27" t="s">
        <v>2229</v>
      </c>
      <c r="E362" s="27" t="s">
        <v>2232</v>
      </c>
      <c r="F362" s="27" t="str">
        <f>"13.04"</f>
        <v>13.04</v>
      </c>
      <c r="G362" s="27" t="s">
        <v>2742</v>
      </c>
      <c r="H362" s="65" t="str">
        <f t="shared" si="15"/>
        <v>No Change</v>
      </c>
      <c r="I362" s="65" t="str">
        <f t="shared" si="16"/>
        <v/>
      </c>
      <c r="J362" s="65" t="str">
        <f t="shared" si="17"/>
        <v/>
      </c>
    </row>
    <row r="363" spans="1:10" x14ac:dyDescent="0.3">
      <c r="A363" s="27" t="s">
        <v>2743</v>
      </c>
      <c r="B363" s="27" t="str">
        <f>"13.0401"</f>
        <v>13.0401</v>
      </c>
      <c r="C363" s="64" t="s">
        <v>2744</v>
      </c>
      <c r="D363" s="27" t="s">
        <v>2229</v>
      </c>
      <c r="E363" s="27" t="s">
        <v>2232</v>
      </c>
      <c r="F363" s="27" t="str">
        <f>"13.0401"</f>
        <v>13.0401</v>
      </c>
      <c r="G363" s="27" t="s">
        <v>2744</v>
      </c>
      <c r="H363" s="65" t="str">
        <f t="shared" si="15"/>
        <v>No Change</v>
      </c>
      <c r="I363" s="65" t="str">
        <f t="shared" si="16"/>
        <v>130401</v>
      </c>
      <c r="J363" s="65" t="str">
        <f t="shared" si="17"/>
        <v>130401</v>
      </c>
    </row>
    <row r="364" spans="1:10" x14ac:dyDescent="0.3">
      <c r="A364" s="27" t="s">
        <v>2745</v>
      </c>
      <c r="B364" s="27" t="str">
        <f>"13.0402"</f>
        <v>13.0402</v>
      </c>
      <c r="C364" s="64" t="s">
        <v>2746</v>
      </c>
      <c r="D364" s="27" t="s">
        <v>2229</v>
      </c>
      <c r="E364" s="27" t="s">
        <v>2232</v>
      </c>
      <c r="F364" s="27" t="str">
        <f>"13.0402"</f>
        <v>13.0402</v>
      </c>
      <c r="G364" s="27" t="s">
        <v>2746</v>
      </c>
      <c r="H364" s="65" t="str">
        <f t="shared" si="15"/>
        <v>No Change</v>
      </c>
      <c r="I364" s="65" t="str">
        <f t="shared" si="16"/>
        <v>130402</v>
      </c>
      <c r="J364" s="65" t="str">
        <f t="shared" si="17"/>
        <v>130402</v>
      </c>
    </row>
    <row r="365" spans="1:10" x14ac:dyDescent="0.3">
      <c r="A365" s="27" t="s">
        <v>2747</v>
      </c>
      <c r="B365" s="27" t="str">
        <f>"13.0403"</f>
        <v>13.0403</v>
      </c>
      <c r="C365" s="64" t="s">
        <v>2748</v>
      </c>
      <c r="D365" s="27" t="s">
        <v>2229</v>
      </c>
      <c r="E365" s="27" t="s">
        <v>2232</v>
      </c>
      <c r="F365" s="27" t="str">
        <f>"13.0403"</f>
        <v>13.0403</v>
      </c>
      <c r="G365" s="27" t="s">
        <v>2748</v>
      </c>
      <c r="H365" s="65" t="str">
        <f t="shared" si="15"/>
        <v>No Change</v>
      </c>
      <c r="I365" s="65" t="str">
        <f t="shared" si="16"/>
        <v>130403</v>
      </c>
      <c r="J365" s="65" t="str">
        <f t="shared" si="17"/>
        <v>130403</v>
      </c>
    </row>
    <row r="366" spans="1:10" x14ac:dyDescent="0.3">
      <c r="A366" s="27" t="s">
        <v>2749</v>
      </c>
      <c r="B366" s="27" t="str">
        <f>"13.0404"</f>
        <v>13.0404</v>
      </c>
      <c r="C366" s="64" t="s">
        <v>2750</v>
      </c>
      <c r="D366" s="27" t="s">
        <v>2229</v>
      </c>
      <c r="E366" s="27" t="s">
        <v>2232</v>
      </c>
      <c r="F366" s="27" t="str">
        <f>"13.0404"</f>
        <v>13.0404</v>
      </c>
      <c r="G366" s="27" t="s">
        <v>2750</v>
      </c>
      <c r="H366" s="65" t="str">
        <f t="shared" si="15"/>
        <v>No Change</v>
      </c>
      <c r="I366" s="65" t="str">
        <f t="shared" si="16"/>
        <v>130404</v>
      </c>
      <c r="J366" s="65" t="str">
        <f t="shared" si="17"/>
        <v>130404</v>
      </c>
    </row>
    <row r="367" spans="1:10" x14ac:dyDescent="0.3">
      <c r="A367" s="27" t="s">
        <v>2751</v>
      </c>
      <c r="B367" s="27" t="str">
        <f>"13.0406"</f>
        <v>13.0406</v>
      </c>
      <c r="C367" s="64" t="s">
        <v>2752</v>
      </c>
      <c r="D367" s="27" t="s">
        <v>2229</v>
      </c>
      <c r="E367" s="27" t="s">
        <v>2232</v>
      </c>
      <c r="F367" s="27" t="str">
        <f>"13.0406"</f>
        <v>13.0406</v>
      </c>
      <c r="G367" s="27" t="s">
        <v>2752</v>
      </c>
      <c r="H367" s="65" t="str">
        <f t="shared" si="15"/>
        <v>No Change</v>
      </c>
      <c r="I367" s="65" t="str">
        <f t="shared" si="16"/>
        <v>130406</v>
      </c>
      <c r="J367" s="65" t="str">
        <f t="shared" si="17"/>
        <v>130406</v>
      </c>
    </row>
    <row r="368" spans="1:10" x14ac:dyDescent="0.3">
      <c r="A368" s="27" t="s">
        <v>2753</v>
      </c>
      <c r="B368" s="27" t="str">
        <f>"13.0407"</f>
        <v>13.0407</v>
      </c>
      <c r="C368" s="64" t="s">
        <v>2754</v>
      </c>
      <c r="D368" s="27" t="s">
        <v>2229</v>
      </c>
      <c r="E368" s="27" t="s">
        <v>2230</v>
      </c>
      <c r="F368" s="27" t="str">
        <f>"13.0407"</f>
        <v>13.0407</v>
      </c>
      <c r="G368" s="27" t="s">
        <v>2755</v>
      </c>
      <c r="H368" s="65" t="str">
        <f t="shared" si="15"/>
        <v>No Change</v>
      </c>
      <c r="I368" s="65" t="str">
        <f t="shared" si="16"/>
        <v>130407</v>
      </c>
      <c r="J368" s="65" t="str">
        <f t="shared" si="17"/>
        <v>130407</v>
      </c>
    </row>
    <row r="369" spans="1:10" x14ac:dyDescent="0.3">
      <c r="A369" s="27" t="s">
        <v>2756</v>
      </c>
      <c r="B369" s="27" t="str">
        <f>"13.0408"</f>
        <v>13.0408</v>
      </c>
      <c r="C369" s="64" t="s">
        <v>2757</v>
      </c>
      <c r="D369" s="27" t="s">
        <v>2229</v>
      </c>
      <c r="E369" s="27" t="s">
        <v>2232</v>
      </c>
      <c r="F369" s="27" t="str">
        <f>"13.0408"</f>
        <v>13.0408</v>
      </c>
      <c r="G369" s="27" t="s">
        <v>2757</v>
      </c>
      <c r="H369" s="65" t="str">
        <f t="shared" si="15"/>
        <v>No Change</v>
      </c>
      <c r="I369" s="65" t="str">
        <f t="shared" si="16"/>
        <v>130408</v>
      </c>
      <c r="J369" s="65" t="str">
        <f t="shared" si="17"/>
        <v>130408</v>
      </c>
    </row>
    <row r="370" spans="1:10" x14ac:dyDescent="0.3">
      <c r="A370" s="27" t="s">
        <v>2758</v>
      </c>
      <c r="B370" s="27" t="str">
        <f>"13.0409"</f>
        <v>13.0409</v>
      </c>
      <c r="C370" s="64" t="s">
        <v>2759</v>
      </c>
      <c r="D370" s="27" t="s">
        <v>2229</v>
      </c>
      <c r="E370" s="27" t="s">
        <v>2232</v>
      </c>
      <c r="F370" s="27" t="str">
        <f>"13.0409"</f>
        <v>13.0409</v>
      </c>
      <c r="G370" s="27" t="s">
        <v>2759</v>
      </c>
      <c r="H370" s="65" t="str">
        <f t="shared" si="15"/>
        <v>No Change</v>
      </c>
      <c r="I370" s="65" t="str">
        <f t="shared" si="16"/>
        <v>130409</v>
      </c>
      <c r="J370" s="65" t="str">
        <f t="shared" si="17"/>
        <v>130409</v>
      </c>
    </row>
    <row r="371" spans="1:10" x14ac:dyDescent="0.3">
      <c r="A371" s="27" t="s">
        <v>2760</v>
      </c>
      <c r="B371" s="27" t="str">
        <f>"13.0410"</f>
        <v>13.0410</v>
      </c>
      <c r="C371" s="64" t="s">
        <v>2761</v>
      </c>
      <c r="D371" s="27" t="s">
        <v>2229</v>
      </c>
      <c r="E371" s="27" t="s">
        <v>2232</v>
      </c>
      <c r="F371" s="27" t="str">
        <f>"13.0410"</f>
        <v>13.0410</v>
      </c>
      <c r="G371" s="27" t="s">
        <v>2761</v>
      </c>
      <c r="H371" s="65" t="str">
        <f t="shared" si="15"/>
        <v>No Change</v>
      </c>
      <c r="I371" s="65" t="str">
        <f t="shared" si="16"/>
        <v>130410</v>
      </c>
      <c r="J371" s="65" t="str">
        <f t="shared" si="17"/>
        <v>130410</v>
      </c>
    </row>
    <row r="372" spans="1:10" x14ac:dyDescent="0.3">
      <c r="A372" s="27" t="s">
        <v>2762</v>
      </c>
      <c r="B372" s="27" t="str">
        <f>"13.0411"</f>
        <v>13.0411</v>
      </c>
      <c r="C372" s="64" t="s">
        <v>2763</v>
      </c>
      <c r="D372" s="27" t="s">
        <v>2229</v>
      </c>
      <c r="E372" s="27" t="s">
        <v>2232</v>
      </c>
      <c r="F372" s="27" t="str">
        <f>"13.0411"</f>
        <v>13.0411</v>
      </c>
      <c r="G372" s="27" t="s">
        <v>2763</v>
      </c>
      <c r="H372" s="65" t="str">
        <f t="shared" si="15"/>
        <v>No Change</v>
      </c>
      <c r="I372" s="65" t="str">
        <f t="shared" si="16"/>
        <v>130411</v>
      </c>
      <c r="J372" s="65" t="str">
        <f t="shared" si="17"/>
        <v>130411</v>
      </c>
    </row>
    <row r="373" spans="1:10" x14ac:dyDescent="0.3">
      <c r="A373" s="27" t="s">
        <v>1869</v>
      </c>
      <c r="D373" s="27" t="s">
        <v>2255</v>
      </c>
      <c r="E373" s="27" t="s">
        <v>2232</v>
      </c>
      <c r="F373" s="27" t="str">
        <f>"13.0412"</f>
        <v>13.0412</v>
      </c>
      <c r="G373" s="27" t="s">
        <v>2764</v>
      </c>
      <c r="H373" s="65" t="str">
        <f t="shared" si="15"/>
        <v>Other</v>
      </c>
      <c r="I373" s="65" t="str">
        <f t="shared" si="16"/>
        <v/>
      </c>
      <c r="J373" s="65" t="str">
        <f t="shared" si="17"/>
        <v>130412</v>
      </c>
    </row>
    <row r="374" spans="1:10" x14ac:dyDescent="0.3">
      <c r="A374" s="27" t="s">
        <v>1869</v>
      </c>
      <c r="D374" s="27" t="s">
        <v>2255</v>
      </c>
      <c r="E374" s="27" t="s">
        <v>2232</v>
      </c>
      <c r="F374" s="27" t="str">
        <f>"13.0413"</f>
        <v>13.0413</v>
      </c>
      <c r="G374" s="27" t="s">
        <v>2765</v>
      </c>
      <c r="H374" s="65" t="str">
        <f t="shared" si="15"/>
        <v>Other</v>
      </c>
      <c r="I374" s="65" t="str">
        <f t="shared" si="16"/>
        <v/>
      </c>
      <c r="J374" s="65" t="str">
        <f t="shared" si="17"/>
        <v>130413</v>
      </c>
    </row>
    <row r="375" spans="1:10" x14ac:dyDescent="0.3">
      <c r="A375" s="27" t="s">
        <v>1869</v>
      </c>
      <c r="D375" s="27" t="s">
        <v>2255</v>
      </c>
      <c r="E375" s="27" t="s">
        <v>2232</v>
      </c>
      <c r="F375" s="27" t="str">
        <f>"13.0414"</f>
        <v>13.0414</v>
      </c>
      <c r="G375" s="27" t="s">
        <v>2766</v>
      </c>
      <c r="H375" s="65" t="str">
        <f t="shared" si="15"/>
        <v>Other</v>
      </c>
      <c r="I375" s="65" t="str">
        <f t="shared" si="16"/>
        <v/>
      </c>
      <c r="J375" s="65" t="str">
        <f t="shared" si="17"/>
        <v>130414</v>
      </c>
    </row>
    <row r="376" spans="1:10" x14ac:dyDescent="0.3">
      <c r="A376" s="27" t="s">
        <v>2767</v>
      </c>
      <c r="B376" s="27" t="str">
        <f>"13.0499"</f>
        <v>13.0499</v>
      </c>
      <c r="C376" s="64" t="s">
        <v>2768</v>
      </c>
      <c r="D376" s="27" t="s">
        <v>2229</v>
      </c>
      <c r="E376" s="27" t="s">
        <v>2232</v>
      </c>
      <c r="F376" s="27" t="str">
        <f>"13.0499"</f>
        <v>13.0499</v>
      </c>
      <c r="G376" s="27" t="s">
        <v>2768</v>
      </c>
      <c r="H376" s="65" t="str">
        <f t="shared" si="15"/>
        <v>No Change</v>
      </c>
      <c r="I376" s="65" t="str">
        <f t="shared" si="16"/>
        <v>130499</v>
      </c>
      <c r="J376" s="65" t="str">
        <f t="shared" si="17"/>
        <v>130499</v>
      </c>
    </row>
    <row r="377" spans="1:10" x14ac:dyDescent="0.3">
      <c r="A377" s="27" t="s">
        <v>1869</v>
      </c>
      <c r="B377" s="27" t="str">
        <f>"13.05"</f>
        <v>13.05</v>
      </c>
      <c r="C377" s="64" t="s">
        <v>2769</v>
      </c>
      <c r="D377" s="27" t="s">
        <v>2229</v>
      </c>
      <c r="E377" s="27" t="s">
        <v>2232</v>
      </c>
      <c r="F377" s="27" t="str">
        <f>"13.05"</f>
        <v>13.05</v>
      </c>
      <c r="G377" s="27" t="s">
        <v>2769</v>
      </c>
      <c r="H377" s="65" t="str">
        <f t="shared" si="15"/>
        <v>No Change</v>
      </c>
      <c r="I377" s="65" t="str">
        <f t="shared" si="16"/>
        <v/>
      </c>
      <c r="J377" s="65" t="str">
        <f t="shared" si="17"/>
        <v/>
      </c>
    </row>
    <row r="378" spans="1:10" x14ac:dyDescent="0.3">
      <c r="A378" s="27" t="s">
        <v>2770</v>
      </c>
      <c r="B378" s="27" t="str">
        <f>"13.0501"</f>
        <v>13.0501</v>
      </c>
      <c r="C378" s="64" t="s">
        <v>2771</v>
      </c>
      <c r="D378" s="27" t="s">
        <v>2229</v>
      </c>
      <c r="E378" s="27" t="s">
        <v>2232</v>
      </c>
      <c r="F378" s="27" t="str">
        <f>"13.0501"</f>
        <v>13.0501</v>
      </c>
      <c r="G378" s="27" t="s">
        <v>2771</v>
      </c>
      <c r="H378" s="65" t="str">
        <f t="shared" si="15"/>
        <v>No Change</v>
      </c>
      <c r="I378" s="65" t="str">
        <f t="shared" si="16"/>
        <v>130501</v>
      </c>
      <c r="J378" s="65" t="str">
        <f t="shared" si="17"/>
        <v>130501</v>
      </c>
    </row>
    <row r="379" spans="1:10" x14ac:dyDescent="0.3">
      <c r="A379" s="27" t="s">
        <v>1869</v>
      </c>
      <c r="B379" s="27" t="str">
        <f>"13.06"</f>
        <v>13.06</v>
      </c>
      <c r="C379" s="64" t="s">
        <v>2772</v>
      </c>
      <c r="D379" s="27" t="s">
        <v>2229</v>
      </c>
      <c r="E379" s="27" t="s">
        <v>2232</v>
      </c>
      <c r="F379" s="27" t="str">
        <f>"13.06"</f>
        <v>13.06</v>
      </c>
      <c r="G379" s="27" t="s">
        <v>2772</v>
      </c>
      <c r="H379" s="65" t="str">
        <f t="shared" si="15"/>
        <v>No Change</v>
      </c>
      <c r="I379" s="65" t="str">
        <f t="shared" si="16"/>
        <v/>
      </c>
      <c r="J379" s="65" t="str">
        <f t="shared" si="17"/>
        <v/>
      </c>
    </row>
    <row r="380" spans="1:10" x14ac:dyDescent="0.3">
      <c r="A380" s="27" t="s">
        <v>2773</v>
      </c>
      <c r="B380" s="27" t="str">
        <f>"13.0601"</f>
        <v>13.0601</v>
      </c>
      <c r="C380" s="64" t="s">
        <v>2774</v>
      </c>
      <c r="D380" s="27" t="s">
        <v>2229</v>
      </c>
      <c r="E380" s="27" t="s">
        <v>2232</v>
      </c>
      <c r="F380" s="27" t="str">
        <f>"13.0601"</f>
        <v>13.0601</v>
      </c>
      <c r="G380" s="27" t="s">
        <v>2774</v>
      </c>
      <c r="H380" s="65" t="str">
        <f t="shared" si="15"/>
        <v>No Change</v>
      </c>
      <c r="I380" s="65" t="str">
        <f t="shared" si="16"/>
        <v>130601</v>
      </c>
      <c r="J380" s="65" t="str">
        <f t="shared" si="17"/>
        <v>130601</v>
      </c>
    </row>
    <row r="381" spans="1:10" x14ac:dyDescent="0.3">
      <c r="A381" s="27" t="s">
        <v>2775</v>
      </c>
      <c r="B381" s="27" t="str">
        <f>"13.0603"</f>
        <v>13.0603</v>
      </c>
      <c r="C381" s="64" t="s">
        <v>2776</v>
      </c>
      <c r="D381" s="27" t="s">
        <v>2229</v>
      </c>
      <c r="E381" s="27" t="s">
        <v>2232</v>
      </c>
      <c r="F381" s="27" t="str">
        <f>"13.0603"</f>
        <v>13.0603</v>
      </c>
      <c r="G381" s="27" t="s">
        <v>2776</v>
      </c>
      <c r="H381" s="65" t="str">
        <f t="shared" si="15"/>
        <v>No Change</v>
      </c>
      <c r="I381" s="65" t="str">
        <f t="shared" si="16"/>
        <v>130603</v>
      </c>
      <c r="J381" s="65" t="str">
        <f t="shared" si="17"/>
        <v>130603</v>
      </c>
    </row>
    <row r="382" spans="1:10" x14ac:dyDescent="0.3">
      <c r="A382" s="27" t="s">
        <v>2777</v>
      </c>
      <c r="B382" s="27" t="str">
        <f>"13.0604"</f>
        <v>13.0604</v>
      </c>
      <c r="C382" s="64" t="s">
        <v>2778</v>
      </c>
      <c r="D382" s="27" t="s">
        <v>2229</v>
      </c>
      <c r="E382" s="27" t="s">
        <v>2232</v>
      </c>
      <c r="F382" s="27" t="str">
        <f>"13.0604"</f>
        <v>13.0604</v>
      </c>
      <c r="G382" s="27" t="s">
        <v>2778</v>
      </c>
      <c r="H382" s="65" t="str">
        <f t="shared" si="15"/>
        <v>No Change</v>
      </c>
      <c r="I382" s="65" t="str">
        <f t="shared" si="16"/>
        <v>130604</v>
      </c>
      <c r="J382" s="65" t="str">
        <f t="shared" si="17"/>
        <v>130604</v>
      </c>
    </row>
    <row r="383" spans="1:10" x14ac:dyDescent="0.3">
      <c r="A383" s="27" t="s">
        <v>2779</v>
      </c>
      <c r="B383" s="27" t="str">
        <f>"13.0607"</f>
        <v>13.0607</v>
      </c>
      <c r="C383" s="64" t="s">
        <v>2780</v>
      </c>
      <c r="D383" s="27" t="s">
        <v>2229</v>
      </c>
      <c r="E383" s="27" t="s">
        <v>2232</v>
      </c>
      <c r="F383" s="27" t="str">
        <f>"13.0607"</f>
        <v>13.0607</v>
      </c>
      <c r="G383" s="27" t="s">
        <v>2780</v>
      </c>
      <c r="H383" s="65" t="str">
        <f t="shared" si="15"/>
        <v>No Change</v>
      </c>
      <c r="I383" s="65" t="str">
        <f t="shared" si="16"/>
        <v>130607</v>
      </c>
      <c r="J383" s="65" t="str">
        <f t="shared" si="17"/>
        <v>130607</v>
      </c>
    </row>
    <row r="384" spans="1:10" x14ac:dyDescent="0.3">
      <c r="A384" s="27" t="s">
        <v>1869</v>
      </c>
      <c r="D384" s="27" t="s">
        <v>2255</v>
      </c>
      <c r="E384" s="27" t="s">
        <v>2232</v>
      </c>
      <c r="F384" s="27" t="str">
        <f>"13.0608"</f>
        <v>13.0608</v>
      </c>
      <c r="G384" s="27" t="s">
        <v>2781</v>
      </c>
      <c r="H384" s="65" t="str">
        <f t="shared" si="15"/>
        <v>Other</v>
      </c>
      <c r="I384" s="65" t="str">
        <f t="shared" si="16"/>
        <v/>
      </c>
      <c r="J384" s="65" t="str">
        <f t="shared" si="17"/>
        <v>130608</v>
      </c>
    </row>
    <row r="385" spans="1:10" x14ac:dyDescent="0.3">
      <c r="A385" s="27" t="s">
        <v>2782</v>
      </c>
      <c r="B385" s="27" t="str">
        <f>"13.0699"</f>
        <v>13.0699</v>
      </c>
      <c r="C385" s="64" t="s">
        <v>2783</v>
      </c>
      <c r="D385" s="27" t="s">
        <v>2229</v>
      </c>
      <c r="E385" s="27" t="s">
        <v>2232</v>
      </c>
      <c r="F385" s="27" t="str">
        <f>"13.0699"</f>
        <v>13.0699</v>
      </c>
      <c r="G385" s="27" t="s">
        <v>2783</v>
      </c>
      <c r="H385" s="65" t="str">
        <f t="shared" si="15"/>
        <v>No Change</v>
      </c>
      <c r="I385" s="65" t="str">
        <f t="shared" si="16"/>
        <v>130699</v>
      </c>
      <c r="J385" s="65" t="str">
        <f t="shared" si="17"/>
        <v>130699</v>
      </c>
    </row>
    <row r="386" spans="1:10" x14ac:dyDescent="0.3">
      <c r="A386" s="27" t="s">
        <v>1869</v>
      </c>
      <c r="B386" s="27" t="str">
        <f>"13.07"</f>
        <v>13.07</v>
      </c>
      <c r="C386" s="64" t="s">
        <v>2784</v>
      </c>
      <c r="D386" s="27" t="s">
        <v>2229</v>
      </c>
      <c r="E386" s="27" t="s">
        <v>2232</v>
      </c>
      <c r="F386" s="27" t="str">
        <f>"13.07"</f>
        <v>13.07</v>
      </c>
      <c r="G386" s="27" t="s">
        <v>2784</v>
      </c>
      <c r="H386" s="65" t="str">
        <f t="shared" si="15"/>
        <v>No Change</v>
      </c>
      <c r="I386" s="65" t="str">
        <f t="shared" si="16"/>
        <v/>
      </c>
      <c r="J386" s="65" t="str">
        <f t="shared" si="17"/>
        <v/>
      </c>
    </row>
    <row r="387" spans="1:10" x14ac:dyDescent="0.3">
      <c r="A387" s="27" t="s">
        <v>2785</v>
      </c>
      <c r="B387" s="27" t="str">
        <f>"13.0701"</f>
        <v>13.0701</v>
      </c>
      <c r="C387" s="64" t="s">
        <v>2784</v>
      </c>
      <c r="D387" s="27" t="s">
        <v>2229</v>
      </c>
      <c r="E387" s="27" t="s">
        <v>2232</v>
      </c>
      <c r="F387" s="27" t="str">
        <f>"13.0701"</f>
        <v>13.0701</v>
      </c>
      <c r="G387" s="27" t="s">
        <v>2784</v>
      </c>
      <c r="H387" s="65" t="str">
        <f t="shared" ref="H387:H450" si="18">IF(I387=J387,"No Change","Other")</f>
        <v>No Change</v>
      </c>
      <c r="I387" s="65" t="str">
        <f t="shared" ref="I387:I450" si="19">SUBSTITUTE(IF(SUM(LEN(B387))&lt;7,"",B387),".","")</f>
        <v>130701</v>
      </c>
      <c r="J387" s="65" t="str">
        <f t="shared" ref="J387:J450" si="20">SUBSTITUTE(IF(SUM(LEN(F387))&lt;7,"",F387),".","")</f>
        <v>130701</v>
      </c>
    </row>
    <row r="388" spans="1:10" x14ac:dyDescent="0.3">
      <c r="A388" s="27" t="s">
        <v>1869</v>
      </c>
      <c r="B388" s="27" t="str">
        <f>"13.09"</f>
        <v>13.09</v>
      </c>
      <c r="C388" s="64" t="s">
        <v>2786</v>
      </c>
      <c r="D388" s="27" t="s">
        <v>2229</v>
      </c>
      <c r="E388" s="27" t="s">
        <v>2232</v>
      </c>
      <c r="F388" s="27" t="str">
        <f>"13.09"</f>
        <v>13.09</v>
      </c>
      <c r="G388" s="27" t="s">
        <v>2786</v>
      </c>
      <c r="H388" s="65" t="str">
        <f t="shared" si="18"/>
        <v>No Change</v>
      </c>
      <c r="I388" s="65" t="str">
        <f t="shared" si="19"/>
        <v/>
      </c>
      <c r="J388" s="65" t="str">
        <f t="shared" si="20"/>
        <v/>
      </c>
    </row>
    <row r="389" spans="1:10" x14ac:dyDescent="0.3">
      <c r="A389" s="27" t="s">
        <v>2787</v>
      </c>
      <c r="B389" s="27" t="str">
        <f>"13.0901"</f>
        <v>13.0901</v>
      </c>
      <c r="C389" s="64" t="s">
        <v>2786</v>
      </c>
      <c r="D389" s="27" t="s">
        <v>2229</v>
      </c>
      <c r="E389" s="27" t="s">
        <v>2232</v>
      </c>
      <c r="F389" s="27" t="str">
        <f>"13.0901"</f>
        <v>13.0901</v>
      </c>
      <c r="G389" s="27" t="s">
        <v>2786</v>
      </c>
      <c r="H389" s="65" t="str">
        <f t="shared" si="18"/>
        <v>No Change</v>
      </c>
      <c r="I389" s="65" t="str">
        <f t="shared" si="19"/>
        <v>130901</v>
      </c>
      <c r="J389" s="65" t="str">
        <f t="shared" si="20"/>
        <v>130901</v>
      </c>
    </row>
    <row r="390" spans="1:10" x14ac:dyDescent="0.3">
      <c r="A390" s="27" t="s">
        <v>1869</v>
      </c>
      <c r="B390" s="27" t="str">
        <f>"13.10"</f>
        <v>13.10</v>
      </c>
      <c r="C390" s="64" t="s">
        <v>2788</v>
      </c>
      <c r="D390" s="27" t="s">
        <v>2229</v>
      </c>
      <c r="E390" s="27" t="s">
        <v>2232</v>
      </c>
      <c r="F390" s="27" t="str">
        <f>"13.10"</f>
        <v>13.10</v>
      </c>
      <c r="G390" s="27" t="s">
        <v>2788</v>
      </c>
      <c r="H390" s="65" t="str">
        <f t="shared" si="18"/>
        <v>No Change</v>
      </c>
      <c r="I390" s="65" t="str">
        <f t="shared" si="19"/>
        <v/>
      </c>
      <c r="J390" s="65" t="str">
        <f t="shared" si="20"/>
        <v/>
      </c>
    </row>
    <row r="391" spans="1:10" x14ac:dyDescent="0.3">
      <c r="A391" s="27" t="s">
        <v>2789</v>
      </c>
      <c r="B391" s="27" t="str">
        <f>"13.1001"</f>
        <v>13.1001</v>
      </c>
      <c r="C391" s="64" t="s">
        <v>2790</v>
      </c>
      <c r="D391" s="27" t="s">
        <v>2229</v>
      </c>
      <c r="E391" s="27" t="s">
        <v>2230</v>
      </c>
      <c r="F391" s="27" t="str">
        <f>"13.1001"</f>
        <v>13.1001</v>
      </c>
      <c r="G391" s="27" t="s">
        <v>2790</v>
      </c>
      <c r="H391" s="65" t="str">
        <f t="shared" si="18"/>
        <v>No Change</v>
      </c>
      <c r="I391" s="65" t="str">
        <f t="shared" si="19"/>
        <v>131001</v>
      </c>
      <c r="J391" s="65" t="str">
        <f t="shared" si="20"/>
        <v>131001</v>
      </c>
    </row>
    <row r="392" spans="1:10" ht="28.8" x14ac:dyDescent="0.3">
      <c r="A392" s="27" t="s">
        <v>832</v>
      </c>
      <c r="B392" s="27" t="str">
        <f>"13.1003"</f>
        <v>13.1003</v>
      </c>
      <c r="C392" s="64" t="s">
        <v>833</v>
      </c>
      <c r="D392" s="27" t="s">
        <v>2229</v>
      </c>
      <c r="E392" s="27" t="s">
        <v>2232</v>
      </c>
      <c r="F392" s="27" t="str">
        <f>"13.1003"</f>
        <v>13.1003</v>
      </c>
      <c r="G392" s="27" t="s">
        <v>833</v>
      </c>
      <c r="H392" s="65" t="str">
        <f t="shared" si="18"/>
        <v>No Change</v>
      </c>
      <c r="I392" s="65" t="str">
        <f t="shared" si="19"/>
        <v>131003</v>
      </c>
      <c r="J392" s="65" t="str">
        <f t="shared" si="20"/>
        <v>131003</v>
      </c>
    </row>
    <row r="393" spans="1:10" x14ac:dyDescent="0.3">
      <c r="A393" s="27" t="s">
        <v>2791</v>
      </c>
      <c r="B393" s="27" t="str">
        <f>"13.1004"</f>
        <v>13.1004</v>
      </c>
      <c r="C393" s="64" t="s">
        <v>2792</v>
      </c>
      <c r="D393" s="27" t="s">
        <v>2229</v>
      </c>
      <c r="E393" s="27" t="s">
        <v>2232</v>
      </c>
      <c r="F393" s="27" t="str">
        <f>"13.1004"</f>
        <v>13.1004</v>
      </c>
      <c r="G393" s="27" t="s">
        <v>2792</v>
      </c>
      <c r="H393" s="65" t="str">
        <f t="shared" si="18"/>
        <v>No Change</v>
      </c>
      <c r="I393" s="65" t="str">
        <f t="shared" si="19"/>
        <v>131004</v>
      </c>
      <c r="J393" s="65" t="str">
        <f t="shared" si="20"/>
        <v>131004</v>
      </c>
    </row>
    <row r="394" spans="1:10" ht="28.8" x14ac:dyDescent="0.3">
      <c r="A394" s="27" t="s">
        <v>2793</v>
      </c>
      <c r="B394" s="27" t="str">
        <f>"13.1005"</f>
        <v>13.1005</v>
      </c>
      <c r="C394" s="64" t="s">
        <v>2794</v>
      </c>
      <c r="D394" s="27" t="s">
        <v>2229</v>
      </c>
      <c r="E394" s="27" t="s">
        <v>2230</v>
      </c>
      <c r="F394" s="27" t="str">
        <f>"13.1005"</f>
        <v>13.1005</v>
      </c>
      <c r="G394" s="27" t="s">
        <v>2794</v>
      </c>
      <c r="H394" s="65" t="str">
        <f t="shared" si="18"/>
        <v>No Change</v>
      </c>
      <c r="I394" s="65" t="str">
        <f t="shared" si="19"/>
        <v>131005</v>
      </c>
      <c r="J394" s="65" t="str">
        <f t="shared" si="20"/>
        <v>131005</v>
      </c>
    </row>
    <row r="395" spans="1:10" x14ac:dyDescent="0.3">
      <c r="A395" s="27" t="s">
        <v>2795</v>
      </c>
      <c r="B395" s="27" t="str">
        <f>"13.1006"</f>
        <v>13.1006</v>
      </c>
      <c r="C395" s="64" t="s">
        <v>2796</v>
      </c>
      <c r="D395" s="27" t="s">
        <v>2229</v>
      </c>
      <c r="E395" s="27" t="s">
        <v>2230</v>
      </c>
      <c r="F395" s="27" t="str">
        <f>"13.1006"</f>
        <v>13.1006</v>
      </c>
      <c r="G395" s="27" t="s">
        <v>2797</v>
      </c>
      <c r="H395" s="65" t="str">
        <f t="shared" si="18"/>
        <v>No Change</v>
      </c>
      <c r="I395" s="65" t="str">
        <f t="shared" si="19"/>
        <v>131006</v>
      </c>
      <c r="J395" s="65" t="str">
        <f t="shared" si="20"/>
        <v>131006</v>
      </c>
    </row>
    <row r="396" spans="1:10" x14ac:dyDescent="0.3">
      <c r="A396" s="27" t="s">
        <v>2798</v>
      </c>
      <c r="B396" s="27" t="str">
        <f>"13.1007"</f>
        <v>13.1007</v>
      </c>
      <c r="C396" s="64" t="s">
        <v>2799</v>
      </c>
      <c r="D396" s="27" t="s">
        <v>2229</v>
      </c>
      <c r="E396" s="27" t="s">
        <v>2232</v>
      </c>
      <c r="F396" s="27" t="str">
        <f>"13.1007"</f>
        <v>13.1007</v>
      </c>
      <c r="G396" s="27" t="s">
        <v>2799</v>
      </c>
      <c r="H396" s="65" t="str">
        <f t="shared" si="18"/>
        <v>No Change</v>
      </c>
      <c r="I396" s="65" t="str">
        <f t="shared" si="19"/>
        <v>131007</v>
      </c>
      <c r="J396" s="65" t="str">
        <f t="shared" si="20"/>
        <v>131007</v>
      </c>
    </row>
    <row r="397" spans="1:10" ht="28.8" x14ac:dyDescent="0.3">
      <c r="A397" s="27" t="s">
        <v>2800</v>
      </c>
      <c r="B397" s="27" t="str">
        <f>"13.1008"</f>
        <v>13.1008</v>
      </c>
      <c r="C397" s="64" t="s">
        <v>2801</v>
      </c>
      <c r="D397" s="27" t="s">
        <v>2229</v>
      </c>
      <c r="E397" s="27" t="s">
        <v>2232</v>
      </c>
      <c r="F397" s="27" t="str">
        <f>"13.1008"</f>
        <v>13.1008</v>
      </c>
      <c r="G397" s="27" t="s">
        <v>2801</v>
      </c>
      <c r="H397" s="65" t="str">
        <f t="shared" si="18"/>
        <v>No Change</v>
      </c>
      <c r="I397" s="65" t="str">
        <f t="shared" si="19"/>
        <v>131008</v>
      </c>
      <c r="J397" s="65" t="str">
        <f t="shared" si="20"/>
        <v>131008</v>
      </c>
    </row>
    <row r="398" spans="1:10" ht="28.8" x14ac:dyDescent="0.3">
      <c r="A398" s="27" t="s">
        <v>2802</v>
      </c>
      <c r="B398" s="27" t="str">
        <f>"13.1009"</f>
        <v>13.1009</v>
      </c>
      <c r="C398" s="64" t="s">
        <v>2803</v>
      </c>
      <c r="D398" s="27" t="s">
        <v>2229</v>
      </c>
      <c r="E398" s="27" t="s">
        <v>2232</v>
      </c>
      <c r="F398" s="27" t="str">
        <f>"13.1009"</f>
        <v>13.1009</v>
      </c>
      <c r="G398" s="27" t="s">
        <v>2803</v>
      </c>
      <c r="H398" s="65" t="str">
        <f t="shared" si="18"/>
        <v>No Change</v>
      </c>
      <c r="I398" s="65" t="str">
        <f t="shared" si="19"/>
        <v>131009</v>
      </c>
      <c r="J398" s="65" t="str">
        <f t="shared" si="20"/>
        <v>131009</v>
      </c>
    </row>
    <row r="399" spans="1:10" ht="28.8" x14ac:dyDescent="0.3">
      <c r="A399" s="27" t="s">
        <v>2804</v>
      </c>
      <c r="B399" s="27" t="str">
        <f>"13.1011"</f>
        <v>13.1011</v>
      </c>
      <c r="C399" s="64" t="s">
        <v>2805</v>
      </c>
      <c r="D399" s="27" t="s">
        <v>2229</v>
      </c>
      <c r="E399" s="27" t="s">
        <v>2232</v>
      </c>
      <c r="F399" s="27" t="str">
        <f>"13.1011"</f>
        <v>13.1011</v>
      </c>
      <c r="G399" s="27" t="s">
        <v>2805</v>
      </c>
      <c r="H399" s="65" t="str">
        <f t="shared" si="18"/>
        <v>No Change</v>
      </c>
      <c r="I399" s="65" t="str">
        <f t="shared" si="19"/>
        <v>131011</v>
      </c>
      <c r="J399" s="65" t="str">
        <f t="shared" si="20"/>
        <v>131011</v>
      </c>
    </row>
    <row r="400" spans="1:10" ht="28.8" x14ac:dyDescent="0.3">
      <c r="A400" s="27" t="s">
        <v>2806</v>
      </c>
      <c r="B400" s="27" t="str">
        <f>"13.1012"</f>
        <v>13.1012</v>
      </c>
      <c r="C400" s="64" t="s">
        <v>2807</v>
      </c>
      <c r="D400" s="27" t="s">
        <v>2229</v>
      </c>
      <c r="E400" s="27" t="s">
        <v>2232</v>
      </c>
      <c r="F400" s="27" t="str">
        <f>"13.1012"</f>
        <v>13.1012</v>
      </c>
      <c r="G400" s="27" t="s">
        <v>2807</v>
      </c>
      <c r="H400" s="65" t="str">
        <f t="shared" si="18"/>
        <v>No Change</v>
      </c>
      <c r="I400" s="65" t="str">
        <f t="shared" si="19"/>
        <v>131012</v>
      </c>
      <c r="J400" s="65" t="str">
        <f t="shared" si="20"/>
        <v>131012</v>
      </c>
    </row>
    <row r="401" spans="1:10" x14ac:dyDescent="0.3">
      <c r="A401" s="27" t="s">
        <v>2808</v>
      </c>
      <c r="B401" s="27" t="str">
        <f>"13.1013"</f>
        <v>13.1013</v>
      </c>
      <c r="C401" s="64" t="s">
        <v>2809</v>
      </c>
      <c r="D401" s="27" t="s">
        <v>2229</v>
      </c>
      <c r="E401" s="27" t="s">
        <v>2232</v>
      </c>
      <c r="F401" s="27" t="str">
        <f>"13.1013"</f>
        <v>13.1013</v>
      </c>
      <c r="G401" s="27" t="s">
        <v>2809</v>
      </c>
      <c r="H401" s="65" t="str">
        <f t="shared" si="18"/>
        <v>No Change</v>
      </c>
      <c r="I401" s="65" t="str">
        <f t="shared" si="19"/>
        <v>131013</v>
      </c>
      <c r="J401" s="65" t="str">
        <f t="shared" si="20"/>
        <v>131013</v>
      </c>
    </row>
    <row r="402" spans="1:10" ht="28.8" x14ac:dyDescent="0.3">
      <c r="A402" s="27" t="s">
        <v>2810</v>
      </c>
      <c r="B402" s="27" t="str">
        <f>"13.1014"</f>
        <v>13.1014</v>
      </c>
      <c r="C402" s="64" t="s">
        <v>2811</v>
      </c>
      <c r="D402" s="27" t="s">
        <v>2229</v>
      </c>
      <c r="E402" s="27" t="s">
        <v>2232</v>
      </c>
      <c r="F402" s="27" t="str">
        <f>"13.1014"</f>
        <v>13.1014</v>
      </c>
      <c r="G402" s="27" t="s">
        <v>2811</v>
      </c>
      <c r="H402" s="65" t="str">
        <f t="shared" si="18"/>
        <v>No Change</v>
      </c>
      <c r="I402" s="65" t="str">
        <f t="shared" si="19"/>
        <v>131014</v>
      </c>
      <c r="J402" s="65" t="str">
        <f t="shared" si="20"/>
        <v>131014</v>
      </c>
    </row>
    <row r="403" spans="1:10" ht="28.8" x14ac:dyDescent="0.3">
      <c r="A403" s="27" t="s">
        <v>2812</v>
      </c>
      <c r="B403" s="27" t="str">
        <f>"13.1015"</f>
        <v>13.1015</v>
      </c>
      <c r="C403" s="64" t="s">
        <v>2813</v>
      </c>
      <c r="D403" s="27" t="s">
        <v>2229</v>
      </c>
      <c r="E403" s="27" t="s">
        <v>2232</v>
      </c>
      <c r="F403" s="27" t="str">
        <f>"13.1015"</f>
        <v>13.1015</v>
      </c>
      <c r="G403" s="27" t="s">
        <v>2813</v>
      </c>
      <c r="H403" s="65" t="str">
        <f t="shared" si="18"/>
        <v>No Change</v>
      </c>
      <c r="I403" s="65" t="str">
        <f t="shared" si="19"/>
        <v>131015</v>
      </c>
      <c r="J403" s="65" t="str">
        <f t="shared" si="20"/>
        <v>131015</v>
      </c>
    </row>
    <row r="404" spans="1:10" ht="28.8" x14ac:dyDescent="0.3">
      <c r="A404" s="27" t="s">
        <v>2814</v>
      </c>
      <c r="B404" s="27" t="str">
        <f>"13.1016"</f>
        <v>13.1016</v>
      </c>
      <c r="C404" s="64" t="s">
        <v>2815</v>
      </c>
      <c r="D404" s="27" t="s">
        <v>2229</v>
      </c>
      <c r="E404" s="27" t="s">
        <v>2232</v>
      </c>
      <c r="F404" s="27" t="str">
        <f>"13.1016"</f>
        <v>13.1016</v>
      </c>
      <c r="G404" s="27" t="s">
        <v>2815</v>
      </c>
      <c r="H404" s="65" t="str">
        <f t="shared" si="18"/>
        <v>No Change</v>
      </c>
      <c r="I404" s="65" t="str">
        <f t="shared" si="19"/>
        <v>131016</v>
      </c>
      <c r="J404" s="65" t="str">
        <f t="shared" si="20"/>
        <v>131016</v>
      </c>
    </row>
    <row r="405" spans="1:10" ht="28.8" x14ac:dyDescent="0.3">
      <c r="A405" s="27" t="s">
        <v>2816</v>
      </c>
      <c r="B405" s="27" t="str">
        <f>"13.1017"</f>
        <v>13.1017</v>
      </c>
      <c r="C405" s="64" t="s">
        <v>2817</v>
      </c>
      <c r="D405" s="27" t="s">
        <v>2229</v>
      </c>
      <c r="E405" s="27" t="s">
        <v>2232</v>
      </c>
      <c r="F405" s="27" t="str">
        <f>"13.1017"</f>
        <v>13.1017</v>
      </c>
      <c r="G405" s="27" t="s">
        <v>2817</v>
      </c>
      <c r="H405" s="65" t="str">
        <f t="shared" si="18"/>
        <v>No Change</v>
      </c>
      <c r="I405" s="65" t="str">
        <f t="shared" si="19"/>
        <v>131017</v>
      </c>
      <c r="J405" s="65" t="str">
        <f t="shared" si="20"/>
        <v>131017</v>
      </c>
    </row>
    <row r="406" spans="1:10" ht="28.8" x14ac:dyDescent="0.3">
      <c r="A406" s="27" t="s">
        <v>2818</v>
      </c>
      <c r="B406" s="27" t="str">
        <f>"13.1018"</f>
        <v>13.1018</v>
      </c>
      <c r="C406" s="64" t="s">
        <v>2819</v>
      </c>
      <c r="D406" s="27" t="s">
        <v>2229</v>
      </c>
      <c r="E406" s="27" t="s">
        <v>2232</v>
      </c>
      <c r="F406" s="27" t="str">
        <f>"13.1018"</f>
        <v>13.1018</v>
      </c>
      <c r="G406" s="27" t="s">
        <v>2819</v>
      </c>
      <c r="H406" s="65" t="str">
        <f t="shared" si="18"/>
        <v>No Change</v>
      </c>
      <c r="I406" s="65" t="str">
        <f t="shared" si="19"/>
        <v>131018</v>
      </c>
      <c r="J406" s="65" t="str">
        <f t="shared" si="20"/>
        <v>131018</v>
      </c>
    </row>
    <row r="407" spans="1:10" ht="28.8" x14ac:dyDescent="0.3">
      <c r="A407" s="27" t="s">
        <v>2820</v>
      </c>
      <c r="B407" s="27" t="str">
        <f>"13.1019"</f>
        <v>13.1019</v>
      </c>
      <c r="C407" s="64" t="s">
        <v>2821</v>
      </c>
      <c r="D407" s="27" t="s">
        <v>2229</v>
      </c>
      <c r="E407" s="27" t="s">
        <v>2232</v>
      </c>
      <c r="F407" s="27" t="str">
        <f>"13.1019"</f>
        <v>13.1019</v>
      </c>
      <c r="G407" s="27" t="s">
        <v>2821</v>
      </c>
      <c r="H407" s="65" t="str">
        <f t="shared" si="18"/>
        <v>No Change</v>
      </c>
      <c r="I407" s="65" t="str">
        <f t="shared" si="19"/>
        <v>131019</v>
      </c>
      <c r="J407" s="65" t="str">
        <f t="shared" si="20"/>
        <v>131019</v>
      </c>
    </row>
    <row r="408" spans="1:10" x14ac:dyDescent="0.3">
      <c r="A408" s="27" t="s">
        <v>2822</v>
      </c>
      <c r="B408" s="27" t="str">
        <f>"13.1099"</f>
        <v>13.1099</v>
      </c>
      <c r="C408" s="64" t="s">
        <v>2823</v>
      </c>
      <c r="D408" s="27" t="s">
        <v>2229</v>
      </c>
      <c r="E408" s="27" t="s">
        <v>2232</v>
      </c>
      <c r="F408" s="27" t="str">
        <f>"13.1099"</f>
        <v>13.1099</v>
      </c>
      <c r="G408" s="27" t="s">
        <v>2823</v>
      </c>
      <c r="H408" s="65" t="str">
        <f t="shared" si="18"/>
        <v>No Change</v>
      </c>
      <c r="I408" s="65" t="str">
        <f t="shared" si="19"/>
        <v>131099</v>
      </c>
      <c r="J408" s="65" t="str">
        <f t="shared" si="20"/>
        <v>131099</v>
      </c>
    </row>
    <row r="409" spans="1:10" x14ac:dyDescent="0.3">
      <c r="A409" s="27" t="s">
        <v>1869</v>
      </c>
      <c r="B409" s="27" t="str">
        <f>"13.11"</f>
        <v>13.11</v>
      </c>
      <c r="C409" s="64" t="s">
        <v>2824</v>
      </c>
      <c r="D409" s="27" t="s">
        <v>2229</v>
      </c>
      <c r="E409" s="27" t="s">
        <v>2232</v>
      </c>
      <c r="F409" s="27" t="str">
        <f>"13.11"</f>
        <v>13.11</v>
      </c>
      <c r="G409" s="27" t="s">
        <v>2824</v>
      </c>
      <c r="H409" s="65" t="str">
        <f t="shared" si="18"/>
        <v>No Change</v>
      </c>
      <c r="I409" s="65" t="str">
        <f t="shared" si="19"/>
        <v/>
      </c>
      <c r="J409" s="65" t="str">
        <f t="shared" si="20"/>
        <v/>
      </c>
    </row>
    <row r="410" spans="1:10" x14ac:dyDescent="0.3">
      <c r="A410" s="27" t="s">
        <v>2825</v>
      </c>
      <c r="B410" s="27" t="str">
        <f>"13.1101"</f>
        <v>13.1101</v>
      </c>
      <c r="C410" s="64" t="s">
        <v>2826</v>
      </c>
      <c r="D410" s="27" t="s">
        <v>2229</v>
      </c>
      <c r="E410" s="27" t="s">
        <v>2232</v>
      </c>
      <c r="F410" s="27" t="str">
        <f>"13.1101"</f>
        <v>13.1101</v>
      </c>
      <c r="G410" s="27" t="s">
        <v>2826</v>
      </c>
      <c r="H410" s="65" t="str">
        <f t="shared" si="18"/>
        <v>No Change</v>
      </c>
      <c r="I410" s="65" t="str">
        <f t="shared" si="19"/>
        <v>131101</v>
      </c>
      <c r="J410" s="65" t="str">
        <f t="shared" si="20"/>
        <v>131101</v>
      </c>
    </row>
    <row r="411" spans="1:10" x14ac:dyDescent="0.3">
      <c r="A411" s="27" t="s">
        <v>2827</v>
      </c>
      <c r="B411" s="27" t="str">
        <f>"13.1102"</f>
        <v>13.1102</v>
      </c>
      <c r="C411" s="64" t="s">
        <v>2828</v>
      </c>
      <c r="D411" s="27" t="s">
        <v>2229</v>
      </c>
      <c r="E411" s="27" t="s">
        <v>2232</v>
      </c>
      <c r="F411" s="27" t="str">
        <f>"13.1102"</f>
        <v>13.1102</v>
      </c>
      <c r="G411" s="27" t="s">
        <v>2828</v>
      </c>
      <c r="H411" s="65" t="str">
        <f t="shared" si="18"/>
        <v>No Change</v>
      </c>
      <c r="I411" s="65" t="str">
        <f t="shared" si="19"/>
        <v>131102</v>
      </c>
      <c r="J411" s="65" t="str">
        <f t="shared" si="20"/>
        <v>131102</v>
      </c>
    </row>
    <row r="412" spans="1:10" x14ac:dyDescent="0.3">
      <c r="A412" s="27" t="s">
        <v>2829</v>
      </c>
      <c r="B412" s="27" t="str">
        <f>"13.1199"</f>
        <v>13.1199</v>
      </c>
      <c r="C412" s="64" t="s">
        <v>2830</v>
      </c>
      <c r="D412" s="27" t="s">
        <v>2229</v>
      </c>
      <c r="E412" s="27" t="s">
        <v>2232</v>
      </c>
      <c r="F412" s="27" t="str">
        <f>"13.1199"</f>
        <v>13.1199</v>
      </c>
      <c r="G412" s="27" t="s">
        <v>2830</v>
      </c>
      <c r="H412" s="65" t="str">
        <f t="shared" si="18"/>
        <v>No Change</v>
      </c>
      <c r="I412" s="65" t="str">
        <f t="shared" si="19"/>
        <v>131199</v>
      </c>
      <c r="J412" s="65" t="str">
        <f t="shared" si="20"/>
        <v>131199</v>
      </c>
    </row>
    <row r="413" spans="1:10" ht="28.8" x14ac:dyDescent="0.3">
      <c r="A413" s="27" t="s">
        <v>1869</v>
      </c>
      <c r="B413" s="27" t="str">
        <f>"13.12"</f>
        <v>13.12</v>
      </c>
      <c r="C413" s="64" t="s">
        <v>2831</v>
      </c>
      <c r="D413" s="27" t="s">
        <v>2229</v>
      </c>
      <c r="E413" s="27" t="s">
        <v>2232</v>
      </c>
      <c r="F413" s="27" t="str">
        <f>"13.12"</f>
        <v>13.12</v>
      </c>
      <c r="G413" s="27" t="s">
        <v>2831</v>
      </c>
      <c r="H413" s="65" t="str">
        <f t="shared" si="18"/>
        <v>No Change</v>
      </c>
      <c r="I413" s="65" t="str">
        <f t="shared" si="19"/>
        <v/>
      </c>
      <c r="J413" s="65" t="str">
        <f t="shared" si="20"/>
        <v/>
      </c>
    </row>
    <row r="414" spans="1:10" x14ac:dyDescent="0.3">
      <c r="A414" s="27" t="s">
        <v>2832</v>
      </c>
      <c r="B414" s="27" t="str">
        <f>"13.1201"</f>
        <v>13.1201</v>
      </c>
      <c r="C414" s="64" t="s">
        <v>2833</v>
      </c>
      <c r="D414" s="27" t="s">
        <v>2229</v>
      </c>
      <c r="E414" s="27" t="s">
        <v>2232</v>
      </c>
      <c r="F414" s="27" t="str">
        <f>"13.1201"</f>
        <v>13.1201</v>
      </c>
      <c r="G414" s="27" t="s">
        <v>2833</v>
      </c>
      <c r="H414" s="65" t="str">
        <f t="shared" si="18"/>
        <v>No Change</v>
      </c>
      <c r="I414" s="65" t="str">
        <f t="shared" si="19"/>
        <v>131201</v>
      </c>
      <c r="J414" s="65" t="str">
        <f t="shared" si="20"/>
        <v>131201</v>
      </c>
    </row>
    <row r="415" spans="1:10" x14ac:dyDescent="0.3">
      <c r="A415" s="27" t="s">
        <v>2834</v>
      </c>
      <c r="B415" s="27" t="str">
        <f>"13.1202"</f>
        <v>13.1202</v>
      </c>
      <c r="C415" s="64" t="s">
        <v>2835</v>
      </c>
      <c r="D415" s="27" t="s">
        <v>2229</v>
      </c>
      <c r="E415" s="27" t="s">
        <v>2232</v>
      </c>
      <c r="F415" s="27" t="str">
        <f>"13.1202"</f>
        <v>13.1202</v>
      </c>
      <c r="G415" s="27" t="s">
        <v>2835</v>
      </c>
      <c r="H415" s="65" t="str">
        <f t="shared" si="18"/>
        <v>No Change</v>
      </c>
      <c r="I415" s="65" t="str">
        <f t="shared" si="19"/>
        <v>131202</v>
      </c>
      <c r="J415" s="65" t="str">
        <f t="shared" si="20"/>
        <v>131202</v>
      </c>
    </row>
    <row r="416" spans="1:10" ht="28.8" x14ac:dyDescent="0.3">
      <c r="A416" s="27" t="s">
        <v>2836</v>
      </c>
      <c r="B416" s="27" t="str">
        <f>"13.1203"</f>
        <v>13.1203</v>
      </c>
      <c r="C416" s="64" t="s">
        <v>2837</v>
      </c>
      <c r="D416" s="27" t="s">
        <v>2229</v>
      </c>
      <c r="E416" s="27" t="s">
        <v>2232</v>
      </c>
      <c r="F416" s="27" t="str">
        <f>"13.1203"</f>
        <v>13.1203</v>
      </c>
      <c r="G416" s="27" t="s">
        <v>2837</v>
      </c>
      <c r="H416" s="65" t="str">
        <f t="shared" si="18"/>
        <v>No Change</v>
      </c>
      <c r="I416" s="65" t="str">
        <f t="shared" si="19"/>
        <v>131203</v>
      </c>
      <c r="J416" s="65" t="str">
        <f t="shared" si="20"/>
        <v>131203</v>
      </c>
    </row>
    <row r="417" spans="1:10" x14ac:dyDescent="0.3">
      <c r="A417" s="27" t="s">
        <v>2838</v>
      </c>
      <c r="B417" s="27" t="str">
        <f>"13.1205"</f>
        <v>13.1205</v>
      </c>
      <c r="C417" s="64" t="s">
        <v>2839</v>
      </c>
      <c r="D417" s="27" t="s">
        <v>2229</v>
      </c>
      <c r="E417" s="27" t="s">
        <v>2232</v>
      </c>
      <c r="F417" s="27" t="str">
        <f>"13.1205"</f>
        <v>13.1205</v>
      </c>
      <c r="G417" s="27" t="s">
        <v>2839</v>
      </c>
      <c r="H417" s="65" t="str">
        <f t="shared" si="18"/>
        <v>No Change</v>
      </c>
      <c r="I417" s="65" t="str">
        <f t="shared" si="19"/>
        <v>131205</v>
      </c>
      <c r="J417" s="65" t="str">
        <f t="shared" si="20"/>
        <v>131205</v>
      </c>
    </row>
    <row r="418" spans="1:10" x14ac:dyDescent="0.3">
      <c r="A418" s="27" t="s">
        <v>2840</v>
      </c>
      <c r="B418" s="27" t="str">
        <f>"13.1206"</f>
        <v>13.1206</v>
      </c>
      <c r="C418" s="64" t="s">
        <v>2841</v>
      </c>
      <c r="D418" s="27" t="s">
        <v>2229</v>
      </c>
      <c r="E418" s="27" t="s">
        <v>2232</v>
      </c>
      <c r="F418" s="27" t="str">
        <f>"13.1206"</f>
        <v>13.1206</v>
      </c>
      <c r="G418" s="27" t="s">
        <v>2841</v>
      </c>
      <c r="H418" s="65" t="str">
        <f t="shared" si="18"/>
        <v>No Change</v>
      </c>
      <c r="I418" s="65" t="str">
        <f t="shared" si="19"/>
        <v>131206</v>
      </c>
      <c r="J418" s="65" t="str">
        <f t="shared" si="20"/>
        <v>131206</v>
      </c>
    </row>
    <row r="419" spans="1:10" x14ac:dyDescent="0.3">
      <c r="A419" s="27" t="s">
        <v>2842</v>
      </c>
      <c r="B419" s="27" t="str">
        <f>"13.1207"</f>
        <v>13.1207</v>
      </c>
      <c r="C419" s="64" t="s">
        <v>2843</v>
      </c>
      <c r="D419" s="27" t="s">
        <v>2229</v>
      </c>
      <c r="E419" s="27" t="s">
        <v>2232</v>
      </c>
      <c r="F419" s="27" t="str">
        <f>"13.1207"</f>
        <v>13.1207</v>
      </c>
      <c r="G419" s="27" t="s">
        <v>2843</v>
      </c>
      <c r="H419" s="65" t="str">
        <f t="shared" si="18"/>
        <v>No Change</v>
      </c>
      <c r="I419" s="65" t="str">
        <f t="shared" si="19"/>
        <v>131207</v>
      </c>
      <c r="J419" s="65" t="str">
        <f t="shared" si="20"/>
        <v>131207</v>
      </c>
    </row>
    <row r="420" spans="1:10" x14ac:dyDescent="0.3">
      <c r="A420" s="27" t="s">
        <v>2844</v>
      </c>
      <c r="B420" s="27" t="str">
        <f>"13.1208"</f>
        <v>13.1208</v>
      </c>
      <c r="C420" s="64" t="s">
        <v>2845</v>
      </c>
      <c r="D420" s="27" t="s">
        <v>2229</v>
      </c>
      <c r="E420" s="27" t="s">
        <v>2232</v>
      </c>
      <c r="F420" s="27" t="str">
        <f>"13.1208"</f>
        <v>13.1208</v>
      </c>
      <c r="G420" s="27" t="s">
        <v>2845</v>
      </c>
      <c r="H420" s="65" t="str">
        <f t="shared" si="18"/>
        <v>No Change</v>
      </c>
      <c r="I420" s="65" t="str">
        <f t="shared" si="19"/>
        <v>131208</v>
      </c>
      <c r="J420" s="65" t="str">
        <f t="shared" si="20"/>
        <v>131208</v>
      </c>
    </row>
    <row r="421" spans="1:10" x14ac:dyDescent="0.3">
      <c r="A421" s="27" t="s">
        <v>2846</v>
      </c>
      <c r="B421" s="27" t="str">
        <f>"13.1209"</f>
        <v>13.1209</v>
      </c>
      <c r="C421" s="64" t="s">
        <v>2847</v>
      </c>
      <c r="D421" s="27" t="s">
        <v>2229</v>
      </c>
      <c r="E421" s="27" t="s">
        <v>2232</v>
      </c>
      <c r="F421" s="27" t="str">
        <f>"13.1209"</f>
        <v>13.1209</v>
      </c>
      <c r="G421" s="27" t="s">
        <v>2847</v>
      </c>
      <c r="H421" s="65" t="str">
        <f t="shared" si="18"/>
        <v>No Change</v>
      </c>
      <c r="I421" s="65" t="str">
        <f t="shared" si="19"/>
        <v>131209</v>
      </c>
      <c r="J421" s="65" t="str">
        <f t="shared" si="20"/>
        <v>131209</v>
      </c>
    </row>
    <row r="422" spans="1:10" x14ac:dyDescent="0.3">
      <c r="A422" s="27" t="s">
        <v>401</v>
      </c>
      <c r="B422" s="27" t="str">
        <f>"13.1210"</f>
        <v>13.1210</v>
      </c>
      <c r="C422" s="64" t="s">
        <v>402</v>
      </c>
      <c r="D422" s="27" t="s">
        <v>2229</v>
      </c>
      <c r="E422" s="27" t="s">
        <v>2232</v>
      </c>
      <c r="F422" s="27" t="str">
        <f>"13.1210"</f>
        <v>13.1210</v>
      </c>
      <c r="G422" s="27" t="s">
        <v>402</v>
      </c>
      <c r="H422" s="65" t="str">
        <f t="shared" si="18"/>
        <v>No Change</v>
      </c>
      <c r="I422" s="65" t="str">
        <f t="shared" si="19"/>
        <v>131210</v>
      </c>
      <c r="J422" s="65" t="str">
        <f t="shared" si="20"/>
        <v>131210</v>
      </c>
    </row>
    <row r="423" spans="1:10" x14ac:dyDescent="0.3">
      <c r="A423" s="27" t="s">
        <v>1869</v>
      </c>
      <c r="D423" s="27" t="s">
        <v>2255</v>
      </c>
      <c r="E423" s="27" t="s">
        <v>2232</v>
      </c>
      <c r="F423" s="27" t="str">
        <f>"13.1211"</f>
        <v>13.1211</v>
      </c>
      <c r="G423" s="27" t="s">
        <v>2848</v>
      </c>
      <c r="H423" s="65" t="str">
        <f t="shared" si="18"/>
        <v>Other</v>
      </c>
      <c r="I423" s="65" t="str">
        <f t="shared" si="19"/>
        <v/>
      </c>
      <c r="J423" s="65" t="str">
        <f t="shared" si="20"/>
        <v>131211</v>
      </c>
    </row>
    <row r="424" spans="1:10" x14ac:dyDescent="0.3">
      <c r="A424" s="27" t="s">
        <v>1869</v>
      </c>
      <c r="D424" s="27" t="s">
        <v>2255</v>
      </c>
      <c r="E424" s="27" t="s">
        <v>2232</v>
      </c>
      <c r="F424" s="27" t="str">
        <f>"13.1212"</f>
        <v>13.1212</v>
      </c>
      <c r="G424" s="27" t="s">
        <v>2849</v>
      </c>
      <c r="H424" s="65" t="str">
        <f t="shared" si="18"/>
        <v>Other</v>
      </c>
      <c r="I424" s="65" t="str">
        <f t="shared" si="19"/>
        <v/>
      </c>
      <c r="J424" s="65" t="str">
        <f t="shared" si="20"/>
        <v>131212</v>
      </c>
    </row>
    <row r="425" spans="1:10" x14ac:dyDescent="0.3">
      <c r="A425" s="27" t="s">
        <v>1869</v>
      </c>
      <c r="D425" s="27" t="s">
        <v>2255</v>
      </c>
      <c r="E425" s="27" t="s">
        <v>2232</v>
      </c>
      <c r="F425" s="27" t="str">
        <f>"13.1213"</f>
        <v>13.1213</v>
      </c>
      <c r="G425" s="27" t="s">
        <v>2850</v>
      </c>
      <c r="H425" s="65" t="str">
        <f t="shared" si="18"/>
        <v>Other</v>
      </c>
      <c r="I425" s="65" t="str">
        <f t="shared" si="19"/>
        <v/>
      </c>
      <c r="J425" s="65" t="str">
        <f t="shared" si="20"/>
        <v>131213</v>
      </c>
    </row>
    <row r="426" spans="1:10" x14ac:dyDescent="0.3">
      <c r="A426" s="27" t="s">
        <v>1869</v>
      </c>
      <c r="D426" s="27" t="s">
        <v>2255</v>
      </c>
      <c r="E426" s="27" t="s">
        <v>2232</v>
      </c>
      <c r="F426" s="27" t="str">
        <f>"13.1214"</f>
        <v>13.1214</v>
      </c>
      <c r="G426" s="27" t="s">
        <v>2851</v>
      </c>
      <c r="H426" s="65" t="str">
        <f t="shared" si="18"/>
        <v>Other</v>
      </c>
      <c r="I426" s="65" t="str">
        <f t="shared" si="19"/>
        <v/>
      </c>
      <c r="J426" s="65" t="str">
        <f t="shared" si="20"/>
        <v>131214</v>
      </c>
    </row>
    <row r="427" spans="1:10" ht="28.8" x14ac:dyDescent="0.3">
      <c r="A427" s="27" t="s">
        <v>923</v>
      </c>
      <c r="B427" s="27" t="str">
        <f>"13.1299"</f>
        <v>13.1299</v>
      </c>
      <c r="C427" s="64" t="s">
        <v>924</v>
      </c>
      <c r="D427" s="27" t="s">
        <v>2229</v>
      </c>
      <c r="E427" s="27" t="s">
        <v>2232</v>
      </c>
      <c r="F427" s="27" t="str">
        <f>"13.1299"</f>
        <v>13.1299</v>
      </c>
      <c r="G427" s="27" t="s">
        <v>924</v>
      </c>
      <c r="H427" s="65" t="str">
        <f t="shared" si="18"/>
        <v>No Change</v>
      </c>
      <c r="I427" s="65" t="str">
        <f t="shared" si="19"/>
        <v>131299</v>
      </c>
      <c r="J427" s="65" t="str">
        <f t="shared" si="20"/>
        <v>131299</v>
      </c>
    </row>
    <row r="428" spans="1:10" ht="28.8" x14ac:dyDescent="0.3">
      <c r="A428" s="27" t="s">
        <v>1869</v>
      </c>
      <c r="B428" s="27" t="str">
        <f>"13.13"</f>
        <v>13.13</v>
      </c>
      <c r="C428" s="64" t="s">
        <v>2852</v>
      </c>
      <c r="D428" s="27" t="s">
        <v>2229</v>
      </c>
      <c r="E428" s="27" t="s">
        <v>2232</v>
      </c>
      <c r="F428" s="27" t="str">
        <f>"13.13"</f>
        <v>13.13</v>
      </c>
      <c r="G428" s="27" t="s">
        <v>2852</v>
      </c>
      <c r="H428" s="65" t="str">
        <f t="shared" si="18"/>
        <v>No Change</v>
      </c>
      <c r="I428" s="65" t="str">
        <f t="shared" si="19"/>
        <v/>
      </c>
      <c r="J428" s="65" t="str">
        <f t="shared" si="20"/>
        <v/>
      </c>
    </row>
    <row r="429" spans="1:10" x14ac:dyDescent="0.3">
      <c r="A429" s="27" t="s">
        <v>2853</v>
      </c>
      <c r="B429" s="27" t="str">
        <f>"13.1301"</f>
        <v>13.1301</v>
      </c>
      <c r="C429" s="64" t="s">
        <v>2854</v>
      </c>
      <c r="D429" s="27" t="s">
        <v>2229</v>
      </c>
      <c r="E429" s="27" t="s">
        <v>2232</v>
      </c>
      <c r="F429" s="27" t="str">
        <f>"13.1301"</f>
        <v>13.1301</v>
      </c>
      <c r="G429" s="27" t="s">
        <v>2854</v>
      </c>
      <c r="H429" s="65" t="str">
        <f t="shared" si="18"/>
        <v>No Change</v>
      </c>
      <c r="I429" s="65" t="str">
        <f t="shared" si="19"/>
        <v>131301</v>
      </c>
      <c r="J429" s="65" t="str">
        <f t="shared" si="20"/>
        <v>131301</v>
      </c>
    </row>
    <row r="430" spans="1:10" x14ac:dyDescent="0.3">
      <c r="A430" s="27" t="s">
        <v>2855</v>
      </c>
      <c r="B430" s="27" t="str">
        <f>"13.1302"</f>
        <v>13.1302</v>
      </c>
      <c r="C430" s="64" t="s">
        <v>2856</v>
      </c>
      <c r="D430" s="27" t="s">
        <v>2229</v>
      </c>
      <c r="E430" s="27" t="s">
        <v>2232</v>
      </c>
      <c r="F430" s="27" t="str">
        <f>"13.1302"</f>
        <v>13.1302</v>
      </c>
      <c r="G430" s="27" t="s">
        <v>2856</v>
      </c>
      <c r="H430" s="65" t="str">
        <f t="shared" si="18"/>
        <v>No Change</v>
      </c>
      <c r="I430" s="65" t="str">
        <f t="shared" si="19"/>
        <v>131302</v>
      </c>
      <c r="J430" s="65" t="str">
        <f t="shared" si="20"/>
        <v>131302</v>
      </c>
    </row>
    <row r="431" spans="1:10" x14ac:dyDescent="0.3">
      <c r="A431" s="27" t="s">
        <v>2857</v>
      </c>
      <c r="B431" s="27" t="str">
        <f>"13.1303"</f>
        <v>13.1303</v>
      </c>
      <c r="C431" s="64" t="s">
        <v>2858</v>
      </c>
      <c r="D431" s="27" t="s">
        <v>2229</v>
      </c>
      <c r="E431" s="27" t="s">
        <v>2230</v>
      </c>
      <c r="F431" s="27" t="str">
        <f>"13.1303"</f>
        <v>13.1303</v>
      </c>
      <c r="G431" s="27" t="s">
        <v>2859</v>
      </c>
      <c r="H431" s="65" t="str">
        <f t="shared" si="18"/>
        <v>No Change</v>
      </c>
      <c r="I431" s="65" t="str">
        <f t="shared" si="19"/>
        <v>131303</v>
      </c>
      <c r="J431" s="65" t="str">
        <f t="shared" si="20"/>
        <v>131303</v>
      </c>
    </row>
    <row r="432" spans="1:10" x14ac:dyDescent="0.3">
      <c r="A432" s="27" t="s">
        <v>2860</v>
      </c>
      <c r="B432" s="27" t="str">
        <f>"13.1304"</f>
        <v>13.1304</v>
      </c>
      <c r="C432" s="64" t="s">
        <v>2861</v>
      </c>
      <c r="D432" s="27" t="s">
        <v>2229</v>
      </c>
      <c r="E432" s="27" t="s">
        <v>2232</v>
      </c>
      <c r="F432" s="27" t="str">
        <f>"13.1304"</f>
        <v>13.1304</v>
      </c>
      <c r="G432" s="27" t="s">
        <v>2861</v>
      </c>
      <c r="H432" s="65" t="str">
        <f t="shared" si="18"/>
        <v>No Change</v>
      </c>
      <c r="I432" s="65" t="str">
        <f t="shared" si="19"/>
        <v>131304</v>
      </c>
      <c r="J432" s="65" t="str">
        <f t="shared" si="20"/>
        <v>131304</v>
      </c>
    </row>
    <row r="433" spans="1:10" x14ac:dyDescent="0.3">
      <c r="A433" s="27" t="s">
        <v>2862</v>
      </c>
      <c r="B433" s="27" t="str">
        <f>"13.1305"</f>
        <v>13.1305</v>
      </c>
      <c r="C433" s="64" t="s">
        <v>2863</v>
      </c>
      <c r="D433" s="27" t="s">
        <v>2229</v>
      </c>
      <c r="E433" s="27" t="s">
        <v>2232</v>
      </c>
      <c r="F433" s="27" t="str">
        <f>"13.1305"</f>
        <v>13.1305</v>
      </c>
      <c r="G433" s="27" t="s">
        <v>2863</v>
      </c>
      <c r="H433" s="65" t="str">
        <f t="shared" si="18"/>
        <v>No Change</v>
      </c>
      <c r="I433" s="65" t="str">
        <f t="shared" si="19"/>
        <v>131305</v>
      </c>
      <c r="J433" s="65" t="str">
        <f t="shared" si="20"/>
        <v>131305</v>
      </c>
    </row>
    <row r="434" spans="1:10" x14ac:dyDescent="0.3">
      <c r="A434" s="27" t="s">
        <v>2864</v>
      </c>
      <c r="B434" s="27" t="str">
        <f>"13.1306"</f>
        <v>13.1306</v>
      </c>
      <c r="C434" s="64" t="s">
        <v>2865</v>
      </c>
      <c r="D434" s="27" t="s">
        <v>2229</v>
      </c>
      <c r="E434" s="27" t="s">
        <v>2232</v>
      </c>
      <c r="F434" s="27" t="str">
        <f>"13.1306"</f>
        <v>13.1306</v>
      </c>
      <c r="G434" s="27" t="s">
        <v>2865</v>
      </c>
      <c r="H434" s="65" t="str">
        <f t="shared" si="18"/>
        <v>No Change</v>
      </c>
      <c r="I434" s="65" t="str">
        <f t="shared" si="19"/>
        <v>131306</v>
      </c>
      <c r="J434" s="65" t="str">
        <f t="shared" si="20"/>
        <v>131306</v>
      </c>
    </row>
    <row r="435" spans="1:10" x14ac:dyDescent="0.3">
      <c r="A435" s="27" t="s">
        <v>2866</v>
      </c>
      <c r="B435" s="27" t="str">
        <f>"13.1307"</f>
        <v>13.1307</v>
      </c>
      <c r="C435" s="64" t="s">
        <v>2867</v>
      </c>
      <c r="D435" s="27" t="s">
        <v>2229</v>
      </c>
      <c r="E435" s="27" t="s">
        <v>2232</v>
      </c>
      <c r="F435" s="27" t="str">
        <f>"13.1307"</f>
        <v>13.1307</v>
      </c>
      <c r="G435" s="27" t="s">
        <v>2867</v>
      </c>
      <c r="H435" s="65" t="str">
        <f t="shared" si="18"/>
        <v>No Change</v>
      </c>
      <c r="I435" s="65" t="str">
        <f t="shared" si="19"/>
        <v>131307</v>
      </c>
      <c r="J435" s="65" t="str">
        <f t="shared" si="20"/>
        <v>131307</v>
      </c>
    </row>
    <row r="436" spans="1:10" ht="28.8" x14ac:dyDescent="0.3">
      <c r="A436" s="27" t="s">
        <v>2868</v>
      </c>
      <c r="B436" s="27" t="str">
        <f>"13.1308"</f>
        <v>13.1308</v>
      </c>
      <c r="C436" s="64" t="s">
        <v>2869</v>
      </c>
      <c r="D436" s="27" t="s">
        <v>2229</v>
      </c>
      <c r="E436" s="27" t="s">
        <v>2232</v>
      </c>
      <c r="F436" s="27" t="str">
        <f>"13.1308"</f>
        <v>13.1308</v>
      </c>
      <c r="G436" s="27" t="s">
        <v>2869</v>
      </c>
      <c r="H436" s="65" t="str">
        <f t="shared" si="18"/>
        <v>No Change</v>
      </c>
      <c r="I436" s="65" t="str">
        <f t="shared" si="19"/>
        <v>131308</v>
      </c>
      <c r="J436" s="65" t="str">
        <f t="shared" si="20"/>
        <v>131308</v>
      </c>
    </row>
    <row r="437" spans="1:10" ht="28.8" x14ac:dyDescent="0.3">
      <c r="A437" s="27" t="s">
        <v>2870</v>
      </c>
      <c r="B437" s="27" t="str">
        <f>"13.1309"</f>
        <v>13.1309</v>
      </c>
      <c r="C437" s="64" t="s">
        <v>2871</v>
      </c>
      <c r="D437" s="27" t="s">
        <v>2229</v>
      </c>
      <c r="E437" s="27" t="s">
        <v>2232</v>
      </c>
      <c r="F437" s="27" t="str">
        <f>"13.1309"</f>
        <v>13.1309</v>
      </c>
      <c r="G437" s="27" t="s">
        <v>2871</v>
      </c>
      <c r="H437" s="65" t="str">
        <f t="shared" si="18"/>
        <v>No Change</v>
      </c>
      <c r="I437" s="65" t="str">
        <f t="shared" si="19"/>
        <v>131309</v>
      </c>
      <c r="J437" s="65" t="str">
        <f t="shared" si="20"/>
        <v>131309</v>
      </c>
    </row>
    <row r="438" spans="1:10" ht="28.8" x14ac:dyDescent="0.3">
      <c r="A438" s="27" t="s">
        <v>2872</v>
      </c>
      <c r="B438" s="27" t="str">
        <f>"13.1310"</f>
        <v>13.1310</v>
      </c>
      <c r="C438" s="64" t="s">
        <v>2873</v>
      </c>
      <c r="D438" s="27" t="s">
        <v>2229</v>
      </c>
      <c r="E438" s="27" t="s">
        <v>2232</v>
      </c>
      <c r="F438" s="27" t="str">
        <f>"13.1310"</f>
        <v>13.1310</v>
      </c>
      <c r="G438" s="27" t="s">
        <v>2873</v>
      </c>
      <c r="H438" s="65" t="str">
        <f t="shared" si="18"/>
        <v>No Change</v>
      </c>
      <c r="I438" s="65" t="str">
        <f t="shared" si="19"/>
        <v>131310</v>
      </c>
      <c r="J438" s="65" t="str">
        <f t="shared" si="20"/>
        <v>131310</v>
      </c>
    </row>
    <row r="439" spans="1:10" x14ac:dyDescent="0.3">
      <c r="A439" s="27" t="s">
        <v>2874</v>
      </c>
      <c r="B439" s="27" t="str">
        <f>"13.1311"</f>
        <v>13.1311</v>
      </c>
      <c r="C439" s="64" t="s">
        <v>2875</v>
      </c>
      <c r="D439" s="27" t="s">
        <v>2229</v>
      </c>
      <c r="E439" s="27" t="s">
        <v>2232</v>
      </c>
      <c r="F439" s="27" t="str">
        <f>"13.1311"</f>
        <v>13.1311</v>
      </c>
      <c r="G439" s="27" t="s">
        <v>2875</v>
      </c>
      <c r="H439" s="65" t="str">
        <f t="shared" si="18"/>
        <v>No Change</v>
      </c>
      <c r="I439" s="65" t="str">
        <f t="shared" si="19"/>
        <v>131311</v>
      </c>
      <c r="J439" s="65" t="str">
        <f t="shared" si="20"/>
        <v>131311</v>
      </c>
    </row>
    <row r="440" spans="1:10" x14ac:dyDescent="0.3">
      <c r="A440" s="27" t="s">
        <v>2876</v>
      </c>
      <c r="B440" s="27" t="str">
        <f>"13.1312"</f>
        <v>13.1312</v>
      </c>
      <c r="C440" s="64" t="s">
        <v>2877</v>
      </c>
      <c r="D440" s="27" t="s">
        <v>2229</v>
      </c>
      <c r="E440" s="27" t="s">
        <v>2232</v>
      </c>
      <c r="F440" s="27" t="str">
        <f>"13.1312"</f>
        <v>13.1312</v>
      </c>
      <c r="G440" s="27" t="s">
        <v>2877</v>
      </c>
      <c r="H440" s="65" t="str">
        <f t="shared" si="18"/>
        <v>No Change</v>
      </c>
      <c r="I440" s="65" t="str">
        <f t="shared" si="19"/>
        <v>131312</v>
      </c>
      <c r="J440" s="65" t="str">
        <f t="shared" si="20"/>
        <v>131312</v>
      </c>
    </row>
    <row r="441" spans="1:10" x14ac:dyDescent="0.3">
      <c r="A441" s="27" t="s">
        <v>2878</v>
      </c>
      <c r="B441" s="27" t="str">
        <f>"13.1314"</f>
        <v>13.1314</v>
      </c>
      <c r="C441" s="64" t="s">
        <v>2879</v>
      </c>
      <c r="D441" s="27" t="s">
        <v>2229</v>
      </c>
      <c r="E441" s="27" t="s">
        <v>2232</v>
      </c>
      <c r="F441" s="27" t="str">
        <f>"13.1314"</f>
        <v>13.1314</v>
      </c>
      <c r="G441" s="27" t="s">
        <v>2879</v>
      </c>
      <c r="H441" s="65" t="str">
        <f t="shared" si="18"/>
        <v>No Change</v>
      </c>
      <c r="I441" s="65" t="str">
        <f t="shared" si="19"/>
        <v>131314</v>
      </c>
      <c r="J441" s="65" t="str">
        <f t="shared" si="20"/>
        <v>131314</v>
      </c>
    </row>
    <row r="442" spans="1:10" x14ac:dyDescent="0.3">
      <c r="A442" s="27" t="s">
        <v>2880</v>
      </c>
      <c r="B442" s="27" t="str">
        <f>"13.1315"</f>
        <v>13.1315</v>
      </c>
      <c r="C442" s="64" t="s">
        <v>2881</v>
      </c>
      <c r="D442" s="27" t="s">
        <v>2229</v>
      </c>
      <c r="E442" s="27" t="s">
        <v>2232</v>
      </c>
      <c r="F442" s="27" t="str">
        <f>"13.1315"</f>
        <v>13.1315</v>
      </c>
      <c r="G442" s="27" t="s">
        <v>2881</v>
      </c>
      <c r="H442" s="65" t="str">
        <f t="shared" si="18"/>
        <v>No Change</v>
      </c>
      <c r="I442" s="65" t="str">
        <f t="shared" si="19"/>
        <v>131315</v>
      </c>
      <c r="J442" s="65" t="str">
        <f t="shared" si="20"/>
        <v>131315</v>
      </c>
    </row>
    <row r="443" spans="1:10" ht="28.8" x14ac:dyDescent="0.3">
      <c r="A443" s="27" t="s">
        <v>2882</v>
      </c>
      <c r="B443" s="27" t="str">
        <f>"13.1316"</f>
        <v>13.1316</v>
      </c>
      <c r="C443" s="64" t="s">
        <v>2883</v>
      </c>
      <c r="D443" s="27" t="s">
        <v>2229</v>
      </c>
      <c r="E443" s="27" t="s">
        <v>2232</v>
      </c>
      <c r="F443" s="27" t="str">
        <f>"13.1316"</f>
        <v>13.1316</v>
      </c>
      <c r="G443" s="27" t="s">
        <v>2883</v>
      </c>
      <c r="H443" s="65" t="str">
        <f t="shared" si="18"/>
        <v>No Change</v>
      </c>
      <c r="I443" s="65" t="str">
        <f t="shared" si="19"/>
        <v>131316</v>
      </c>
      <c r="J443" s="65" t="str">
        <f t="shared" si="20"/>
        <v>131316</v>
      </c>
    </row>
    <row r="444" spans="1:10" x14ac:dyDescent="0.3">
      <c r="A444" s="27" t="s">
        <v>2884</v>
      </c>
      <c r="B444" s="27" t="str">
        <f>"13.1317"</f>
        <v>13.1317</v>
      </c>
      <c r="C444" s="64" t="s">
        <v>2885</v>
      </c>
      <c r="D444" s="27" t="s">
        <v>2229</v>
      </c>
      <c r="E444" s="27" t="s">
        <v>2232</v>
      </c>
      <c r="F444" s="27" t="str">
        <f>"13.1317"</f>
        <v>13.1317</v>
      </c>
      <c r="G444" s="27" t="s">
        <v>2885</v>
      </c>
      <c r="H444" s="65" t="str">
        <f t="shared" si="18"/>
        <v>No Change</v>
      </c>
      <c r="I444" s="65" t="str">
        <f t="shared" si="19"/>
        <v>131317</v>
      </c>
      <c r="J444" s="65" t="str">
        <f t="shared" si="20"/>
        <v>131317</v>
      </c>
    </row>
    <row r="445" spans="1:10" x14ac:dyDescent="0.3">
      <c r="A445" s="27" t="s">
        <v>2886</v>
      </c>
      <c r="B445" s="27" t="str">
        <f>"13.1318"</f>
        <v>13.1318</v>
      </c>
      <c r="C445" s="64" t="s">
        <v>2887</v>
      </c>
      <c r="D445" s="27" t="s">
        <v>2229</v>
      </c>
      <c r="E445" s="27" t="s">
        <v>2232</v>
      </c>
      <c r="F445" s="27" t="str">
        <f>"13.1318"</f>
        <v>13.1318</v>
      </c>
      <c r="G445" s="27" t="s">
        <v>2887</v>
      </c>
      <c r="H445" s="65" t="str">
        <f t="shared" si="18"/>
        <v>No Change</v>
      </c>
      <c r="I445" s="65" t="str">
        <f t="shared" si="19"/>
        <v>131318</v>
      </c>
      <c r="J445" s="65" t="str">
        <f t="shared" si="20"/>
        <v>131318</v>
      </c>
    </row>
    <row r="446" spans="1:10" x14ac:dyDescent="0.3">
      <c r="A446" s="27" t="s">
        <v>2888</v>
      </c>
      <c r="B446" s="27" t="str">
        <f>"13.1319"</f>
        <v>13.1319</v>
      </c>
      <c r="C446" s="64" t="s">
        <v>2889</v>
      </c>
      <c r="D446" s="27" t="s">
        <v>2229</v>
      </c>
      <c r="E446" s="27" t="s">
        <v>2232</v>
      </c>
      <c r="F446" s="27" t="str">
        <f>"13.1319"</f>
        <v>13.1319</v>
      </c>
      <c r="G446" s="27" t="s">
        <v>2889</v>
      </c>
      <c r="H446" s="65" t="str">
        <f t="shared" si="18"/>
        <v>No Change</v>
      </c>
      <c r="I446" s="65" t="str">
        <f t="shared" si="19"/>
        <v>131319</v>
      </c>
      <c r="J446" s="65" t="str">
        <f t="shared" si="20"/>
        <v>131319</v>
      </c>
    </row>
    <row r="447" spans="1:10" x14ac:dyDescent="0.3">
      <c r="A447" s="27" t="s">
        <v>2890</v>
      </c>
      <c r="B447" s="27" t="str">
        <f>"13.1320"</f>
        <v>13.1320</v>
      </c>
      <c r="C447" s="64" t="s">
        <v>2891</v>
      </c>
      <c r="D447" s="27" t="s">
        <v>2229</v>
      </c>
      <c r="E447" s="27" t="s">
        <v>2232</v>
      </c>
      <c r="F447" s="27" t="str">
        <f>"13.1320"</f>
        <v>13.1320</v>
      </c>
      <c r="G447" s="27" t="s">
        <v>2891</v>
      </c>
      <c r="H447" s="65" t="str">
        <f t="shared" si="18"/>
        <v>No Change</v>
      </c>
      <c r="I447" s="65" t="str">
        <f t="shared" si="19"/>
        <v>131320</v>
      </c>
      <c r="J447" s="65" t="str">
        <f t="shared" si="20"/>
        <v>131320</v>
      </c>
    </row>
    <row r="448" spans="1:10" x14ac:dyDescent="0.3">
      <c r="A448" s="27" t="s">
        <v>2892</v>
      </c>
      <c r="B448" s="27" t="str">
        <f>"13.1321"</f>
        <v>13.1321</v>
      </c>
      <c r="C448" s="64" t="s">
        <v>2893</v>
      </c>
      <c r="D448" s="27" t="s">
        <v>2229</v>
      </c>
      <c r="E448" s="27" t="s">
        <v>2232</v>
      </c>
      <c r="F448" s="27" t="str">
        <f>"13.1321"</f>
        <v>13.1321</v>
      </c>
      <c r="G448" s="27" t="s">
        <v>2893</v>
      </c>
      <c r="H448" s="65" t="str">
        <f t="shared" si="18"/>
        <v>No Change</v>
      </c>
      <c r="I448" s="65" t="str">
        <f t="shared" si="19"/>
        <v>131321</v>
      </c>
      <c r="J448" s="65" t="str">
        <f t="shared" si="20"/>
        <v>131321</v>
      </c>
    </row>
    <row r="449" spans="1:10" x14ac:dyDescent="0.3">
      <c r="A449" s="27" t="s">
        <v>2894</v>
      </c>
      <c r="B449" s="27" t="str">
        <f>"13.1322"</f>
        <v>13.1322</v>
      </c>
      <c r="C449" s="64" t="s">
        <v>2895</v>
      </c>
      <c r="D449" s="27" t="s">
        <v>2229</v>
      </c>
      <c r="E449" s="27" t="s">
        <v>2232</v>
      </c>
      <c r="F449" s="27" t="str">
        <f>"13.1322"</f>
        <v>13.1322</v>
      </c>
      <c r="G449" s="27" t="s">
        <v>2895</v>
      </c>
      <c r="H449" s="65" t="str">
        <f t="shared" si="18"/>
        <v>No Change</v>
      </c>
      <c r="I449" s="65" t="str">
        <f t="shared" si="19"/>
        <v>131322</v>
      </c>
      <c r="J449" s="65" t="str">
        <f t="shared" si="20"/>
        <v>131322</v>
      </c>
    </row>
    <row r="450" spans="1:10" x14ac:dyDescent="0.3">
      <c r="A450" s="27" t="s">
        <v>2896</v>
      </c>
      <c r="B450" s="27" t="str">
        <f>"13.1323"</f>
        <v>13.1323</v>
      </c>
      <c r="C450" s="64" t="s">
        <v>2897</v>
      </c>
      <c r="D450" s="27" t="s">
        <v>2229</v>
      </c>
      <c r="E450" s="27" t="s">
        <v>2232</v>
      </c>
      <c r="F450" s="27" t="str">
        <f>"13.1323"</f>
        <v>13.1323</v>
      </c>
      <c r="G450" s="27" t="s">
        <v>2897</v>
      </c>
      <c r="H450" s="65" t="str">
        <f t="shared" si="18"/>
        <v>No Change</v>
      </c>
      <c r="I450" s="65" t="str">
        <f t="shared" si="19"/>
        <v>131323</v>
      </c>
      <c r="J450" s="65" t="str">
        <f t="shared" si="20"/>
        <v>131323</v>
      </c>
    </row>
    <row r="451" spans="1:10" x14ac:dyDescent="0.3">
      <c r="A451" s="27" t="s">
        <v>2898</v>
      </c>
      <c r="B451" s="27" t="str">
        <f>"13.1324"</f>
        <v>13.1324</v>
      </c>
      <c r="C451" s="64" t="s">
        <v>2899</v>
      </c>
      <c r="D451" s="27" t="s">
        <v>2229</v>
      </c>
      <c r="E451" s="27" t="s">
        <v>2232</v>
      </c>
      <c r="F451" s="27" t="str">
        <f>"13.1324"</f>
        <v>13.1324</v>
      </c>
      <c r="G451" s="27" t="s">
        <v>2899</v>
      </c>
      <c r="H451" s="65" t="str">
        <f t="shared" ref="H451:H514" si="21">IF(I451=J451,"No Change","Other")</f>
        <v>No Change</v>
      </c>
      <c r="I451" s="65" t="str">
        <f t="shared" ref="I451:I514" si="22">SUBSTITUTE(IF(SUM(LEN(B451))&lt;7,"",B451),".","")</f>
        <v>131324</v>
      </c>
      <c r="J451" s="65" t="str">
        <f t="shared" ref="J451:J514" si="23">SUBSTITUTE(IF(SUM(LEN(F451))&lt;7,"",F451),".","")</f>
        <v>131324</v>
      </c>
    </row>
    <row r="452" spans="1:10" x14ac:dyDescent="0.3">
      <c r="A452" s="27" t="s">
        <v>2900</v>
      </c>
      <c r="B452" s="27" t="str">
        <f>"13.1325"</f>
        <v>13.1325</v>
      </c>
      <c r="C452" s="64" t="s">
        <v>2901</v>
      </c>
      <c r="D452" s="27" t="s">
        <v>2229</v>
      </c>
      <c r="E452" s="27" t="s">
        <v>2232</v>
      </c>
      <c r="F452" s="27" t="str">
        <f>"13.1325"</f>
        <v>13.1325</v>
      </c>
      <c r="G452" s="27" t="s">
        <v>2901</v>
      </c>
      <c r="H452" s="65" t="str">
        <f t="shared" si="21"/>
        <v>No Change</v>
      </c>
      <c r="I452" s="65" t="str">
        <f t="shared" si="22"/>
        <v>131325</v>
      </c>
      <c r="J452" s="65" t="str">
        <f t="shared" si="23"/>
        <v>131325</v>
      </c>
    </row>
    <row r="453" spans="1:10" x14ac:dyDescent="0.3">
      <c r="A453" s="27" t="s">
        <v>2902</v>
      </c>
      <c r="B453" s="27" t="str">
        <f>"13.1326"</f>
        <v>13.1326</v>
      </c>
      <c r="C453" s="64" t="s">
        <v>2903</v>
      </c>
      <c r="D453" s="27" t="s">
        <v>2229</v>
      </c>
      <c r="E453" s="27" t="s">
        <v>2232</v>
      </c>
      <c r="F453" s="27" t="str">
        <f>"13.1326"</f>
        <v>13.1326</v>
      </c>
      <c r="G453" s="27" t="s">
        <v>2903</v>
      </c>
      <c r="H453" s="65" t="str">
        <f t="shared" si="21"/>
        <v>No Change</v>
      </c>
      <c r="I453" s="65" t="str">
        <f t="shared" si="22"/>
        <v>131326</v>
      </c>
      <c r="J453" s="65" t="str">
        <f t="shared" si="23"/>
        <v>131326</v>
      </c>
    </row>
    <row r="454" spans="1:10" x14ac:dyDescent="0.3">
      <c r="A454" s="27" t="s">
        <v>2904</v>
      </c>
      <c r="B454" s="27" t="str">
        <f>"13.1327"</f>
        <v>13.1327</v>
      </c>
      <c r="C454" s="64" t="s">
        <v>2905</v>
      </c>
      <c r="D454" s="27" t="s">
        <v>2229</v>
      </c>
      <c r="E454" s="27" t="s">
        <v>2232</v>
      </c>
      <c r="F454" s="27" t="str">
        <f>"13.1327"</f>
        <v>13.1327</v>
      </c>
      <c r="G454" s="27" t="s">
        <v>2905</v>
      </c>
      <c r="H454" s="65" t="str">
        <f t="shared" si="21"/>
        <v>No Change</v>
      </c>
      <c r="I454" s="65" t="str">
        <f t="shared" si="22"/>
        <v>131327</v>
      </c>
      <c r="J454" s="65" t="str">
        <f t="shared" si="23"/>
        <v>131327</v>
      </c>
    </row>
    <row r="455" spans="1:10" x14ac:dyDescent="0.3">
      <c r="A455" s="27" t="s">
        <v>2906</v>
      </c>
      <c r="B455" s="27" t="str">
        <f>"13.1328"</f>
        <v>13.1328</v>
      </c>
      <c r="C455" s="64" t="s">
        <v>2907</v>
      </c>
      <c r="D455" s="27" t="s">
        <v>2229</v>
      </c>
      <c r="E455" s="27" t="s">
        <v>2232</v>
      </c>
      <c r="F455" s="27" t="str">
        <f>"13.1328"</f>
        <v>13.1328</v>
      </c>
      <c r="G455" s="27" t="s">
        <v>2907</v>
      </c>
      <c r="H455" s="65" t="str">
        <f t="shared" si="21"/>
        <v>No Change</v>
      </c>
      <c r="I455" s="65" t="str">
        <f t="shared" si="22"/>
        <v>131328</v>
      </c>
      <c r="J455" s="65" t="str">
        <f t="shared" si="23"/>
        <v>131328</v>
      </c>
    </row>
    <row r="456" spans="1:10" x14ac:dyDescent="0.3">
      <c r="A456" s="27" t="s">
        <v>2908</v>
      </c>
      <c r="B456" s="27" t="str">
        <f>"13.1329"</f>
        <v>13.1329</v>
      </c>
      <c r="C456" s="64" t="s">
        <v>2909</v>
      </c>
      <c r="D456" s="27" t="s">
        <v>2229</v>
      </c>
      <c r="E456" s="27" t="s">
        <v>2232</v>
      </c>
      <c r="F456" s="27" t="str">
        <f>"13.1329"</f>
        <v>13.1329</v>
      </c>
      <c r="G456" s="27" t="s">
        <v>2909</v>
      </c>
      <c r="H456" s="65" t="str">
        <f t="shared" si="21"/>
        <v>No Change</v>
      </c>
      <c r="I456" s="65" t="str">
        <f t="shared" si="22"/>
        <v>131329</v>
      </c>
      <c r="J456" s="65" t="str">
        <f t="shared" si="23"/>
        <v>131329</v>
      </c>
    </row>
    <row r="457" spans="1:10" x14ac:dyDescent="0.3">
      <c r="A457" s="27" t="s">
        <v>2910</v>
      </c>
      <c r="B457" s="27" t="str">
        <f>"13.1330"</f>
        <v>13.1330</v>
      </c>
      <c r="C457" s="64" t="s">
        <v>2911</v>
      </c>
      <c r="D457" s="27" t="s">
        <v>2229</v>
      </c>
      <c r="E457" s="27" t="s">
        <v>2232</v>
      </c>
      <c r="F457" s="27" t="str">
        <f>"13.1330"</f>
        <v>13.1330</v>
      </c>
      <c r="G457" s="27" t="s">
        <v>2911</v>
      </c>
      <c r="H457" s="65" t="str">
        <f t="shared" si="21"/>
        <v>No Change</v>
      </c>
      <c r="I457" s="65" t="str">
        <f t="shared" si="22"/>
        <v>131330</v>
      </c>
      <c r="J457" s="65" t="str">
        <f t="shared" si="23"/>
        <v>131330</v>
      </c>
    </row>
    <row r="458" spans="1:10" x14ac:dyDescent="0.3">
      <c r="A458" s="27" t="s">
        <v>2912</v>
      </c>
      <c r="B458" s="27" t="str">
        <f>"13.1331"</f>
        <v>13.1331</v>
      </c>
      <c r="C458" s="64" t="s">
        <v>2913</v>
      </c>
      <c r="D458" s="27" t="s">
        <v>2229</v>
      </c>
      <c r="E458" s="27" t="s">
        <v>2232</v>
      </c>
      <c r="F458" s="27" t="str">
        <f>"13.1331"</f>
        <v>13.1331</v>
      </c>
      <c r="G458" s="27" t="s">
        <v>2913</v>
      </c>
      <c r="H458" s="65" t="str">
        <f t="shared" si="21"/>
        <v>No Change</v>
      </c>
      <c r="I458" s="65" t="str">
        <f t="shared" si="22"/>
        <v>131331</v>
      </c>
      <c r="J458" s="65" t="str">
        <f t="shared" si="23"/>
        <v>131331</v>
      </c>
    </row>
    <row r="459" spans="1:10" x14ac:dyDescent="0.3">
      <c r="A459" s="27" t="s">
        <v>2914</v>
      </c>
      <c r="B459" s="27" t="str">
        <f>"13.1332"</f>
        <v>13.1332</v>
      </c>
      <c r="C459" s="64" t="s">
        <v>2915</v>
      </c>
      <c r="D459" s="27" t="s">
        <v>2229</v>
      </c>
      <c r="E459" s="27" t="s">
        <v>2232</v>
      </c>
      <c r="F459" s="27" t="str">
        <f>"13.1332"</f>
        <v>13.1332</v>
      </c>
      <c r="G459" s="27" t="s">
        <v>2915</v>
      </c>
      <c r="H459" s="65" t="str">
        <f t="shared" si="21"/>
        <v>No Change</v>
      </c>
      <c r="I459" s="65" t="str">
        <f t="shared" si="22"/>
        <v>131332</v>
      </c>
      <c r="J459" s="65" t="str">
        <f t="shared" si="23"/>
        <v>131332</v>
      </c>
    </row>
    <row r="460" spans="1:10" x14ac:dyDescent="0.3">
      <c r="A460" s="27" t="s">
        <v>2916</v>
      </c>
      <c r="B460" s="27" t="str">
        <f>"13.1333"</f>
        <v>13.1333</v>
      </c>
      <c r="C460" s="64" t="s">
        <v>2917</v>
      </c>
      <c r="D460" s="27" t="s">
        <v>2229</v>
      </c>
      <c r="E460" s="27" t="s">
        <v>2232</v>
      </c>
      <c r="F460" s="27" t="str">
        <f>"13.1333"</f>
        <v>13.1333</v>
      </c>
      <c r="G460" s="27" t="s">
        <v>2917</v>
      </c>
      <c r="H460" s="65" t="str">
        <f t="shared" si="21"/>
        <v>No Change</v>
      </c>
      <c r="I460" s="65" t="str">
        <f t="shared" si="22"/>
        <v>131333</v>
      </c>
      <c r="J460" s="65" t="str">
        <f t="shared" si="23"/>
        <v>131333</v>
      </c>
    </row>
    <row r="461" spans="1:10" x14ac:dyDescent="0.3">
      <c r="A461" s="27" t="s">
        <v>2918</v>
      </c>
      <c r="B461" s="27" t="str">
        <f>"13.1334"</f>
        <v>13.1334</v>
      </c>
      <c r="C461" s="64" t="s">
        <v>2919</v>
      </c>
      <c r="D461" s="27" t="s">
        <v>2229</v>
      </c>
      <c r="E461" s="27" t="s">
        <v>2232</v>
      </c>
      <c r="F461" s="27" t="str">
        <f>"13.1334"</f>
        <v>13.1334</v>
      </c>
      <c r="G461" s="27" t="s">
        <v>2919</v>
      </c>
      <c r="H461" s="65" t="str">
        <f t="shared" si="21"/>
        <v>No Change</v>
      </c>
      <c r="I461" s="65" t="str">
        <f t="shared" si="22"/>
        <v>131334</v>
      </c>
      <c r="J461" s="65" t="str">
        <f t="shared" si="23"/>
        <v>131334</v>
      </c>
    </row>
    <row r="462" spans="1:10" x14ac:dyDescent="0.3">
      <c r="A462" s="27" t="s">
        <v>2920</v>
      </c>
      <c r="B462" s="27" t="str">
        <f>"13.1335"</f>
        <v>13.1335</v>
      </c>
      <c r="C462" s="64" t="s">
        <v>2921</v>
      </c>
      <c r="D462" s="27" t="s">
        <v>2229</v>
      </c>
      <c r="E462" s="27" t="s">
        <v>2232</v>
      </c>
      <c r="F462" s="27" t="str">
        <f>"13.1335"</f>
        <v>13.1335</v>
      </c>
      <c r="G462" s="27" t="s">
        <v>2921</v>
      </c>
      <c r="H462" s="65" t="str">
        <f t="shared" si="21"/>
        <v>No Change</v>
      </c>
      <c r="I462" s="65" t="str">
        <f t="shared" si="22"/>
        <v>131335</v>
      </c>
      <c r="J462" s="65" t="str">
        <f t="shared" si="23"/>
        <v>131335</v>
      </c>
    </row>
    <row r="463" spans="1:10" x14ac:dyDescent="0.3">
      <c r="A463" s="27" t="s">
        <v>2922</v>
      </c>
      <c r="B463" s="27" t="str">
        <f>"13.1337"</f>
        <v>13.1337</v>
      </c>
      <c r="C463" s="64" t="s">
        <v>2923</v>
      </c>
      <c r="D463" s="27" t="s">
        <v>2229</v>
      </c>
      <c r="E463" s="27" t="s">
        <v>2232</v>
      </c>
      <c r="F463" s="27" t="str">
        <f>"13.1337"</f>
        <v>13.1337</v>
      </c>
      <c r="G463" s="27" t="s">
        <v>2923</v>
      </c>
      <c r="H463" s="65" t="str">
        <f t="shared" si="21"/>
        <v>No Change</v>
      </c>
      <c r="I463" s="65" t="str">
        <f t="shared" si="22"/>
        <v>131337</v>
      </c>
      <c r="J463" s="65" t="str">
        <f t="shared" si="23"/>
        <v>131337</v>
      </c>
    </row>
    <row r="464" spans="1:10" x14ac:dyDescent="0.3">
      <c r="A464" s="27" t="s">
        <v>2924</v>
      </c>
      <c r="B464" s="27" t="str">
        <f>"13.1338"</f>
        <v>13.1338</v>
      </c>
      <c r="C464" s="64" t="s">
        <v>2925</v>
      </c>
      <c r="D464" s="27" t="s">
        <v>2229</v>
      </c>
      <c r="E464" s="27" t="s">
        <v>2232</v>
      </c>
      <c r="F464" s="27" t="str">
        <f>"13.1338"</f>
        <v>13.1338</v>
      </c>
      <c r="G464" s="27" t="s">
        <v>2925</v>
      </c>
      <c r="H464" s="65" t="str">
        <f t="shared" si="21"/>
        <v>No Change</v>
      </c>
      <c r="I464" s="65" t="str">
        <f t="shared" si="22"/>
        <v>131338</v>
      </c>
      <c r="J464" s="65" t="str">
        <f t="shared" si="23"/>
        <v>131338</v>
      </c>
    </row>
    <row r="465" spans="1:10" x14ac:dyDescent="0.3">
      <c r="A465" s="27" t="s">
        <v>1869</v>
      </c>
      <c r="D465" s="27" t="s">
        <v>2255</v>
      </c>
      <c r="E465" s="27" t="s">
        <v>2232</v>
      </c>
      <c r="F465" s="27" t="str">
        <f>"13.1339"</f>
        <v>13.1339</v>
      </c>
      <c r="G465" s="27" t="s">
        <v>2926</v>
      </c>
      <c r="H465" s="65" t="str">
        <f t="shared" si="21"/>
        <v>Other</v>
      </c>
      <c r="I465" s="65" t="str">
        <f t="shared" si="22"/>
        <v/>
      </c>
      <c r="J465" s="65" t="str">
        <f t="shared" si="23"/>
        <v>131339</v>
      </c>
    </row>
    <row r="466" spans="1:10" ht="28.8" x14ac:dyDescent="0.3">
      <c r="A466" s="27" t="s">
        <v>2927</v>
      </c>
      <c r="B466" s="27" t="str">
        <f>"13.1399"</f>
        <v>13.1399</v>
      </c>
      <c r="C466" s="64" t="s">
        <v>2928</v>
      </c>
      <c r="D466" s="27" t="s">
        <v>2229</v>
      </c>
      <c r="E466" s="27" t="s">
        <v>2232</v>
      </c>
      <c r="F466" s="27" t="str">
        <f>"13.1399"</f>
        <v>13.1399</v>
      </c>
      <c r="G466" s="27" t="s">
        <v>2928</v>
      </c>
      <c r="H466" s="65" t="str">
        <f t="shared" si="21"/>
        <v>No Change</v>
      </c>
      <c r="I466" s="65" t="str">
        <f t="shared" si="22"/>
        <v>131399</v>
      </c>
      <c r="J466" s="65" t="str">
        <f t="shared" si="23"/>
        <v>131399</v>
      </c>
    </row>
    <row r="467" spans="1:10" x14ac:dyDescent="0.3">
      <c r="A467" s="27" t="s">
        <v>1869</v>
      </c>
      <c r="B467" s="27" t="str">
        <f>"13.14"</f>
        <v>13.14</v>
      </c>
      <c r="C467" s="64" t="s">
        <v>2929</v>
      </c>
      <c r="D467" s="27" t="s">
        <v>2229</v>
      </c>
      <c r="E467" s="27" t="s">
        <v>2232</v>
      </c>
      <c r="F467" s="27" t="str">
        <f>"13.14"</f>
        <v>13.14</v>
      </c>
      <c r="G467" s="27" t="s">
        <v>2929</v>
      </c>
      <c r="H467" s="65" t="str">
        <f t="shared" si="21"/>
        <v>No Change</v>
      </c>
      <c r="I467" s="65" t="str">
        <f t="shared" si="22"/>
        <v/>
      </c>
      <c r="J467" s="65" t="str">
        <f t="shared" si="23"/>
        <v/>
      </c>
    </row>
    <row r="468" spans="1:10" ht="28.8" x14ac:dyDescent="0.3">
      <c r="A468" s="27" t="s">
        <v>2930</v>
      </c>
      <c r="B468" s="27" t="str">
        <f>"13.1401"</f>
        <v>13.1401</v>
      </c>
      <c r="C468" s="64" t="s">
        <v>2931</v>
      </c>
      <c r="D468" s="27" t="s">
        <v>2229</v>
      </c>
      <c r="E468" s="27" t="s">
        <v>2232</v>
      </c>
      <c r="F468" s="27" t="str">
        <f>"13.1401"</f>
        <v>13.1401</v>
      </c>
      <c r="G468" s="27" t="s">
        <v>2931</v>
      </c>
      <c r="H468" s="65" t="str">
        <f t="shared" si="21"/>
        <v>No Change</v>
      </c>
      <c r="I468" s="65" t="str">
        <f t="shared" si="22"/>
        <v>131401</v>
      </c>
      <c r="J468" s="65" t="str">
        <f t="shared" si="23"/>
        <v>131401</v>
      </c>
    </row>
    <row r="469" spans="1:10" x14ac:dyDescent="0.3">
      <c r="A469" s="27" t="s">
        <v>2932</v>
      </c>
      <c r="B469" s="27" t="str">
        <f>"13.1402"</f>
        <v>13.1402</v>
      </c>
      <c r="C469" s="64" t="s">
        <v>2933</v>
      </c>
      <c r="D469" s="27" t="s">
        <v>2229</v>
      </c>
      <c r="E469" s="27" t="s">
        <v>2232</v>
      </c>
      <c r="F469" s="27" t="str">
        <f>"13.1402"</f>
        <v>13.1402</v>
      </c>
      <c r="G469" s="27" t="s">
        <v>2933</v>
      </c>
      <c r="H469" s="65" t="str">
        <f t="shared" si="21"/>
        <v>No Change</v>
      </c>
      <c r="I469" s="65" t="str">
        <f t="shared" si="22"/>
        <v>131402</v>
      </c>
      <c r="J469" s="65" t="str">
        <f t="shared" si="23"/>
        <v>131402</v>
      </c>
    </row>
    <row r="470" spans="1:10" ht="28.8" x14ac:dyDescent="0.3">
      <c r="A470" s="27" t="s">
        <v>2934</v>
      </c>
      <c r="B470" s="27" t="str">
        <f>"13.1499"</f>
        <v>13.1499</v>
      </c>
      <c r="C470" s="64" t="s">
        <v>2935</v>
      </c>
      <c r="D470" s="27" t="s">
        <v>2229</v>
      </c>
      <c r="E470" s="27" t="s">
        <v>2232</v>
      </c>
      <c r="F470" s="27" t="str">
        <f>"13.1499"</f>
        <v>13.1499</v>
      </c>
      <c r="G470" s="27" t="s">
        <v>2935</v>
      </c>
      <c r="H470" s="65" t="str">
        <f t="shared" si="21"/>
        <v>No Change</v>
      </c>
      <c r="I470" s="65" t="str">
        <f t="shared" si="22"/>
        <v>131499</v>
      </c>
      <c r="J470" s="65" t="str">
        <f t="shared" si="23"/>
        <v>131499</v>
      </c>
    </row>
    <row r="471" spans="1:10" x14ac:dyDescent="0.3">
      <c r="A471" s="27" t="s">
        <v>1869</v>
      </c>
      <c r="B471" s="27" t="str">
        <f>"13.15"</f>
        <v>13.15</v>
      </c>
      <c r="C471" s="64" t="s">
        <v>2936</v>
      </c>
      <c r="D471" s="27" t="s">
        <v>2229</v>
      </c>
      <c r="E471" s="27" t="s">
        <v>2232</v>
      </c>
      <c r="F471" s="27" t="str">
        <f>"13.15"</f>
        <v>13.15</v>
      </c>
      <c r="G471" s="27" t="s">
        <v>2936</v>
      </c>
      <c r="H471" s="65" t="str">
        <f t="shared" si="21"/>
        <v>No Change</v>
      </c>
      <c r="I471" s="65" t="str">
        <f t="shared" si="22"/>
        <v/>
      </c>
      <c r="J471" s="65" t="str">
        <f t="shared" si="23"/>
        <v/>
      </c>
    </row>
    <row r="472" spans="1:10" x14ac:dyDescent="0.3">
      <c r="A472" s="27" t="s">
        <v>639</v>
      </c>
      <c r="B472" s="27" t="str">
        <f>"13.1501"</f>
        <v>13.1501</v>
      </c>
      <c r="C472" s="64" t="s">
        <v>640</v>
      </c>
      <c r="D472" s="27" t="s">
        <v>2229</v>
      </c>
      <c r="E472" s="27" t="s">
        <v>2232</v>
      </c>
      <c r="F472" s="27" t="str">
        <f>"13.1501"</f>
        <v>13.1501</v>
      </c>
      <c r="G472" s="27" t="s">
        <v>640</v>
      </c>
      <c r="H472" s="65" t="str">
        <f t="shared" si="21"/>
        <v>No Change</v>
      </c>
      <c r="I472" s="65" t="str">
        <f t="shared" si="22"/>
        <v>131501</v>
      </c>
      <c r="J472" s="65" t="str">
        <f t="shared" si="23"/>
        <v>131501</v>
      </c>
    </row>
    <row r="473" spans="1:10" x14ac:dyDescent="0.3">
      <c r="A473" s="27" t="s">
        <v>2937</v>
      </c>
      <c r="B473" s="27" t="str">
        <f>"13.1502"</f>
        <v>13.1502</v>
      </c>
      <c r="C473" s="64" t="s">
        <v>2938</v>
      </c>
      <c r="D473" s="27" t="s">
        <v>2229</v>
      </c>
      <c r="E473" s="27" t="s">
        <v>2232</v>
      </c>
      <c r="F473" s="27" t="str">
        <f>"13.1502"</f>
        <v>13.1502</v>
      </c>
      <c r="G473" s="27" t="s">
        <v>2938</v>
      </c>
      <c r="H473" s="65" t="str">
        <f t="shared" si="21"/>
        <v>No Change</v>
      </c>
      <c r="I473" s="65" t="str">
        <f t="shared" si="22"/>
        <v>131502</v>
      </c>
      <c r="J473" s="65" t="str">
        <f t="shared" si="23"/>
        <v>131502</v>
      </c>
    </row>
    <row r="474" spans="1:10" x14ac:dyDescent="0.3">
      <c r="A474" s="27" t="s">
        <v>2939</v>
      </c>
      <c r="B474" s="27" t="str">
        <f>"13.1599"</f>
        <v>13.1599</v>
      </c>
      <c r="C474" s="64" t="s">
        <v>2940</v>
      </c>
      <c r="D474" s="27" t="s">
        <v>2229</v>
      </c>
      <c r="E474" s="27" t="s">
        <v>2232</v>
      </c>
      <c r="F474" s="27" t="str">
        <f>"13.1599"</f>
        <v>13.1599</v>
      </c>
      <c r="G474" s="27" t="s">
        <v>2940</v>
      </c>
      <c r="H474" s="65" t="str">
        <f t="shared" si="21"/>
        <v>No Change</v>
      </c>
      <c r="I474" s="65" t="str">
        <f t="shared" si="22"/>
        <v>131599</v>
      </c>
      <c r="J474" s="65" t="str">
        <f t="shared" si="23"/>
        <v>131599</v>
      </c>
    </row>
    <row r="475" spans="1:10" x14ac:dyDescent="0.3">
      <c r="A475" s="27" t="s">
        <v>1869</v>
      </c>
      <c r="B475" s="27" t="str">
        <f>"13.99"</f>
        <v>13.99</v>
      </c>
      <c r="C475" s="64" t="s">
        <v>2941</v>
      </c>
      <c r="D475" s="27" t="s">
        <v>2229</v>
      </c>
      <c r="E475" s="27" t="s">
        <v>2232</v>
      </c>
      <c r="F475" s="27" t="str">
        <f>"13.99"</f>
        <v>13.99</v>
      </c>
      <c r="G475" s="27" t="s">
        <v>2941</v>
      </c>
      <c r="H475" s="65" t="str">
        <f t="shared" si="21"/>
        <v>No Change</v>
      </c>
      <c r="I475" s="65" t="str">
        <f t="shared" si="22"/>
        <v/>
      </c>
      <c r="J475" s="65" t="str">
        <f t="shared" si="23"/>
        <v/>
      </c>
    </row>
    <row r="476" spans="1:10" x14ac:dyDescent="0.3">
      <c r="A476" s="27" t="s">
        <v>2942</v>
      </c>
      <c r="B476" s="27" t="str">
        <f>"13.9999"</f>
        <v>13.9999</v>
      </c>
      <c r="C476" s="64" t="s">
        <v>2941</v>
      </c>
      <c r="D476" s="27" t="s">
        <v>2229</v>
      </c>
      <c r="E476" s="27" t="s">
        <v>2232</v>
      </c>
      <c r="F476" s="27" t="str">
        <f>"13.9999"</f>
        <v>13.9999</v>
      </c>
      <c r="G476" s="27" t="s">
        <v>2941</v>
      </c>
      <c r="H476" s="65" t="str">
        <f t="shared" si="21"/>
        <v>No Change</v>
      </c>
      <c r="I476" s="65" t="str">
        <f t="shared" si="22"/>
        <v>139999</v>
      </c>
      <c r="J476" s="65" t="str">
        <f t="shared" si="23"/>
        <v>139999</v>
      </c>
    </row>
    <row r="477" spans="1:10" x14ac:dyDescent="0.3">
      <c r="A477" s="27" t="s">
        <v>1869</v>
      </c>
      <c r="B477" s="27" t="str">
        <f>"14"</f>
        <v>14</v>
      </c>
      <c r="C477" s="64" t="s">
        <v>2943</v>
      </c>
      <c r="D477" s="27" t="s">
        <v>2229</v>
      </c>
      <c r="E477" s="27" t="s">
        <v>2232</v>
      </c>
      <c r="F477" s="27" t="str">
        <f>"14"</f>
        <v>14</v>
      </c>
      <c r="G477" s="27" t="s">
        <v>2943</v>
      </c>
      <c r="H477" s="65" t="str">
        <f t="shared" si="21"/>
        <v>No Change</v>
      </c>
      <c r="I477" s="65" t="str">
        <f t="shared" si="22"/>
        <v/>
      </c>
      <c r="J477" s="65" t="str">
        <f t="shared" si="23"/>
        <v/>
      </c>
    </row>
    <row r="478" spans="1:10" x14ac:dyDescent="0.3">
      <c r="A478" s="27" t="s">
        <v>1869</v>
      </c>
      <c r="B478" s="27" t="str">
        <f>"14.01"</f>
        <v>14.01</v>
      </c>
      <c r="C478" s="64" t="s">
        <v>2944</v>
      </c>
      <c r="D478" s="27" t="s">
        <v>2229</v>
      </c>
      <c r="E478" s="27" t="s">
        <v>2232</v>
      </c>
      <c r="F478" s="27" t="str">
        <f>"14.01"</f>
        <v>14.01</v>
      </c>
      <c r="G478" s="27" t="s">
        <v>2944</v>
      </c>
      <c r="H478" s="65" t="str">
        <f t="shared" si="21"/>
        <v>No Change</v>
      </c>
      <c r="I478" s="65" t="str">
        <f t="shared" si="22"/>
        <v/>
      </c>
      <c r="J478" s="65" t="str">
        <f t="shared" si="23"/>
        <v/>
      </c>
    </row>
    <row r="479" spans="1:10" x14ac:dyDescent="0.3">
      <c r="A479" s="27" t="s">
        <v>2945</v>
      </c>
      <c r="B479" s="27" t="str">
        <f>"14.0101"</f>
        <v>14.0101</v>
      </c>
      <c r="C479" s="64" t="s">
        <v>2944</v>
      </c>
      <c r="D479" s="27" t="s">
        <v>2229</v>
      </c>
      <c r="E479" s="27" t="s">
        <v>2232</v>
      </c>
      <c r="F479" s="27" t="str">
        <f>"14.0101"</f>
        <v>14.0101</v>
      </c>
      <c r="G479" s="27" t="s">
        <v>2944</v>
      </c>
      <c r="H479" s="65" t="str">
        <f t="shared" si="21"/>
        <v>No Change</v>
      </c>
      <c r="I479" s="65" t="str">
        <f t="shared" si="22"/>
        <v>140101</v>
      </c>
      <c r="J479" s="65" t="str">
        <f t="shared" si="23"/>
        <v>140101</v>
      </c>
    </row>
    <row r="480" spans="1:10" x14ac:dyDescent="0.3">
      <c r="A480" s="27" t="s">
        <v>2946</v>
      </c>
      <c r="B480" s="27" t="str">
        <f>"14.0102"</f>
        <v>14.0102</v>
      </c>
      <c r="C480" s="64" t="s">
        <v>2947</v>
      </c>
      <c r="D480" s="27" t="s">
        <v>2229</v>
      </c>
      <c r="E480" s="27" t="s">
        <v>2232</v>
      </c>
      <c r="F480" s="27" t="str">
        <f>"14.0102"</f>
        <v>14.0102</v>
      </c>
      <c r="G480" s="27" t="s">
        <v>2947</v>
      </c>
      <c r="H480" s="65" t="str">
        <f t="shared" si="21"/>
        <v>No Change</v>
      </c>
      <c r="I480" s="65" t="str">
        <f t="shared" si="22"/>
        <v>140102</v>
      </c>
      <c r="J480" s="65" t="str">
        <f t="shared" si="23"/>
        <v>140102</v>
      </c>
    </row>
    <row r="481" spans="1:10" x14ac:dyDescent="0.3">
      <c r="A481" s="27" t="s">
        <v>1869</v>
      </c>
      <c r="D481" s="27" t="s">
        <v>2255</v>
      </c>
      <c r="E481" s="27" t="s">
        <v>2232</v>
      </c>
      <c r="F481" s="27" t="str">
        <f>"14.0103"</f>
        <v>14.0103</v>
      </c>
      <c r="G481" s="27" t="s">
        <v>2948</v>
      </c>
      <c r="H481" s="65" t="str">
        <f t="shared" si="21"/>
        <v>Other</v>
      </c>
      <c r="I481" s="65" t="str">
        <f t="shared" si="22"/>
        <v/>
      </c>
      <c r="J481" s="65" t="str">
        <f t="shared" si="23"/>
        <v>140103</v>
      </c>
    </row>
    <row r="482" spans="1:10" x14ac:dyDescent="0.3">
      <c r="A482" s="27" t="s">
        <v>1869</v>
      </c>
      <c r="B482" s="27" t="str">
        <f>"14.02"</f>
        <v>14.02</v>
      </c>
      <c r="C482" s="64" t="s">
        <v>2949</v>
      </c>
      <c r="D482" s="27" t="s">
        <v>2229</v>
      </c>
      <c r="E482" s="27" t="s">
        <v>2230</v>
      </c>
      <c r="F482" s="27" t="str">
        <f>"14.02"</f>
        <v>14.02</v>
      </c>
      <c r="G482" s="27" t="s">
        <v>2950</v>
      </c>
      <c r="H482" s="65" t="str">
        <f t="shared" si="21"/>
        <v>No Change</v>
      </c>
      <c r="I482" s="65" t="str">
        <f t="shared" si="22"/>
        <v/>
      </c>
      <c r="J482" s="65" t="str">
        <f t="shared" si="23"/>
        <v/>
      </c>
    </row>
    <row r="483" spans="1:10" x14ac:dyDescent="0.3">
      <c r="A483" s="27" t="s">
        <v>2951</v>
      </c>
      <c r="B483" s="27" t="str">
        <f>"14.0201"</f>
        <v>14.0201</v>
      </c>
      <c r="C483" s="64" t="s">
        <v>2952</v>
      </c>
      <c r="D483" s="27" t="s">
        <v>2229</v>
      </c>
      <c r="E483" s="27" t="s">
        <v>2230</v>
      </c>
      <c r="F483" s="27" t="str">
        <f>"14.0201"</f>
        <v>14.0201</v>
      </c>
      <c r="G483" s="27" t="s">
        <v>2953</v>
      </c>
      <c r="H483" s="65" t="str">
        <f t="shared" si="21"/>
        <v>No Change</v>
      </c>
      <c r="I483" s="65" t="str">
        <f t="shared" si="22"/>
        <v>140201</v>
      </c>
      <c r="J483" s="65" t="str">
        <f t="shared" si="23"/>
        <v>140201</v>
      </c>
    </row>
    <row r="484" spans="1:10" x14ac:dyDescent="0.3">
      <c r="A484" s="27" t="s">
        <v>1869</v>
      </c>
      <c r="D484" s="27" t="s">
        <v>2255</v>
      </c>
      <c r="E484" s="27" t="s">
        <v>2232</v>
      </c>
      <c r="F484" s="27" t="str">
        <f>"14.0202"</f>
        <v>14.0202</v>
      </c>
      <c r="G484" s="27" t="s">
        <v>2954</v>
      </c>
      <c r="H484" s="65" t="str">
        <f t="shared" si="21"/>
        <v>Other</v>
      </c>
      <c r="I484" s="65" t="str">
        <f t="shared" si="22"/>
        <v/>
      </c>
      <c r="J484" s="65" t="str">
        <f t="shared" si="23"/>
        <v>140202</v>
      </c>
    </row>
    <row r="485" spans="1:10" x14ac:dyDescent="0.3">
      <c r="A485" s="27" t="s">
        <v>1869</v>
      </c>
      <c r="D485" s="27" t="s">
        <v>2255</v>
      </c>
      <c r="E485" s="27" t="s">
        <v>2232</v>
      </c>
      <c r="F485" s="27" t="str">
        <f>"14.0299"</f>
        <v>14.0299</v>
      </c>
      <c r="G485" s="27" t="s">
        <v>2955</v>
      </c>
      <c r="H485" s="65" t="str">
        <f t="shared" si="21"/>
        <v>Other</v>
      </c>
      <c r="I485" s="65" t="str">
        <f t="shared" si="22"/>
        <v/>
      </c>
      <c r="J485" s="65" t="str">
        <f t="shared" si="23"/>
        <v>140299</v>
      </c>
    </row>
    <row r="486" spans="1:10" x14ac:dyDescent="0.3">
      <c r="A486" s="27" t="s">
        <v>1869</v>
      </c>
      <c r="B486" s="27" t="str">
        <f>"14.03"</f>
        <v>14.03</v>
      </c>
      <c r="C486" s="64" t="s">
        <v>2956</v>
      </c>
      <c r="D486" s="27" t="s">
        <v>2229</v>
      </c>
      <c r="E486" s="27" t="s">
        <v>2232</v>
      </c>
      <c r="F486" s="27" t="str">
        <f>"14.03"</f>
        <v>14.03</v>
      </c>
      <c r="G486" s="27" t="s">
        <v>2956</v>
      </c>
      <c r="H486" s="65" t="str">
        <f t="shared" si="21"/>
        <v>No Change</v>
      </c>
      <c r="I486" s="65" t="str">
        <f t="shared" si="22"/>
        <v/>
      </c>
      <c r="J486" s="65" t="str">
        <f t="shared" si="23"/>
        <v/>
      </c>
    </row>
    <row r="487" spans="1:10" x14ac:dyDescent="0.3">
      <c r="A487" s="27" t="s">
        <v>2957</v>
      </c>
      <c r="B487" s="27" t="str">
        <f>"14.0301"</f>
        <v>14.0301</v>
      </c>
      <c r="C487" s="64" t="s">
        <v>2956</v>
      </c>
      <c r="D487" s="27" t="s">
        <v>2229</v>
      </c>
      <c r="E487" s="27" t="s">
        <v>2232</v>
      </c>
      <c r="F487" s="27" t="str">
        <f>"14.0301"</f>
        <v>14.0301</v>
      </c>
      <c r="G487" s="27" t="s">
        <v>2956</v>
      </c>
      <c r="H487" s="65" t="str">
        <f t="shared" si="21"/>
        <v>No Change</v>
      </c>
      <c r="I487" s="65" t="str">
        <f t="shared" si="22"/>
        <v>140301</v>
      </c>
      <c r="J487" s="65" t="str">
        <f t="shared" si="23"/>
        <v>140301</v>
      </c>
    </row>
    <row r="488" spans="1:10" x14ac:dyDescent="0.3">
      <c r="A488" s="27" t="s">
        <v>1869</v>
      </c>
      <c r="B488" s="27" t="str">
        <f>"14.04"</f>
        <v>14.04</v>
      </c>
      <c r="C488" s="64" t="s">
        <v>2958</v>
      </c>
      <c r="D488" s="27" t="s">
        <v>2229</v>
      </c>
      <c r="E488" s="27" t="s">
        <v>2232</v>
      </c>
      <c r="F488" s="27" t="str">
        <f>"14.04"</f>
        <v>14.04</v>
      </c>
      <c r="G488" s="27" t="s">
        <v>2958</v>
      </c>
      <c r="H488" s="65" t="str">
        <f t="shared" si="21"/>
        <v>No Change</v>
      </c>
      <c r="I488" s="65" t="str">
        <f t="shared" si="22"/>
        <v/>
      </c>
      <c r="J488" s="65" t="str">
        <f t="shared" si="23"/>
        <v/>
      </c>
    </row>
    <row r="489" spans="1:10" x14ac:dyDescent="0.3">
      <c r="A489" s="27" t="s">
        <v>2959</v>
      </c>
      <c r="B489" s="27" t="str">
        <f>"14.0401"</f>
        <v>14.0401</v>
      </c>
      <c r="C489" s="64" t="s">
        <v>2958</v>
      </c>
      <c r="D489" s="27" t="s">
        <v>2229</v>
      </c>
      <c r="E489" s="27" t="s">
        <v>2232</v>
      </c>
      <c r="F489" s="27" t="str">
        <f>"14.0401"</f>
        <v>14.0401</v>
      </c>
      <c r="G489" s="27" t="s">
        <v>2958</v>
      </c>
      <c r="H489" s="65" t="str">
        <f t="shared" si="21"/>
        <v>No Change</v>
      </c>
      <c r="I489" s="65" t="str">
        <f t="shared" si="22"/>
        <v>140401</v>
      </c>
      <c r="J489" s="65" t="str">
        <f t="shared" si="23"/>
        <v>140401</v>
      </c>
    </row>
    <row r="490" spans="1:10" x14ac:dyDescent="0.3">
      <c r="A490" s="27" t="s">
        <v>1869</v>
      </c>
      <c r="B490" s="27" t="str">
        <f>"14.05"</f>
        <v>14.05</v>
      </c>
      <c r="C490" s="64" t="s">
        <v>2960</v>
      </c>
      <c r="D490" s="27" t="s">
        <v>2229</v>
      </c>
      <c r="E490" s="27" t="s">
        <v>2232</v>
      </c>
      <c r="F490" s="27" t="str">
        <f>"14.05"</f>
        <v>14.05</v>
      </c>
      <c r="G490" s="27" t="s">
        <v>2960</v>
      </c>
      <c r="H490" s="65" t="str">
        <f t="shared" si="21"/>
        <v>No Change</v>
      </c>
      <c r="I490" s="65" t="str">
        <f t="shared" si="22"/>
        <v/>
      </c>
      <c r="J490" s="65" t="str">
        <f t="shared" si="23"/>
        <v/>
      </c>
    </row>
    <row r="491" spans="1:10" x14ac:dyDescent="0.3">
      <c r="A491" s="27" t="s">
        <v>2961</v>
      </c>
      <c r="B491" s="27" t="str">
        <f>"14.0501"</f>
        <v>14.0501</v>
      </c>
      <c r="C491" s="64" t="s">
        <v>2962</v>
      </c>
      <c r="D491" s="27" t="s">
        <v>2229</v>
      </c>
      <c r="E491" s="27" t="s">
        <v>2232</v>
      </c>
      <c r="F491" s="27" t="str">
        <f>"14.0501"</f>
        <v>14.0501</v>
      </c>
      <c r="G491" s="27" t="s">
        <v>2962</v>
      </c>
      <c r="H491" s="65" t="str">
        <f t="shared" si="21"/>
        <v>No Change</v>
      </c>
      <c r="I491" s="65" t="str">
        <f t="shared" si="22"/>
        <v>140501</v>
      </c>
      <c r="J491" s="65" t="str">
        <f t="shared" si="23"/>
        <v>140501</v>
      </c>
    </row>
    <row r="492" spans="1:10" x14ac:dyDescent="0.3">
      <c r="A492" s="27" t="s">
        <v>1869</v>
      </c>
      <c r="B492" s="27" t="str">
        <f>"14.06"</f>
        <v>14.06</v>
      </c>
      <c r="C492" s="64" t="s">
        <v>2963</v>
      </c>
      <c r="D492" s="27" t="s">
        <v>2229</v>
      </c>
      <c r="E492" s="27" t="s">
        <v>2232</v>
      </c>
      <c r="F492" s="27" t="str">
        <f>"14.06"</f>
        <v>14.06</v>
      </c>
      <c r="G492" s="27" t="s">
        <v>2963</v>
      </c>
      <c r="H492" s="65" t="str">
        <f t="shared" si="21"/>
        <v>No Change</v>
      </c>
      <c r="I492" s="65" t="str">
        <f t="shared" si="22"/>
        <v/>
      </c>
      <c r="J492" s="65" t="str">
        <f t="shared" si="23"/>
        <v/>
      </c>
    </row>
    <row r="493" spans="1:10" x14ac:dyDescent="0.3">
      <c r="A493" s="27" t="s">
        <v>2964</v>
      </c>
      <c r="B493" s="27" t="str">
        <f>"14.0601"</f>
        <v>14.0601</v>
      </c>
      <c r="C493" s="64" t="s">
        <v>2963</v>
      </c>
      <c r="D493" s="27" t="s">
        <v>2229</v>
      </c>
      <c r="E493" s="27" t="s">
        <v>2232</v>
      </c>
      <c r="F493" s="27" t="str">
        <f>"14.0601"</f>
        <v>14.0601</v>
      </c>
      <c r="G493" s="27" t="s">
        <v>2963</v>
      </c>
      <c r="H493" s="65" t="str">
        <f t="shared" si="21"/>
        <v>No Change</v>
      </c>
      <c r="I493" s="65" t="str">
        <f t="shared" si="22"/>
        <v>140601</v>
      </c>
      <c r="J493" s="65" t="str">
        <f t="shared" si="23"/>
        <v>140601</v>
      </c>
    </row>
    <row r="494" spans="1:10" x14ac:dyDescent="0.3">
      <c r="A494" s="27" t="s">
        <v>1869</v>
      </c>
      <c r="B494" s="27" t="str">
        <f>"14.07"</f>
        <v>14.07</v>
      </c>
      <c r="C494" s="64" t="s">
        <v>2965</v>
      </c>
      <c r="D494" s="27" t="s">
        <v>2229</v>
      </c>
      <c r="E494" s="27" t="s">
        <v>2232</v>
      </c>
      <c r="F494" s="27" t="str">
        <f>"14.07"</f>
        <v>14.07</v>
      </c>
      <c r="G494" s="27" t="s">
        <v>2965</v>
      </c>
      <c r="H494" s="65" t="str">
        <f t="shared" si="21"/>
        <v>No Change</v>
      </c>
      <c r="I494" s="65" t="str">
        <f t="shared" si="22"/>
        <v/>
      </c>
      <c r="J494" s="65" t="str">
        <f t="shared" si="23"/>
        <v/>
      </c>
    </row>
    <row r="495" spans="1:10" x14ac:dyDescent="0.3">
      <c r="A495" s="27" t="s">
        <v>2966</v>
      </c>
      <c r="B495" s="27" t="str">
        <f>"14.0701"</f>
        <v>14.0701</v>
      </c>
      <c r="C495" s="64" t="s">
        <v>2965</v>
      </c>
      <c r="D495" s="27" t="s">
        <v>2229</v>
      </c>
      <c r="E495" s="27" t="s">
        <v>2232</v>
      </c>
      <c r="F495" s="27" t="str">
        <f>"14.0701"</f>
        <v>14.0701</v>
      </c>
      <c r="G495" s="27" t="s">
        <v>2965</v>
      </c>
      <c r="H495" s="65" t="str">
        <f t="shared" si="21"/>
        <v>No Change</v>
      </c>
      <c r="I495" s="65" t="str">
        <f t="shared" si="22"/>
        <v>140701</v>
      </c>
      <c r="J495" s="65" t="str">
        <f t="shared" si="23"/>
        <v>140701</v>
      </c>
    </row>
    <row r="496" spans="1:10" x14ac:dyDescent="0.3">
      <c r="A496" s="27" t="s">
        <v>2967</v>
      </c>
      <c r="B496" s="27" t="str">
        <f>"14.0702"</f>
        <v>14.0702</v>
      </c>
      <c r="C496" s="64" t="s">
        <v>2968</v>
      </c>
      <c r="D496" s="27" t="s">
        <v>2229</v>
      </c>
      <c r="E496" s="27" t="s">
        <v>2232</v>
      </c>
      <c r="F496" s="27" t="str">
        <f>"14.0702"</f>
        <v>14.0702</v>
      </c>
      <c r="G496" s="27" t="s">
        <v>2968</v>
      </c>
      <c r="H496" s="65" t="str">
        <f t="shared" si="21"/>
        <v>No Change</v>
      </c>
      <c r="I496" s="65" t="str">
        <f t="shared" si="22"/>
        <v>140702</v>
      </c>
      <c r="J496" s="65" t="str">
        <f t="shared" si="23"/>
        <v>140702</v>
      </c>
    </row>
    <row r="497" spans="1:10" x14ac:dyDescent="0.3">
      <c r="A497" s="27" t="s">
        <v>2969</v>
      </c>
      <c r="B497" s="27" t="str">
        <f>"14.0799"</f>
        <v>14.0799</v>
      </c>
      <c r="C497" s="64" t="s">
        <v>2970</v>
      </c>
      <c r="D497" s="27" t="s">
        <v>2229</v>
      </c>
      <c r="E497" s="27" t="s">
        <v>2232</v>
      </c>
      <c r="F497" s="27" t="str">
        <f>"14.0799"</f>
        <v>14.0799</v>
      </c>
      <c r="G497" s="27" t="s">
        <v>2970</v>
      </c>
      <c r="H497" s="65" t="str">
        <f t="shared" si="21"/>
        <v>No Change</v>
      </c>
      <c r="I497" s="65" t="str">
        <f t="shared" si="22"/>
        <v>140799</v>
      </c>
      <c r="J497" s="65" t="str">
        <f t="shared" si="23"/>
        <v>140799</v>
      </c>
    </row>
    <row r="498" spans="1:10" x14ac:dyDescent="0.3">
      <c r="A498" s="27" t="s">
        <v>1869</v>
      </c>
      <c r="B498" s="27" t="str">
        <f>"14.08"</f>
        <v>14.08</v>
      </c>
      <c r="C498" s="64" t="s">
        <v>2971</v>
      </c>
      <c r="D498" s="27" t="s">
        <v>2229</v>
      </c>
      <c r="E498" s="27" t="s">
        <v>2232</v>
      </c>
      <c r="F498" s="27" t="str">
        <f>"14.08"</f>
        <v>14.08</v>
      </c>
      <c r="G498" s="27" t="s">
        <v>2971</v>
      </c>
      <c r="H498" s="65" t="str">
        <f t="shared" si="21"/>
        <v>No Change</v>
      </c>
      <c r="I498" s="65" t="str">
        <f t="shared" si="22"/>
        <v/>
      </c>
      <c r="J498" s="65" t="str">
        <f t="shared" si="23"/>
        <v/>
      </c>
    </row>
    <row r="499" spans="1:10" x14ac:dyDescent="0.3">
      <c r="A499" s="27" t="s">
        <v>2972</v>
      </c>
      <c r="B499" s="27" t="str">
        <f>"14.0801"</f>
        <v>14.0801</v>
      </c>
      <c r="C499" s="64" t="s">
        <v>2973</v>
      </c>
      <c r="D499" s="27" t="s">
        <v>2229</v>
      </c>
      <c r="E499" s="27" t="s">
        <v>2232</v>
      </c>
      <c r="F499" s="27" t="str">
        <f>"14.0801"</f>
        <v>14.0801</v>
      </c>
      <c r="G499" s="27" t="s">
        <v>2973</v>
      </c>
      <c r="H499" s="65" t="str">
        <f t="shared" si="21"/>
        <v>No Change</v>
      </c>
      <c r="I499" s="65" t="str">
        <f t="shared" si="22"/>
        <v>140801</v>
      </c>
      <c r="J499" s="65" t="str">
        <f t="shared" si="23"/>
        <v>140801</v>
      </c>
    </row>
    <row r="500" spans="1:10" x14ac:dyDescent="0.3">
      <c r="A500" s="27" t="s">
        <v>2974</v>
      </c>
      <c r="B500" s="27" t="str">
        <f>"14.0802"</f>
        <v>14.0802</v>
      </c>
      <c r="C500" s="64" t="s">
        <v>2975</v>
      </c>
      <c r="D500" s="27" t="s">
        <v>2229</v>
      </c>
      <c r="E500" s="27" t="s">
        <v>2232</v>
      </c>
      <c r="F500" s="27" t="str">
        <f>"14.0802"</f>
        <v>14.0802</v>
      </c>
      <c r="G500" s="27" t="s">
        <v>2975</v>
      </c>
      <c r="H500" s="65" t="str">
        <f t="shared" si="21"/>
        <v>No Change</v>
      </c>
      <c r="I500" s="65" t="str">
        <f t="shared" si="22"/>
        <v>140802</v>
      </c>
      <c r="J500" s="65" t="str">
        <f t="shared" si="23"/>
        <v>140802</v>
      </c>
    </row>
    <row r="501" spans="1:10" x14ac:dyDescent="0.3">
      <c r="A501" s="27" t="s">
        <v>2976</v>
      </c>
      <c r="B501" s="27" t="str">
        <f>"14.0803"</f>
        <v>14.0803</v>
      </c>
      <c r="C501" s="64" t="s">
        <v>2977</v>
      </c>
      <c r="D501" s="27" t="s">
        <v>2229</v>
      </c>
      <c r="E501" s="27" t="s">
        <v>2232</v>
      </c>
      <c r="F501" s="27" t="str">
        <f>"14.0803"</f>
        <v>14.0803</v>
      </c>
      <c r="G501" s="27" t="s">
        <v>2977</v>
      </c>
      <c r="H501" s="65" t="str">
        <f t="shared" si="21"/>
        <v>No Change</v>
      </c>
      <c r="I501" s="65" t="str">
        <f t="shared" si="22"/>
        <v>140803</v>
      </c>
      <c r="J501" s="65" t="str">
        <f t="shared" si="23"/>
        <v>140803</v>
      </c>
    </row>
    <row r="502" spans="1:10" x14ac:dyDescent="0.3">
      <c r="A502" s="27" t="s">
        <v>2978</v>
      </c>
      <c r="B502" s="27" t="str">
        <f>"14.0804"</f>
        <v>14.0804</v>
      </c>
      <c r="C502" s="64" t="s">
        <v>2979</v>
      </c>
      <c r="D502" s="27" t="s">
        <v>2229</v>
      </c>
      <c r="E502" s="27" t="s">
        <v>2232</v>
      </c>
      <c r="F502" s="27" t="str">
        <f>"14.0804"</f>
        <v>14.0804</v>
      </c>
      <c r="G502" s="27" t="s">
        <v>2979</v>
      </c>
      <c r="H502" s="65" t="str">
        <f t="shared" si="21"/>
        <v>No Change</v>
      </c>
      <c r="I502" s="65" t="str">
        <f t="shared" si="22"/>
        <v>140804</v>
      </c>
      <c r="J502" s="65" t="str">
        <f t="shared" si="23"/>
        <v>140804</v>
      </c>
    </row>
    <row r="503" spans="1:10" x14ac:dyDescent="0.3">
      <c r="A503" s="27" t="s">
        <v>2980</v>
      </c>
      <c r="B503" s="27" t="str">
        <f>"14.0805"</f>
        <v>14.0805</v>
      </c>
      <c r="C503" s="64" t="s">
        <v>2981</v>
      </c>
      <c r="D503" s="27" t="s">
        <v>2229</v>
      </c>
      <c r="E503" s="27" t="s">
        <v>2232</v>
      </c>
      <c r="F503" s="27" t="str">
        <f>"14.0805"</f>
        <v>14.0805</v>
      </c>
      <c r="G503" s="27" t="s">
        <v>2981</v>
      </c>
      <c r="H503" s="65" t="str">
        <f t="shared" si="21"/>
        <v>No Change</v>
      </c>
      <c r="I503" s="65" t="str">
        <f t="shared" si="22"/>
        <v>140805</v>
      </c>
      <c r="J503" s="65" t="str">
        <f t="shared" si="23"/>
        <v>140805</v>
      </c>
    </row>
    <row r="504" spans="1:10" x14ac:dyDescent="0.3">
      <c r="A504" s="27" t="s">
        <v>2982</v>
      </c>
      <c r="B504" s="27" t="str">
        <f>"14.0899"</f>
        <v>14.0899</v>
      </c>
      <c r="C504" s="64" t="s">
        <v>2983</v>
      </c>
      <c r="D504" s="27" t="s">
        <v>2229</v>
      </c>
      <c r="E504" s="27" t="s">
        <v>2232</v>
      </c>
      <c r="F504" s="27" t="str">
        <f>"14.0899"</f>
        <v>14.0899</v>
      </c>
      <c r="G504" s="27" t="s">
        <v>2983</v>
      </c>
      <c r="H504" s="65" t="str">
        <f t="shared" si="21"/>
        <v>No Change</v>
      </c>
      <c r="I504" s="65" t="str">
        <f t="shared" si="22"/>
        <v>140899</v>
      </c>
      <c r="J504" s="65" t="str">
        <f t="shared" si="23"/>
        <v>140899</v>
      </c>
    </row>
    <row r="505" spans="1:10" x14ac:dyDescent="0.3">
      <c r="A505" s="27" t="s">
        <v>1869</v>
      </c>
      <c r="B505" s="27" t="str">
        <f>"14.09"</f>
        <v>14.09</v>
      </c>
      <c r="C505" s="64" t="s">
        <v>2984</v>
      </c>
      <c r="D505" s="27" t="s">
        <v>2229</v>
      </c>
      <c r="E505" s="27" t="s">
        <v>2232</v>
      </c>
      <c r="F505" s="27" t="str">
        <f>"14.09"</f>
        <v>14.09</v>
      </c>
      <c r="G505" s="27" t="s">
        <v>2984</v>
      </c>
      <c r="H505" s="65" t="str">
        <f t="shared" si="21"/>
        <v>No Change</v>
      </c>
      <c r="I505" s="65" t="str">
        <f t="shared" si="22"/>
        <v/>
      </c>
      <c r="J505" s="65" t="str">
        <f t="shared" si="23"/>
        <v/>
      </c>
    </row>
    <row r="506" spans="1:10" x14ac:dyDescent="0.3">
      <c r="A506" s="27" t="s">
        <v>2985</v>
      </c>
      <c r="B506" s="27" t="str">
        <f>"14.0901"</f>
        <v>14.0901</v>
      </c>
      <c r="C506" s="64" t="s">
        <v>2986</v>
      </c>
      <c r="D506" s="27" t="s">
        <v>2229</v>
      </c>
      <c r="E506" s="27" t="s">
        <v>2232</v>
      </c>
      <c r="F506" s="27" t="str">
        <f>"14.0901"</f>
        <v>14.0901</v>
      </c>
      <c r="G506" s="27" t="s">
        <v>2986</v>
      </c>
      <c r="H506" s="65" t="str">
        <f t="shared" si="21"/>
        <v>No Change</v>
      </c>
      <c r="I506" s="65" t="str">
        <f t="shared" si="22"/>
        <v>140901</v>
      </c>
      <c r="J506" s="65" t="str">
        <f t="shared" si="23"/>
        <v>140901</v>
      </c>
    </row>
    <row r="507" spans="1:10" x14ac:dyDescent="0.3">
      <c r="A507" s="27" t="s">
        <v>2987</v>
      </c>
      <c r="B507" s="27" t="str">
        <f>"14.0902"</f>
        <v>14.0902</v>
      </c>
      <c r="C507" s="64" t="s">
        <v>2988</v>
      </c>
      <c r="D507" s="27" t="s">
        <v>2229</v>
      </c>
      <c r="E507" s="27" t="s">
        <v>2232</v>
      </c>
      <c r="F507" s="27" t="str">
        <f>"14.0902"</f>
        <v>14.0902</v>
      </c>
      <c r="G507" s="27" t="s">
        <v>2988</v>
      </c>
      <c r="H507" s="65" t="str">
        <f t="shared" si="21"/>
        <v>No Change</v>
      </c>
      <c r="I507" s="65" t="str">
        <f t="shared" si="22"/>
        <v>140902</v>
      </c>
      <c r="J507" s="65" t="str">
        <f t="shared" si="23"/>
        <v>140902</v>
      </c>
    </row>
    <row r="508" spans="1:10" x14ac:dyDescent="0.3">
      <c r="A508" s="27" t="s">
        <v>2989</v>
      </c>
      <c r="B508" s="27" t="str">
        <f>"14.0903"</f>
        <v>14.0903</v>
      </c>
      <c r="C508" s="64" t="s">
        <v>2990</v>
      </c>
      <c r="D508" s="27" t="s">
        <v>2229</v>
      </c>
      <c r="E508" s="27" t="s">
        <v>2232</v>
      </c>
      <c r="F508" s="27" t="str">
        <f>"14.0903"</f>
        <v>14.0903</v>
      </c>
      <c r="G508" s="27" t="s">
        <v>2990</v>
      </c>
      <c r="H508" s="65" t="str">
        <f t="shared" si="21"/>
        <v>No Change</v>
      </c>
      <c r="I508" s="65" t="str">
        <f t="shared" si="22"/>
        <v>140903</v>
      </c>
      <c r="J508" s="65" t="str">
        <f t="shared" si="23"/>
        <v>140903</v>
      </c>
    </row>
    <row r="509" spans="1:10" x14ac:dyDescent="0.3">
      <c r="A509" s="27" t="s">
        <v>2991</v>
      </c>
      <c r="B509" s="27" t="str">
        <f>"14.0999"</f>
        <v>14.0999</v>
      </c>
      <c r="C509" s="64" t="s">
        <v>2992</v>
      </c>
      <c r="D509" s="27" t="s">
        <v>2229</v>
      </c>
      <c r="E509" s="27" t="s">
        <v>2232</v>
      </c>
      <c r="F509" s="27" t="str">
        <f>"14.0999"</f>
        <v>14.0999</v>
      </c>
      <c r="G509" s="27" t="s">
        <v>2992</v>
      </c>
      <c r="H509" s="65" t="str">
        <f t="shared" si="21"/>
        <v>No Change</v>
      </c>
      <c r="I509" s="65" t="str">
        <f t="shared" si="22"/>
        <v>140999</v>
      </c>
      <c r="J509" s="65" t="str">
        <f t="shared" si="23"/>
        <v>140999</v>
      </c>
    </row>
    <row r="510" spans="1:10" x14ac:dyDescent="0.3">
      <c r="A510" s="27" t="s">
        <v>1869</v>
      </c>
      <c r="B510" s="27" t="str">
        <f>"14.10"</f>
        <v>14.10</v>
      </c>
      <c r="C510" s="64" t="s">
        <v>2993</v>
      </c>
      <c r="D510" s="27" t="s">
        <v>2229</v>
      </c>
      <c r="E510" s="27" t="s">
        <v>2232</v>
      </c>
      <c r="F510" s="27" t="str">
        <f>"14.10"</f>
        <v>14.10</v>
      </c>
      <c r="G510" s="27" t="s">
        <v>2994</v>
      </c>
      <c r="H510" s="65" t="str">
        <f t="shared" si="21"/>
        <v>No Change</v>
      </c>
      <c r="I510" s="65" t="str">
        <f t="shared" si="22"/>
        <v/>
      </c>
      <c r="J510" s="65" t="str">
        <f t="shared" si="23"/>
        <v/>
      </c>
    </row>
    <row r="511" spans="1:10" x14ac:dyDescent="0.3">
      <c r="A511" s="27" t="s">
        <v>2995</v>
      </c>
      <c r="B511" s="27" t="str">
        <f>"14.1001"</f>
        <v>14.1001</v>
      </c>
      <c r="C511" s="64" t="s">
        <v>2996</v>
      </c>
      <c r="D511" s="27" t="s">
        <v>2229</v>
      </c>
      <c r="E511" s="27" t="s">
        <v>2232</v>
      </c>
      <c r="F511" s="27" t="str">
        <f>"14.1001"</f>
        <v>14.1001</v>
      </c>
      <c r="G511" s="27" t="s">
        <v>2997</v>
      </c>
      <c r="H511" s="65" t="str">
        <f t="shared" si="21"/>
        <v>No Change</v>
      </c>
      <c r="I511" s="65" t="str">
        <f t="shared" si="22"/>
        <v>141001</v>
      </c>
      <c r="J511" s="65" t="str">
        <f t="shared" si="23"/>
        <v>141001</v>
      </c>
    </row>
    <row r="512" spans="1:10" x14ac:dyDescent="0.3">
      <c r="A512" s="27" t="s">
        <v>2998</v>
      </c>
      <c r="B512" s="27" t="str">
        <f>"14.1003"</f>
        <v>14.1003</v>
      </c>
      <c r="C512" s="64" t="s">
        <v>2999</v>
      </c>
      <c r="D512" s="27" t="s">
        <v>2229</v>
      </c>
      <c r="E512" s="27" t="s">
        <v>2232</v>
      </c>
      <c r="F512" s="27" t="str">
        <f>"14.1003"</f>
        <v>14.1003</v>
      </c>
      <c r="G512" s="27" t="s">
        <v>2999</v>
      </c>
      <c r="H512" s="65" t="str">
        <f t="shared" si="21"/>
        <v>No Change</v>
      </c>
      <c r="I512" s="65" t="str">
        <f t="shared" si="22"/>
        <v>141003</v>
      </c>
      <c r="J512" s="65" t="str">
        <f t="shared" si="23"/>
        <v>141003</v>
      </c>
    </row>
    <row r="513" spans="1:10" x14ac:dyDescent="0.3">
      <c r="A513" s="27" t="s">
        <v>3000</v>
      </c>
      <c r="B513" s="27" t="str">
        <f>"14.1004"</f>
        <v>14.1004</v>
      </c>
      <c r="C513" s="64" t="s">
        <v>3001</v>
      </c>
      <c r="D513" s="27" t="s">
        <v>2229</v>
      </c>
      <c r="E513" s="27" t="s">
        <v>2232</v>
      </c>
      <c r="F513" s="27" t="str">
        <f>"14.1004"</f>
        <v>14.1004</v>
      </c>
      <c r="G513" s="27" t="s">
        <v>3001</v>
      </c>
      <c r="H513" s="65" t="str">
        <f t="shared" si="21"/>
        <v>No Change</v>
      </c>
      <c r="I513" s="65" t="str">
        <f t="shared" si="22"/>
        <v>141004</v>
      </c>
      <c r="J513" s="65" t="str">
        <f t="shared" si="23"/>
        <v>141004</v>
      </c>
    </row>
    <row r="514" spans="1:10" x14ac:dyDescent="0.3">
      <c r="A514" s="27" t="s">
        <v>3002</v>
      </c>
      <c r="B514" s="27" t="str">
        <f>"14.1099"</f>
        <v>14.1099</v>
      </c>
      <c r="C514" s="64" t="s">
        <v>3003</v>
      </c>
      <c r="D514" s="27" t="s">
        <v>2229</v>
      </c>
      <c r="E514" s="27" t="s">
        <v>2232</v>
      </c>
      <c r="F514" s="27" t="str">
        <f>"14.1099"</f>
        <v>14.1099</v>
      </c>
      <c r="G514" s="27" t="s">
        <v>3004</v>
      </c>
      <c r="H514" s="65" t="str">
        <f t="shared" si="21"/>
        <v>No Change</v>
      </c>
      <c r="I514" s="65" t="str">
        <f t="shared" si="22"/>
        <v>141099</v>
      </c>
      <c r="J514" s="65" t="str">
        <f t="shared" si="23"/>
        <v>141099</v>
      </c>
    </row>
    <row r="515" spans="1:10" x14ac:dyDescent="0.3">
      <c r="A515" s="27" t="s">
        <v>1869</v>
      </c>
      <c r="B515" s="27" t="str">
        <f>"14.11"</f>
        <v>14.11</v>
      </c>
      <c r="C515" s="64" t="s">
        <v>3005</v>
      </c>
      <c r="D515" s="27" t="s">
        <v>2229</v>
      </c>
      <c r="E515" s="27" t="s">
        <v>2232</v>
      </c>
      <c r="F515" s="27" t="str">
        <f>"14.11"</f>
        <v>14.11</v>
      </c>
      <c r="G515" s="27" t="s">
        <v>3005</v>
      </c>
      <c r="H515" s="65" t="str">
        <f t="shared" ref="H515:H578" si="24">IF(I515=J515,"No Change","Other")</f>
        <v>No Change</v>
      </c>
      <c r="I515" s="65" t="str">
        <f t="shared" ref="I515:I578" si="25">SUBSTITUTE(IF(SUM(LEN(B515))&lt;7,"",B515),".","")</f>
        <v/>
      </c>
      <c r="J515" s="65" t="str">
        <f t="shared" ref="J515:J578" si="26">SUBSTITUTE(IF(SUM(LEN(F515))&lt;7,"",F515),".","")</f>
        <v/>
      </c>
    </row>
    <row r="516" spans="1:10" x14ac:dyDescent="0.3">
      <c r="A516" s="27" t="s">
        <v>3006</v>
      </c>
      <c r="B516" s="27" t="str">
        <f>"14.1101"</f>
        <v>14.1101</v>
      </c>
      <c r="C516" s="64" t="s">
        <v>3005</v>
      </c>
      <c r="D516" s="27" t="s">
        <v>2229</v>
      </c>
      <c r="E516" s="27" t="s">
        <v>2232</v>
      </c>
      <c r="F516" s="27" t="str">
        <f>"14.1101"</f>
        <v>14.1101</v>
      </c>
      <c r="G516" s="27" t="s">
        <v>3005</v>
      </c>
      <c r="H516" s="65" t="str">
        <f t="shared" si="24"/>
        <v>No Change</v>
      </c>
      <c r="I516" s="65" t="str">
        <f t="shared" si="25"/>
        <v>141101</v>
      </c>
      <c r="J516" s="65" t="str">
        <f t="shared" si="26"/>
        <v>141101</v>
      </c>
    </row>
    <row r="517" spans="1:10" x14ac:dyDescent="0.3">
      <c r="A517" s="27" t="s">
        <v>1869</v>
      </c>
      <c r="B517" s="27" t="str">
        <f>"14.12"</f>
        <v>14.12</v>
      </c>
      <c r="C517" s="64" t="s">
        <v>3007</v>
      </c>
      <c r="D517" s="27" t="s">
        <v>2229</v>
      </c>
      <c r="E517" s="27" t="s">
        <v>2232</v>
      </c>
      <c r="F517" s="27" t="str">
        <f>"14.12"</f>
        <v>14.12</v>
      </c>
      <c r="G517" s="27" t="s">
        <v>3007</v>
      </c>
      <c r="H517" s="65" t="str">
        <f t="shared" si="24"/>
        <v>No Change</v>
      </c>
      <c r="I517" s="65" t="str">
        <f t="shared" si="25"/>
        <v/>
      </c>
      <c r="J517" s="65" t="str">
        <f t="shared" si="26"/>
        <v/>
      </c>
    </row>
    <row r="518" spans="1:10" x14ac:dyDescent="0.3">
      <c r="A518" s="27" t="s">
        <v>3008</v>
      </c>
      <c r="B518" s="27" t="str">
        <f>"14.1201"</f>
        <v>14.1201</v>
      </c>
      <c r="C518" s="64" t="s">
        <v>3009</v>
      </c>
      <c r="D518" s="27" t="s">
        <v>2229</v>
      </c>
      <c r="E518" s="27" t="s">
        <v>2232</v>
      </c>
      <c r="F518" s="27" t="str">
        <f>"14.1201"</f>
        <v>14.1201</v>
      </c>
      <c r="G518" s="27" t="s">
        <v>3009</v>
      </c>
      <c r="H518" s="65" t="str">
        <f t="shared" si="24"/>
        <v>No Change</v>
      </c>
      <c r="I518" s="65" t="str">
        <f t="shared" si="25"/>
        <v>141201</v>
      </c>
      <c r="J518" s="65" t="str">
        <f t="shared" si="26"/>
        <v>141201</v>
      </c>
    </row>
    <row r="519" spans="1:10" x14ac:dyDescent="0.3">
      <c r="A519" s="27" t="s">
        <v>1869</v>
      </c>
      <c r="B519" s="27" t="str">
        <f>"14.13"</f>
        <v>14.13</v>
      </c>
      <c r="C519" s="64" t="s">
        <v>3010</v>
      </c>
      <c r="D519" s="27" t="s">
        <v>2229</v>
      </c>
      <c r="E519" s="27" t="s">
        <v>2232</v>
      </c>
      <c r="F519" s="27" t="str">
        <f>"14.13"</f>
        <v>14.13</v>
      </c>
      <c r="G519" s="27" t="s">
        <v>3010</v>
      </c>
      <c r="H519" s="65" t="str">
        <f t="shared" si="24"/>
        <v>No Change</v>
      </c>
      <c r="I519" s="65" t="str">
        <f t="shared" si="25"/>
        <v/>
      </c>
      <c r="J519" s="65" t="str">
        <f t="shared" si="26"/>
        <v/>
      </c>
    </row>
    <row r="520" spans="1:10" x14ac:dyDescent="0.3">
      <c r="A520" s="27" t="s">
        <v>3011</v>
      </c>
      <c r="B520" s="27" t="str">
        <f>"14.1301"</f>
        <v>14.1301</v>
      </c>
      <c r="C520" s="64" t="s">
        <v>3010</v>
      </c>
      <c r="D520" s="27" t="s">
        <v>2229</v>
      </c>
      <c r="E520" s="27" t="s">
        <v>2230</v>
      </c>
      <c r="F520" s="27" t="str">
        <f>"14.1301"</f>
        <v>14.1301</v>
      </c>
      <c r="G520" s="27" t="s">
        <v>3010</v>
      </c>
      <c r="H520" s="65" t="str">
        <f t="shared" si="24"/>
        <v>No Change</v>
      </c>
      <c r="I520" s="65" t="str">
        <f t="shared" si="25"/>
        <v>141301</v>
      </c>
      <c r="J520" s="65" t="str">
        <f t="shared" si="26"/>
        <v>141301</v>
      </c>
    </row>
    <row r="521" spans="1:10" x14ac:dyDescent="0.3">
      <c r="A521" s="27" t="s">
        <v>1869</v>
      </c>
      <c r="B521" s="27" t="str">
        <f>"14.14"</f>
        <v>14.14</v>
      </c>
      <c r="C521" s="64" t="s">
        <v>3012</v>
      </c>
      <c r="D521" s="27" t="s">
        <v>2229</v>
      </c>
      <c r="E521" s="27" t="s">
        <v>2232</v>
      </c>
      <c r="F521" s="27" t="str">
        <f>"14.14"</f>
        <v>14.14</v>
      </c>
      <c r="G521" s="27" t="s">
        <v>3012</v>
      </c>
      <c r="H521" s="65" t="str">
        <f t="shared" si="24"/>
        <v>No Change</v>
      </c>
      <c r="I521" s="65" t="str">
        <f t="shared" si="25"/>
        <v/>
      </c>
      <c r="J521" s="65" t="str">
        <f t="shared" si="26"/>
        <v/>
      </c>
    </row>
    <row r="522" spans="1:10" x14ac:dyDescent="0.3">
      <c r="A522" s="27" t="s">
        <v>3013</v>
      </c>
      <c r="B522" s="27" t="str">
        <f>"14.1401"</f>
        <v>14.1401</v>
      </c>
      <c r="C522" s="64" t="s">
        <v>3012</v>
      </c>
      <c r="D522" s="27" t="s">
        <v>2229</v>
      </c>
      <c r="E522" s="27" t="s">
        <v>2232</v>
      </c>
      <c r="F522" s="27" t="str">
        <f>"14.1401"</f>
        <v>14.1401</v>
      </c>
      <c r="G522" s="27" t="s">
        <v>3012</v>
      </c>
      <c r="H522" s="65" t="str">
        <f t="shared" si="24"/>
        <v>No Change</v>
      </c>
      <c r="I522" s="65" t="str">
        <f t="shared" si="25"/>
        <v>141401</v>
      </c>
      <c r="J522" s="65" t="str">
        <f t="shared" si="26"/>
        <v>141401</v>
      </c>
    </row>
    <row r="523" spans="1:10" x14ac:dyDescent="0.3">
      <c r="A523" s="27" t="s">
        <v>1869</v>
      </c>
      <c r="B523" s="27" t="str">
        <f>"14.18"</f>
        <v>14.18</v>
      </c>
      <c r="C523" s="64" t="s">
        <v>3014</v>
      </c>
      <c r="D523" s="27" t="s">
        <v>2229</v>
      </c>
      <c r="E523" s="27" t="s">
        <v>2230</v>
      </c>
      <c r="F523" s="27" t="str">
        <f>"14.18"</f>
        <v>14.18</v>
      </c>
      <c r="G523" s="27" t="s">
        <v>3015</v>
      </c>
      <c r="H523" s="65" t="str">
        <f t="shared" si="24"/>
        <v>No Change</v>
      </c>
      <c r="I523" s="65" t="str">
        <f t="shared" si="25"/>
        <v/>
      </c>
      <c r="J523" s="65" t="str">
        <f t="shared" si="26"/>
        <v/>
      </c>
    </row>
    <row r="524" spans="1:10" x14ac:dyDescent="0.3">
      <c r="A524" s="27" t="s">
        <v>3016</v>
      </c>
      <c r="B524" s="27" t="str">
        <f>"14.1801"</f>
        <v>14.1801</v>
      </c>
      <c r="C524" s="64" t="s">
        <v>3015</v>
      </c>
      <c r="D524" s="27" t="s">
        <v>2229</v>
      </c>
      <c r="E524" s="27" t="s">
        <v>2232</v>
      </c>
      <c r="F524" s="27" t="str">
        <f>"14.1801"</f>
        <v>14.1801</v>
      </c>
      <c r="G524" s="27" t="s">
        <v>3015</v>
      </c>
      <c r="H524" s="65" t="str">
        <f t="shared" si="24"/>
        <v>No Change</v>
      </c>
      <c r="I524" s="65" t="str">
        <f t="shared" si="25"/>
        <v>141801</v>
      </c>
      <c r="J524" s="65" t="str">
        <f t="shared" si="26"/>
        <v>141801</v>
      </c>
    </row>
    <row r="525" spans="1:10" x14ac:dyDescent="0.3">
      <c r="A525" s="27" t="s">
        <v>1869</v>
      </c>
      <c r="B525" s="27" t="str">
        <f>"14.19"</f>
        <v>14.19</v>
      </c>
      <c r="C525" s="64" t="s">
        <v>3017</v>
      </c>
      <c r="D525" s="27" t="s">
        <v>2229</v>
      </c>
      <c r="E525" s="27" t="s">
        <v>2232</v>
      </c>
      <c r="F525" s="27" t="str">
        <f>"14.19"</f>
        <v>14.19</v>
      </c>
      <c r="G525" s="27" t="s">
        <v>3017</v>
      </c>
      <c r="H525" s="65" t="str">
        <f t="shared" si="24"/>
        <v>No Change</v>
      </c>
      <c r="I525" s="65" t="str">
        <f t="shared" si="25"/>
        <v/>
      </c>
      <c r="J525" s="65" t="str">
        <f t="shared" si="26"/>
        <v/>
      </c>
    </row>
    <row r="526" spans="1:10" x14ac:dyDescent="0.3">
      <c r="A526" s="27" t="s">
        <v>3018</v>
      </c>
      <c r="B526" s="27" t="str">
        <f>"14.1901"</f>
        <v>14.1901</v>
      </c>
      <c r="C526" s="64" t="s">
        <v>3017</v>
      </c>
      <c r="D526" s="27" t="s">
        <v>2229</v>
      </c>
      <c r="E526" s="27" t="s">
        <v>2232</v>
      </c>
      <c r="F526" s="27" t="str">
        <f>"14.1901"</f>
        <v>14.1901</v>
      </c>
      <c r="G526" s="27" t="s">
        <v>3017</v>
      </c>
      <c r="H526" s="65" t="str">
        <f t="shared" si="24"/>
        <v>No Change</v>
      </c>
      <c r="I526" s="65" t="str">
        <f t="shared" si="25"/>
        <v>141901</v>
      </c>
      <c r="J526" s="65" t="str">
        <f t="shared" si="26"/>
        <v>141901</v>
      </c>
    </row>
    <row r="527" spans="1:10" x14ac:dyDescent="0.3">
      <c r="A527" s="27" t="s">
        <v>1869</v>
      </c>
      <c r="B527" s="27" t="str">
        <f>"14.20"</f>
        <v>14.20</v>
      </c>
      <c r="C527" s="64" t="s">
        <v>3019</v>
      </c>
      <c r="D527" s="27" t="s">
        <v>2229</v>
      </c>
      <c r="E527" s="27" t="s">
        <v>2232</v>
      </c>
      <c r="F527" s="27" t="str">
        <f>"14.20"</f>
        <v>14.20</v>
      </c>
      <c r="G527" s="27" t="s">
        <v>3019</v>
      </c>
      <c r="H527" s="65" t="str">
        <f t="shared" si="24"/>
        <v>No Change</v>
      </c>
      <c r="I527" s="65" t="str">
        <f t="shared" si="25"/>
        <v/>
      </c>
      <c r="J527" s="65" t="str">
        <f t="shared" si="26"/>
        <v/>
      </c>
    </row>
    <row r="528" spans="1:10" x14ac:dyDescent="0.3">
      <c r="A528" s="27" t="s">
        <v>3020</v>
      </c>
      <c r="B528" s="27" t="str">
        <f>"14.2001"</f>
        <v>14.2001</v>
      </c>
      <c r="C528" s="64" t="s">
        <v>3019</v>
      </c>
      <c r="D528" s="27" t="s">
        <v>2229</v>
      </c>
      <c r="E528" s="27" t="s">
        <v>2232</v>
      </c>
      <c r="F528" s="27" t="str">
        <f>"14.2001"</f>
        <v>14.2001</v>
      </c>
      <c r="G528" s="27" t="s">
        <v>3019</v>
      </c>
      <c r="H528" s="65" t="str">
        <f t="shared" si="24"/>
        <v>No Change</v>
      </c>
      <c r="I528" s="65" t="str">
        <f t="shared" si="25"/>
        <v>142001</v>
      </c>
      <c r="J528" s="65" t="str">
        <f t="shared" si="26"/>
        <v>142001</v>
      </c>
    </row>
    <row r="529" spans="1:10" x14ac:dyDescent="0.3">
      <c r="A529" s="27" t="s">
        <v>1869</v>
      </c>
      <c r="B529" s="27" t="str">
        <f>"14.21"</f>
        <v>14.21</v>
      </c>
      <c r="C529" s="64" t="s">
        <v>3021</v>
      </c>
      <c r="D529" s="27" t="s">
        <v>2229</v>
      </c>
      <c r="E529" s="27" t="s">
        <v>2232</v>
      </c>
      <c r="F529" s="27" t="str">
        <f>"14.21"</f>
        <v>14.21</v>
      </c>
      <c r="G529" s="27" t="s">
        <v>3021</v>
      </c>
      <c r="H529" s="65" t="str">
        <f t="shared" si="24"/>
        <v>No Change</v>
      </c>
      <c r="I529" s="65" t="str">
        <f t="shared" si="25"/>
        <v/>
      </c>
      <c r="J529" s="65" t="str">
        <f t="shared" si="26"/>
        <v/>
      </c>
    </row>
    <row r="530" spans="1:10" x14ac:dyDescent="0.3">
      <c r="A530" s="27" t="s">
        <v>3022</v>
      </c>
      <c r="B530" s="27" t="str">
        <f>"14.2101"</f>
        <v>14.2101</v>
      </c>
      <c r="C530" s="64" t="s">
        <v>3021</v>
      </c>
      <c r="D530" s="27" t="s">
        <v>2229</v>
      </c>
      <c r="E530" s="27" t="s">
        <v>2232</v>
      </c>
      <c r="F530" s="27" t="str">
        <f>"14.2101"</f>
        <v>14.2101</v>
      </c>
      <c r="G530" s="27" t="s">
        <v>3021</v>
      </c>
      <c r="H530" s="65" t="str">
        <f t="shared" si="24"/>
        <v>No Change</v>
      </c>
      <c r="I530" s="65" t="str">
        <f t="shared" si="25"/>
        <v>142101</v>
      </c>
      <c r="J530" s="65" t="str">
        <f t="shared" si="26"/>
        <v>142101</v>
      </c>
    </row>
    <row r="531" spans="1:10" x14ac:dyDescent="0.3">
      <c r="A531" s="27" t="s">
        <v>1869</v>
      </c>
      <c r="B531" s="27" t="str">
        <f>"14.22"</f>
        <v>14.22</v>
      </c>
      <c r="C531" s="64" t="s">
        <v>3023</v>
      </c>
      <c r="D531" s="27" t="s">
        <v>2229</v>
      </c>
      <c r="E531" s="27" t="s">
        <v>2232</v>
      </c>
      <c r="F531" s="27" t="str">
        <f>"14.22"</f>
        <v>14.22</v>
      </c>
      <c r="G531" s="27" t="s">
        <v>3023</v>
      </c>
      <c r="H531" s="65" t="str">
        <f t="shared" si="24"/>
        <v>No Change</v>
      </c>
      <c r="I531" s="65" t="str">
        <f t="shared" si="25"/>
        <v/>
      </c>
      <c r="J531" s="65" t="str">
        <f t="shared" si="26"/>
        <v/>
      </c>
    </row>
    <row r="532" spans="1:10" x14ac:dyDescent="0.3">
      <c r="A532" s="27" t="s">
        <v>3024</v>
      </c>
      <c r="B532" s="27" t="str">
        <f>"14.2201"</f>
        <v>14.2201</v>
      </c>
      <c r="C532" s="64" t="s">
        <v>3023</v>
      </c>
      <c r="D532" s="27" t="s">
        <v>2229</v>
      </c>
      <c r="E532" s="27" t="s">
        <v>2232</v>
      </c>
      <c r="F532" s="27" t="str">
        <f>"14.2201"</f>
        <v>14.2201</v>
      </c>
      <c r="G532" s="27" t="s">
        <v>3023</v>
      </c>
      <c r="H532" s="65" t="str">
        <f t="shared" si="24"/>
        <v>No Change</v>
      </c>
      <c r="I532" s="65" t="str">
        <f t="shared" si="25"/>
        <v>142201</v>
      </c>
      <c r="J532" s="65" t="str">
        <f t="shared" si="26"/>
        <v>142201</v>
      </c>
    </row>
    <row r="533" spans="1:10" x14ac:dyDescent="0.3">
      <c r="A533" s="27" t="s">
        <v>1869</v>
      </c>
      <c r="B533" s="27" t="str">
        <f>"14.23"</f>
        <v>14.23</v>
      </c>
      <c r="C533" s="64" t="s">
        <v>3025</v>
      </c>
      <c r="D533" s="27" t="s">
        <v>2229</v>
      </c>
      <c r="E533" s="27" t="s">
        <v>2232</v>
      </c>
      <c r="F533" s="27" t="str">
        <f>"14.23"</f>
        <v>14.23</v>
      </c>
      <c r="G533" s="27" t="s">
        <v>3025</v>
      </c>
      <c r="H533" s="65" t="str">
        <f t="shared" si="24"/>
        <v>No Change</v>
      </c>
      <c r="I533" s="65" t="str">
        <f t="shared" si="25"/>
        <v/>
      </c>
      <c r="J533" s="65" t="str">
        <f t="shared" si="26"/>
        <v/>
      </c>
    </row>
    <row r="534" spans="1:10" x14ac:dyDescent="0.3">
      <c r="A534" s="27" t="s">
        <v>3026</v>
      </c>
      <c r="B534" s="27" t="str">
        <f>"14.2301"</f>
        <v>14.2301</v>
      </c>
      <c r="C534" s="64" t="s">
        <v>3025</v>
      </c>
      <c r="D534" s="27" t="s">
        <v>2229</v>
      </c>
      <c r="E534" s="27" t="s">
        <v>2232</v>
      </c>
      <c r="F534" s="27" t="str">
        <f>"14.2301"</f>
        <v>14.2301</v>
      </c>
      <c r="G534" s="27" t="s">
        <v>3025</v>
      </c>
      <c r="H534" s="65" t="str">
        <f t="shared" si="24"/>
        <v>No Change</v>
      </c>
      <c r="I534" s="65" t="str">
        <f t="shared" si="25"/>
        <v>142301</v>
      </c>
      <c r="J534" s="65" t="str">
        <f t="shared" si="26"/>
        <v>142301</v>
      </c>
    </row>
    <row r="535" spans="1:10" x14ac:dyDescent="0.3">
      <c r="A535" s="27" t="s">
        <v>1869</v>
      </c>
      <c r="B535" s="27" t="str">
        <f>"14.24"</f>
        <v>14.24</v>
      </c>
      <c r="C535" s="64" t="s">
        <v>3027</v>
      </c>
      <c r="D535" s="27" t="s">
        <v>2229</v>
      </c>
      <c r="E535" s="27" t="s">
        <v>2232</v>
      </c>
      <c r="F535" s="27" t="str">
        <f>"14.24"</f>
        <v>14.24</v>
      </c>
      <c r="G535" s="27" t="s">
        <v>3027</v>
      </c>
      <c r="H535" s="65" t="str">
        <f t="shared" si="24"/>
        <v>No Change</v>
      </c>
      <c r="I535" s="65" t="str">
        <f t="shared" si="25"/>
        <v/>
      </c>
      <c r="J535" s="65" t="str">
        <f t="shared" si="26"/>
        <v/>
      </c>
    </row>
    <row r="536" spans="1:10" x14ac:dyDescent="0.3">
      <c r="A536" s="27" t="s">
        <v>3028</v>
      </c>
      <c r="B536" s="27" t="str">
        <f>"14.2401"</f>
        <v>14.2401</v>
      </c>
      <c r="C536" s="64" t="s">
        <v>3027</v>
      </c>
      <c r="D536" s="27" t="s">
        <v>2229</v>
      </c>
      <c r="E536" s="27" t="s">
        <v>2232</v>
      </c>
      <c r="F536" s="27" t="str">
        <f>"14.2401"</f>
        <v>14.2401</v>
      </c>
      <c r="G536" s="27" t="s">
        <v>3027</v>
      </c>
      <c r="H536" s="65" t="str">
        <f t="shared" si="24"/>
        <v>No Change</v>
      </c>
      <c r="I536" s="65" t="str">
        <f t="shared" si="25"/>
        <v>142401</v>
      </c>
      <c r="J536" s="65" t="str">
        <f t="shared" si="26"/>
        <v>142401</v>
      </c>
    </row>
    <row r="537" spans="1:10" x14ac:dyDescent="0.3">
      <c r="A537" s="27" t="s">
        <v>1869</v>
      </c>
      <c r="B537" s="27" t="str">
        <f>"14.25"</f>
        <v>14.25</v>
      </c>
      <c r="C537" s="64" t="s">
        <v>3029</v>
      </c>
      <c r="D537" s="27" t="s">
        <v>2229</v>
      </c>
      <c r="E537" s="27" t="s">
        <v>2232</v>
      </c>
      <c r="F537" s="27" t="str">
        <f>"14.25"</f>
        <v>14.25</v>
      </c>
      <c r="G537" s="27" t="s">
        <v>3029</v>
      </c>
      <c r="H537" s="65" t="str">
        <f t="shared" si="24"/>
        <v>No Change</v>
      </c>
      <c r="I537" s="65" t="str">
        <f t="shared" si="25"/>
        <v/>
      </c>
      <c r="J537" s="65" t="str">
        <f t="shared" si="26"/>
        <v/>
      </c>
    </row>
    <row r="538" spans="1:10" x14ac:dyDescent="0.3">
      <c r="A538" s="27" t="s">
        <v>3030</v>
      </c>
      <c r="B538" s="27" t="str">
        <f>"14.2501"</f>
        <v>14.2501</v>
      </c>
      <c r="C538" s="64" t="s">
        <v>3029</v>
      </c>
      <c r="D538" s="27" t="s">
        <v>2229</v>
      </c>
      <c r="E538" s="27" t="s">
        <v>2232</v>
      </c>
      <c r="F538" s="27" t="str">
        <f>"14.2501"</f>
        <v>14.2501</v>
      </c>
      <c r="G538" s="27" t="s">
        <v>3029</v>
      </c>
      <c r="H538" s="65" t="str">
        <f t="shared" si="24"/>
        <v>No Change</v>
      </c>
      <c r="I538" s="65" t="str">
        <f t="shared" si="25"/>
        <v>142501</v>
      </c>
      <c r="J538" s="65" t="str">
        <f t="shared" si="26"/>
        <v>142501</v>
      </c>
    </row>
    <row r="539" spans="1:10" x14ac:dyDescent="0.3">
      <c r="A539" s="27" t="s">
        <v>1869</v>
      </c>
      <c r="B539" s="27" t="str">
        <f>"14.27"</f>
        <v>14.27</v>
      </c>
      <c r="C539" s="64" t="s">
        <v>3031</v>
      </c>
      <c r="D539" s="27" t="s">
        <v>2229</v>
      </c>
      <c r="E539" s="27" t="s">
        <v>2232</v>
      </c>
      <c r="F539" s="27" t="str">
        <f>"14.27"</f>
        <v>14.27</v>
      </c>
      <c r="G539" s="27" t="s">
        <v>3031</v>
      </c>
      <c r="H539" s="65" t="str">
        <f t="shared" si="24"/>
        <v>No Change</v>
      </c>
      <c r="I539" s="65" t="str">
        <f t="shared" si="25"/>
        <v/>
      </c>
      <c r="J539" s="65" t="str">
        <f t="shared" si="26"/>
        <v/>
      </c>
    </row>
    <row r="540" spans="1:10" x14ac:dyDescent="0.3">
      <c r="A540" s="27" t="s">
        <v>3032</v>
      </c>
      <c r="B540" s="27" t="str">
        <f>"14.2701"</f>
        <v>14.2701</v>
      </c>
      <c r="C540" s="64" t="s">
        <v>3031</v>
      </c>
      <c r="D540" s="27" t="s">
        <v>2229</v>
      </c>
      <c r="E540" s="27" t="s">
        <v>2232</v>
      </c>
      <c r="F540" s="27" t="str">
        <f>"14.2701"</f>
        <v>14.2701</v>
      </c>
      <c r="G540" s="27" t="s">
        <v>3031</v>
      </c>
      <c r="H540" s="65" t="str">
        <f t="shared" si="24"/>
        <v>No Change</v>
      </c>
      <c r="I540" s="65" t="str">
        <f t="shared" si="25"/>
        <v>142701</v>
      </c>
      <c r="J540" s="65" t="str">
        <f t="shared" si="26"/>
        <v>142701</v>
      </c>
    </row>
    <row r="541" spans="1:10" x14ac:dyDescent="0.3">
      <c r="A541" s="27" t="s">
        <v>1869</v>
      </c>
      <c r="B541" s="27" t="str">
        <f>"14.28"</f>
        <v>14.28</v>
      </c>
      <c r="C541" s="64" t="s">
        <v>3033</v>
      </c>
      <c r="D541" s="27" t="s">
        <v>2229</v>
      </c>
      <c r="E541" s="27" t="s">
        <v>2232</v>
      </c>
      <c r="F541" s="27" t="str">
        <f>"14.28"</f>
        <v>14.28</v>
      </c>
      <c r="G541" s="27" t="s">
        <v>3033</v>
      </c>
      <c r="H541" s="65" t="str">
        <f t="shared" si="24"/>
        <v>No Change</v>
      </c>
      <c r="I541" s="65" t="str">
        <f t="shared" si="25"/>
        <v/>
      </c>
      <c r="J541" s="65" t="str">
        <f t="shared" si="26"/>
        <v/>
      </c>
    </row>
    <row r="542" spans="1:10" x14ac:dyDescent="0.3">
      <c r="A542" s="27" t="s">
        <v>3034</v>
      </c>
      <c r="B542" s="27" t="str">
        <f>"14.2801"</f>
        <v>14.2801</v>
      </c>
      <c r="C542" s="64" t="s">
        <v>3033</v>
      </c>
      <c r="D542" s="27" t="s">
        <v>2229</v>
      </c>
      <c r="E542" s="27" t="s">
        <v>2232</v>
      </c>
      <c r="F542" s="27" t="str">
        <f>"14.2801"</f>
        <v>14.2801</v>
      </c>
      <c r="G542" s="27" t="s">
        <v>3033</v>
      </c>
      <c r="H542" s="65" t="str">
        <f t="shared" si="24"/>
        <v>No Change</v>
      </c>
      <c r="I542" s="65" t="str">
        <f t="shared" si="25"/>
        <v>142801</v>
      </c>
      <c r="J542" s="65" t="str">
        <f t="shared" si="26"/>
        <v>142801</v>
      </c>
    </row>
    <row r="543" spans="1:10" x14ac:dyDescent="0.3">
      <c r="A543" s="27" t="s">
        <v>1869</v>
      </c>
      <c r="B543" s="27" t="str">
        <f>"14.32"</f>
        <v>14.32</v>
      </c>
      <c r="C543" s="64" t="s">
        <v>3035</v>
      </c>
      <c r="D543" s="27" t="s">
        <v>2229</v>
      </c>
      <c r="E543" s="27" t="s">
        <v>2232</v>
      </c>
      <c r="F543" s="27" t="str">
        <f>"14.32"</f>
        <v>14.32</v>
      </c>
      <c r="G543" s="27" t="s">
        <v>3035</v>
      </c>
      <c r="H543" s="65" t="str">
        <f t="shared" si="24"/>
        <v>No Change</v>
      </c>
      <c r="I543" s="65" t="str">
        <f t="shared" si="25"/>
        <v/>
      </c>
      <c r="J543" s="65" t="str">
        <f t="shared" si="26"/>
        <v/>
      </c>
    </row>
    <row r="544" spans="1:10" x14ac:dyDescent="0.3">
      <c r="A544" s="27" t="s">
        <v>3036</v>
      </c>
      <c r="B544" s="27" t="str">
        <f>"14.3201"</f>
        <v>14.3201</v>
      </c>
      <c r="C544" s="64" t="s">
        <v>3035</v>
      </c>
      <c r="D544" s="27" t="s">
        <v>2229</v>
      </c>
      <c r="E544" s="27" t="s">
        <v>2232</v>
      </c>
      <c r="F544" s="27" t="str">
        <f>"14.3201"</f>
        <v>14.3201</v>
      </c>
      <c r="G544" s="27" t="s">
        <v>3035</v>
      </c>
      <c r="H544" s="65" t="str">
        <f t="shared" si="24"/>
        <v>No Change</v>
      </c>
      <c r="I544" s="65" t="str">
        <f t="shared" si="25"/>
        <v>143201</v>
      </c>
      <c r="J544" s="65" t="str">
        <f t="shared" si="26"/>
        <v>143201</v>
      </c>
    </row>
    <row r="545" spans="1:10" x14ac:dyDescent="0.3">
      <c r="A545" s="27" t="s">
        <v>1869</v>
      </c>
      <c r="B545" s="27" t="str">
        <f>"14.33"</f>
        <v>14.33</v>
      </c>
      <c r="C545" s="64" t="s">
        <v>3037</v>
      </c>
      <c r="D545" s="27" t="s">
        <v>2229</v>
      </c>
      <c r="E545" s="27" t="s">
        <v>2232</v>
      </c>
      <c r="F545" s="27" t="str">
        <f>"14.33"</f>
        <v>14.33</v>
      </c>
      <c r="G545" s="27" t="s">
        <v>3037</v>
      </c>
      <c r="H545" s="65" t="str">
        <f t="shared" si="24"/>
        <v>No Change</v>
      </c>
      <c r="I545" s="65" t="str">
        <f t="shared" si="25"/>
        <v/>
      </c>
      <c r="J545" s="65" t="str">
        <f t="shared" si="26"/>
        <v/>
      </c>
    </row>
    <row r="546" spans="1:10" x14ac:dyDescent="0.3">
      <c r="A546" s="27" t="s">
        <v>3038</v>
      </c>
      <c r="B546" s="27" t="str">
        <f>"14.3301"</f>
        <v>14.3301</v>
      </c>
      <c r="C546" s="64" t="s">
        <v>3037</v>
      </c>
      <c r="D546" s="27" t="s">
        <v>2229</v>
      </c>
      <c r="E546" s="27" t="s">
        <v>2232</v>
      </c>
      <c r="F546" s="27" t="str">
        <f>"14.3301"</f>
        <v>14.3301</v>
      </c>
      <c r="G546" s="27" t="s">
        <v>3037</v>
      </c>
      <c r="H546" s="65" t="str">
        <f t="shared" si="24"/>
        <v>No Change</v>
      </c>
      <c r="I546" s="65" t="str">
        <f t="shared" si="25"/>
        <v>143301</v>
      </c>
      <c r="J546" s="65" t="str">
        <f t="shared" si="26"/>
        <v>143301</v>
      </c>
    </row>
    <row r="547" spans="1:10" x14ac:dyDescent="0.3">
      <c r="A547" s="27" t="s">
        <v>1869</v>
      </c>
      <c r="B547" s="27" t="str">
        <f>"14.34"</f>
        <v>14.34</v>
      </c>
      <c r="C547" s="64" t="s">
        <v>3039</v>
      </c>
      <c r="D547" s="27" t="s">
        <v>2229</v>
      </c>
      <c r="E547" s="27" t="s">
        <v>2232</v>
      </c>
      <c r="F547" s="27" t="str">
        <f>"14.34"</f>
        <v>14.34</v>
      </c>
      <c r="G547" s="27" t="s">
        <v>3039</v>
      </c>
      <c r="H547" s="65" t="str">
        <f t="shared" si="24"/>
        <v>No Change</v>
      </c>
      <c r="I547" s="65" t="str">
        <f t="shared" si="25"/>
        <v/>
      </c>
      <c r="J547" s="65" t="str">
        <f t="shared" si="26"/>
        <v/>
      </c>
    </row>
    <row r="548" spans="1:10" x14ac:dyDescent="0.3">
      <c r="A548" s="27" t="s">
        <v>3040</v>
      </c>
      <c r="B548" s="27" t="str">
        <f>"14.3401"</f>
        <v>14.3401</v>
      </c>
      <c r="C548" s="64" t="s">
        <v>3039</v>
      </c>
      <c r="D548" s="27" t="s">
        <v>2229</v>
      </c>
      <c r="E548" s="27" t="s">
        <v>2232</v>
      </c>
      <c r="F548" s="27" t="str">
        <f>"14.3401"</f>
        <v>14.3401</v>
      </c>
      <c r="G548" s="27" t="s">
        <v>3039</v>
      </c>
      <c r="H548" s="65" t="str">
        <f t="shared" si="24"/>
        <v>No Change</v>
      </c>
      <c r="I548" s="65" t="str">
        <f t="shared" si="25"/>
        <v>143401</v>
      </c>
      <c r="J548" s="65" t="str">
        <f t="shared" si="26"/>
        <v>143401</v>
      </c>
    </row>
    <row r="549" spans="1:10" x14ac:dyDescent="0.3">
      <c r="A549" s="27" t="s">
        <v>1869</v>
      </c>
      <c r="B549" s="27" t="str">
        <f>"14.35"</f>
        <v>14.35</v>
      </c>
      <c r="C549" s="64" t="s">
        <v>3041</v>
      </c>
      <c r="D549" s="27" t="s">
        <v>2229</v>
      </c>
      <c r="E549" s="27" t="s">
        <v>2232</v>
      </c>
      <c r="F549" s="27" t="str">
        <f>"14.35"</f>
        <v>14.35</v>
      </c>
      <c r="G549" s="27" t="s">
        <v>3041</v>
      </c>
      <c r="H549" s="65" t="str">
        <f t="shared" si="24"/>
        <v>No Change</v>
      </c>
      <c r="I549" s="65" t="str">
        <f t="shared" si="25"/>
        <v/>
      </c>
      <c r="J549" s="65" t="str">
        <f t="shared" si="26"/>
        <v/>
      </c>
    </row>
    <row r="550" spans="1:10" x14ac:dyDescent="0.3">
      <c r="A550" s="27" t="s">
        <v>3042</v>
      </c>
      <c r="B550" s="27" t="str">
        <f>"14.3501"</f>
        <v>14.3501</v>
      </c>
      <c r="C550" s="64" t="s">
        <v>3041</v>
      </c>
      <c r="D550" s="27" t="s">
        <v>2229</v>
      </c>
      <c r="E550" s="27" t="s">
        <v>2232</v>
      </c>
      <c r="F550" s="27" t="str">
        <f>"14.3501"</f>
        <v>14.3501</v>
      </c>
      <c r="G550" s="27" t="s">
        <v>3041</v>
      </c>
      <c r="H550" s="65" t="str">
        <f t="shared" si="24"/>
        <v>No Change</v>
      </c>
      <c r="I550" s="65" t="str">
        <f t="shared" si="25"/>
        <v>143501</v>
      </c>
      <c r="J550" s="65" t="str">
        <f t="shared" si="26"/>
        <v>143501</v>
      </c>
    </row>
    <row r="551" spans="1:10" x14ac:dyDescent="0.3">
      <c r="A551" s="27" t="s">
        <v>1869</v>
      </c>
      <c r="B551" s="27" t="str">
        <f>"14.36"</f>
        <v>14.36</v>
      </c>
      <c r="C551" s="64" t="s">
        <v>3043</v>
      </c>
      <c r="D551" s="27" t="s">
        <v>2229</v>
      </c>
      <c r="E551" s="27" t="s">
        <v>2232</v>
      </c>
      <c r="F551" s="27" t="str">
        <f>"14.36"</f>
        <v>14.36</v>
      </c>
      <c r="G551" s="27" t="s">
        <v>3043</v>
      </c>
      <c r="H551" s="65" t="str">
        <f t="shared" si="24"/>
        <v>No Change</v>
      </c>
      <c r="I551" s="65" t="str">
        <f t="shared" si="25"/>
        <v/>
      </c>
      <c r="J551" s="65" t="str">
        <f t="shared" si="26"/>
        <v/>
      </c>
    </row>
    <row r="552" spans="1:10" x14ac:dyDescent="0.3">
      <c r="A552" s="27" t="s">
        <v>3044</v>
      </c>
      <c r="B552" s="27" t="str">
        <f>"14.3601"</f>
        <v>14.3601</v>
      </c>
      <c r="C552" s="64" t="s">
        <v>3043</v>
      </c>
      <c r="D552" s="27" t="s">
        <v>2229</v>
      </c>
      <c r="E552" s="27" t="s">
        <v>2232</v>
      </c>
      <c r="F552" s="27" t="str">
        <f>"14.3601"</f>
        <v>14.3601</v>
      </c>
      <c r="G552" s="27" t="s">
        <v>3043</v>
      </c>
      <c r="H552" s="65" t="str">
        <f t="shared" si="24"/>
        <v>No Change</v>
      </c>
      <c r="I552" s="65" t="str">
        <f t="shared" si="25"/>
        <v>143601</v>
      </c>
      <c r="J552" s="65" t="str">
        <f t="shared" si="26"/>
        <v>143601</v>
      </c>
    </row>
    <row r="553" spans="1:10" x14ac:dyDescent="0.3">
      <c r="A553" s="27" t="s">
        <v>1869</v>
      </c>
      <c r="B553" s="27" t="str">
        <f>"14.37"</f>
        <v>14.37</v>
      </c>
      <c r="C553" s="64" t="s">
        <v>3045</v>
      </c>
      <c r="D553" s="27" t="s">
        <v>2229</v>
      </c>
      <c r="E553" s="27" t="s">
        <v>2232</v>
      </c>
      <c r="F553" s="27" t="str">
        <f>"14.37"</f>
        <v>14.37</v>
      </c>
      <c r="G553" s="27" t="s">
        <v>3045</v>
      </c>
      <c r="H553" s="65" t="str">
        <f t="shared" si="24"/>
        <v>No Change</v>
      </c>
      <c r="I553" s="65" t="str">
        <f t="shared" si="25"/>
        <v/>
      </c>
      <c r="J553" s="65" t="str">
        <f t="shared" si="26"/>
        <v/>
      </c>
    </row>
    <row r="554" spans="1:10" x14ac:dyDescent="0.3">
      <c r="A554" s="27" t="s">
        <v>3046</v>
      </c>
      <c r="B554" s="27" t="str">
        <f>"14.3701"</f>
        <v>14.3701</v>
      </c>
      <c r="C554" s="64" t="s">
        <v>3045</v>
      </c>
      <c r="D554" s="27" t="s">
        <v>2229</v>
      </c>
      <c r="E554" s="27" t="s">
        <v>2232</v>
      </c>
      <c r="F554" s="27" t="str">
        <f>"14.3701"</f>
        <v>14.3701</v>
      </c>
      <c r="G554" s="27" t="s">
        <v>3045</v>
      </c>
      <c r="H554" s="65" t="str">
        <f t="shared" si="24"/>
        <v>No Change</v>
      </c>
      <c r="I554" s="65" t="str">
        <f t="shared" si="25"/>
        <v>143701</v>
      </c>
      <c r="J554" s="65" t="str">
        <f t="shared" si="26"/>
        <v>143701</v>
      </c>
    </row>
    <row r="555" spans="1:10" x14ac:dyDescent="0.3">
      <c r="A555" s="27" t="s">
        <v>1869</v>
      </c>
      <c r="B555" s="27" t="str">
        <f>"14.38"</f>
        <v>14.38</v>
      </c>
      <c r="C555" s="64" t="s">
        <v>3047</v>
      </c>
      <c r="D555" s="27" t="s">
        <v>2229</v>
      </c>
      <c r="E555" s="27" t="s">
        <v>2232</v>
      </c>
      <c r="F555" s="27" t="str">
        <f>"14.38"</f>
        <v>14.38</v>
      </c>
      <c r="G555" s="27" t="s">
        <v>3047</v>
      </c>
      <c r="H555" s="65" t="str">
        <f t="shared" si="24"/>
        <v>No Change</v>
      </c>
      <c r="I555" s="65" t="str">
        <f t="shared" si="25"/>
        <v/>
      </c>
      <c r="J555" s="65" t="str">
        <f t="shared" si="26"/>
        <v/>
      </c>
    </row>
    <row r="556" spans="1:10" x14ac:dyDescent="0.3">
      <c r="A556" s="27" t="s">
        <v>3048</v>
      </c>
      <c r="B556" s="27" t="str">
        <f>"14.3801"</f>
        <v>14.3801</v>
      </c>
      <c r="C556" s="64" t="s">
        <v>3047</v>
      </c>
      <c r="D556" s="27" t="s">
        <v>2229</v>
      </c>
      <c r="E556" s="27" t="s">
        <v>2232</v>
      </c>
      <c r="F556" s="27" t="str">
        <f>"14.3801"</f>
        <v>14.3801</v>
      </c>
      <c r="G556" s="27" t="s">
        <v>3047</v>
      </c>
      <c r="H556" s="65" t="str">
        <f t="shared" si="24"/>
        <v>No Change</v>
      </c>
      <c r="I556" s="65" t="str">
        <f t="shared" si="25"/>
        <v>143801</v>
      </c>
      <c r="J556" s="65" t="str">
        <f t="shared" si="26"/>
        <v>143801</v>
      </c>
    </row>
    <row r="557" spans="1:10" x14ac:dyDescent="0.3">
      <c r="A557" s="27" t="s">
        <v>1869</v>
      </c>
      <c r="B557" s="27" t="str">
        <f>"14.39"</f>
        <v>14.39</v>
      </c>
      <c r="C557" s="64" t="s">
        <v>3049</v>
      </c>
      <c r="D557" s="27" t="s">
        <v>2229</v>
      </c>
      <c r="E557" s="27" t="s">
        <v>2232</v>
      </c>
      <c r="F557" s="27" t="str">
        <f>"14.39"</f>
        <v>14.39</v>
      </c>
      <c r="G557" s="27" t="s">
        <v>3049</v>
      </c>
      <c r="H557" s="65" t="str">
        <f t="shared" si="24"/>
        <v>No Change</v>
      </c>
      <c r="I557" s="65" t="str">
        <f t="shared" si="25"/>
        <v/>
      </c>
      <c r="J557" s="65" t="str">
        <f t="shared" si="26"/>
        <v/>
      </c>
    </row>
    <row r="558" spans="1:10" x14ac:dyDescent="0.3">
      <c r="A558" s="27" t="s">
        <v>3050</v>
      </c>
      <c r="B558" s="27" t="str">
        <f>"14.3901"</f>
        <v>14.3901</v>
      </c>
      <c r="C558" s="64" t="s">
        <v>3049</v>
      </c>
      <c r="D558" s="27" t="s">
        <v>2229</v>
      </c>
      <c r="E558" s="27" t="s">
        <v>2232</v>
      </c>
      <c r="F558" s="27" t="str">
        <f>"14.3901"</f>
        <v>14.3901</v>
      </c>
      <c r="G558" s="27" t="s">
        <v>3049</v>
      </c>
      <c r="H558" s="65" t="str">
        <f t="shared" si="24"/>
        <v>No Change</v>
      </c>
      <c r="I558" s="65" t="str">
        <f t="shared" si="25"/>
        <v>143901</v>
      </c>
      <c r="J558" s="65" t="str">
        <f t="shared" si="26"/>
        <v>143901</v>
      </c>
    </row>
    <row r="559" spans="1:10" x14ac:dyDescent="0.3">
      <c r="A559" s="27" t="s">
        <v>1869</v>
      </c>
      <c r="B559" s="27" t="str">
        <f>"14.40"</f>
        <v>14.40</v>
      </c>
      <c r="C559" s="64" t="s">
        <v>3051</v>
      </c>
      <c r="D559" s="27" t="s">
        <v>2229</v>
      </c>
      <c r="E559" s="27" t="s">
        <v>2232</v>
      </c>
      <c r="F559" s="27" t="str">
        <f>"14.40"</f>
        <v>14.40</v>
      </c>
      <c r="G559" s="27" t="s">
        <v>3051</v>
      </c>
      <c r="H559" s="65" t="str">
        <f t="shared" si="24"/>
        <v>No Change</v>
      </c>
      <c r="I559" s="65" t="str">
        <f t="shared" si="25"/>
        <v/>
      </c>
      <c r="J559" s="65" t="str">
        <f t="shared" si="26"/>
        <v/>
      </c>
    </row>
    <row r="560" spans="1:10" x14ac:dyDescent="0.3">
      <c r="A560" s="27" t="s">
        <v>3052</v>
      </c>
      <c r="B560" s="27" t="str">
        <f>"14.4001"</f>
        <v>14.4001</v>
      </c>
      <c r="C560" s="64" t="s">
        <v>3051</v>
      </c>
      <c r="D560" s="27" t="s">
        <v>2229</v>
      </c>
      <c r="E560" s="27" t="s">
        <v>2232</v>
      </c>
      <c r="F560" s="27" t="str">
        <f>"14.4001"</f>
        <v>14.4001</v>
      </c>
      <c r="G560" s="27" t="s">
        <v>3051</v>
      </c>
      <c r="H560" s="65" t="str">
        <f t="shared" si="24"/>
        <v>No Change</v>
      </c>
      <c r="I560" s="65" t="str">
        <f t="shared" si="25"/>
        <v>144001</v>
      </c>
      <c r="J560" s="65" t="str">
        <f t="shared" si="26"/>
        <v>144001</v>
      </c>
    </row>
    <row r="561" spans="1:10" x14ac:dyDescent="0.3">
      <c r="A561" s="27" t="s">
        <v>1869</v>
      </c>
      <c r="B561" s="27" t="str">
        <f>"14.41"</f>
        <v>14.41</v>
      </c>
      <c r="C561" s="64" t="s">
        <v>3053</v>
      </c>
      <c r="D561" s="27" t="s">
        <v>2229</v>
      </c>
      <c r="E561" s="27" t="s">
        <v>2232</v>
      </c>
      <c r="F561" s="27" t="str">
        <f>"14.41"</f>
        <v>14.41</v>
      </c>
      <c r="G561" s="27" t="s">
        <v>3053</v>
      </c>
      <c r="H561" s="65" t="str">
        <f t="shared" si="24"/>
        <v>No Change</v>
      </c>
      <c r="I561" s="65" t="str">
        <f t="shared" si="25"/>
        <v/>
      </c>
      <c r="J561" s="65" t="str">
        <f t="shared" si="26"/>
        <v/>
      </c>
    </row>
    <row r="562" spans="1:10" x14ac:dyDescent="0.3">
      <c r="A562" s="27" t="s">
        <v>3054</v>
      </c>
      <c r="B562" s="27" t="str">
        <f>"14.4101"</f>
        <v>14.4101</v>
      </c>
      <c r="C562" s="64" t="s">
        <v>3053</v>
      </c>
      <c r="D562" s="27" t="s">
        <v>2229</v>
      </c>
      <c r="E562" s="27" t="s">
        <v>2232</v>
      </c>
      <c r="F562" s="27" t="str">
        <f>"14.4101"</f>
        <v>14.4101</v>
      </c>
      <c r="G562" s="27" t="s">
        <v>3053</v>
      </c>
      <c r="H562" s="65" t="str">
        <f t="shared" si="24"/>
        <v>No Change</v>
      </c>
      <c r="I562" s="65" t="str">
        <f t="shared" si="25"/>
        <v>144101</v>
      </c>
      <c r="J562" s="65" t="str">
        <f t="shared" si="26"/>
        <v>144101</v>
      </c>
    </row>
    <row r="563" spans="1:10" x14ac:dyDescent="0.3">
      <c r="A563" s="27" t="s">
        <v>1869</v>
      </c>
      <c r="B563" s="27" t="str">
        <f>"14.42"</f>
        <v>14.42</v>
      </c>
      <c r="C563" s="64" t="s">
        <v>3055</v>
      </c>
      <c r="D563" s="27" t="s">
        <v>2229</v>
      </c>
      <c r="E563" s="27" t="s">
        <v>2232</v>
      </c>
      <c r="F563" s="27" t="str">
        <f>"14.42"</f>
        <v>14.42</v>
      </c>
      <c r="G563" s="27" t="s">
        <v>3055</v>
      </c>
      <c r="H563" s="65" t="str">
        <f t="shared" si="24"/>
        <v>No Change</v>
      </c>
      <c r="I563" s="65" t="str">
        <f t="shared" si="25"/>
        <v/>
      </c>
      <c r="J563" s="65" t="str">
        <f t="shared" si="26"/>
        <v/>
      </c>
    </row>
    <row r="564" spans="1:10" x14ac:dyDescent="0.3">
      <c r="A564" s="27" t="s">
        <v>3056</v>
      </c>
      <c r="B564" s="27" t="str">
        <f>"14.4201"</f>
        <v>14.4201</v>
      </c>
      <c r="C564" s="64" t="s">
        <v>3055</v>
      </c>
      <c r="D564" s="27" t="s">
        <v>2229</v>
      </c>
      <c r="E564" s="27" t="s">
        <v>2232</v>
      </c>
      <c r="F564" s="27" t="str">
        <f>"14.4201"</f>
        <v>14.4201</v>
      </c>
      <c r="G564" s="27" t="s">
        <v>3055</v>
      </c>
      <c r="H564" s="65" t="str">
        <f t="shared" si="24"/>
        <v>No Change</v>
      </c>
      <c r="I564" s="65" t="str">
        <f t="shared" si="25"/>
        <v>144201</v>
      </c>
      <c r="J564" s="65" t="str">
        <f t="shared" si="26"/>
        <v>144201</v>
      </c>
    </row>
    <row r="565" spans="1:10" x14ac:dyDescent="0.3">
      <c r="A565" s="27" t="s">
        <v>1869</v>
      </c>
      <c r="B565" s="27" t="str">
        <f>"14.43"</f>
        <v>14.43</v>
      </c>
      <c r="C565" s="64" t="s">
        <v>3057</v>
      </c>
      <c r="D565" s="27" t="s">
        <v>2229</v>
      </c>
      <c r="E565" s="27" t="s">
        <v>2232</v>
      </c>
      <c r="F565" s="27" t="str">
        <f>"14.43"</f>
        <v>14.43</v>
      </c>
      <c r="G565" s="27" t="s">
        <v>3057</v>
      </c>
      <c r="H565" s="65" t="str">
        <f t="shared" si="24"/>
        <v>No Change</v>
      </c>
      <c r="I565" s="65" t="str">
        <f t="shared" si="25"/>
        <v/>
      </c>
      <c r="J565" s="65" t="str">
        <f t="shared" si="26"/>
        <v/>
      </c>
    </row>
    <row r="566" spans="1:10" x14ac:dyDescent="0.3">
      <c r="A566" s="27" t="s">
        <v>3058</v>
      </c>
      <c r="B566" s="27" t="str">
        <f>"14.4301"</f>
        <v>14.4301</v>
      </c>
      <c r="C566" s="64" t="s">
        <v>3057</v>
      </c>
      <c r="D566" s="27" t="s">
        <v>2229</v>
      </c>
      <c r="E566" s="27" t="s">
        <v>2232</v>
      </c>
      <c r="F566" s="27" t="str">
        <f>"14.4301"</f>
        <v>14.4301</v>
      </c>
      <c r="G566" s="27" t="s">
        <v>3057</v>
      </c>
      <c r="H566" s="65" t="str">
        <f t="shared" si="24"/>
        <v>No Change</v>
      </c>
      <c r="I566" s="65" t="str">
        <f t="shared" si="25"/>
        <v>144301</v>
      </c>
      <c r="J566" s="65" t="str">
        <f t="shared" si="26"/>
        <v>144301</v>
      </c>
    </row>
    <row r="567" spans="1:10" x14ac:dyDescent="0.3">
      <c r="A567" s="27" t="s">
        <v>1869</v>
      </c>
      <c r="B567" s="27" t="str">
        <f>"14.44"</f>
        <v>14.44</v>
      </c>
      <c r="C567" s="64" t="s">
        <v>3059</v>
      </c>
      <c r="D567" s="27" t="s">
        <v>2229</v>
      </c>
      <c r="E567" s="27" t="s">
        <v>2232</v>
      </c>
      <c r="F567" s="27" t="str">
        <f>"14.44"</f>
        <v>14.44</v>
      </c>
      <c r="G567" s="27" t="s">
        <v>3059</v>
      </c>
      <c r="H567" s="65" t="str">
        <f t="shared" si="24"/>
        <v>No Change</v>
      </c>
      <c r="I567" s="65" t="str">
        <f t="shared" si="25"/>
        <v/>
      </c>
      <c r="J567" s="65" t="str">
        <f t="shared" si="26"/>
        <v/>
      </c>
    </row>
    <row r="568" spans="1:10" x14ac:dyDescent="0.3">
      <c r="A568" s="27" t="s">
        <v>3060</v>
      </c>
      <c r="B568" s="27" t="str">
        <f>"14.4401"</f>
        <v>14.4401</v>
      </c>
      <c r="C568" s="64" t="s">
        <v>3059</v>
      </c>
      <c r="D568" s="27" t="s">
        <v>2229</v>
      </c>
      <c r="E568" s="27" t="s">
        <v>2232</v>
      </c>
      <c r="F568" s="27" t="str">
        <f>"14.4401"</f>
        <v>14.4401</v>
      </c>
      <c r="G568" s="27" t="s">
        <v>3059</v>
      </c>
      <c r="H568" s="65" t="str">
        <f t="shared" si="24"/>
        <v>No Change</v>
      </c>
      <c r="I568" s="65" t="str">
        <f t="shared" si="25"/>
        <v>144401</v>
      </c>
      <c r="J568" s="65" t="str">
        <f t="shared" si="26"/>
        <v>144401</v>
      </c>
    </row>
    <row r="569" spans="1:10" x14ac:dyDescent="0.3">
      <c r="A569" s="27" t="s">
        <v>1869</v>
      </c>
      <c r="B569" s="27" t="str">
        <f>"14.45"</f>
        <v>14.45</v>
      </c>
      <c r="C569" s="64" t="s">
        <v>3061</v>
      </c>
      <c r="D569" s="27" t="s">
        <v>2229</v>
      </c>
      <c r="E569" s="27" t="s">
        <v>2232</v>
      </c>
      <c r="F569" s="27" t="str">
        <f>"14.45"</f>
        <v>14.45</v>
      </c>
      <c r="G569" s="27" t="s">
        <v>3061</v>
      </c>
      <c r="H569" s="65" t="str">
        <f t="shared" si="24"/>
        <v>No Change</v>
      </c>
      <c r="I569" s="65" t="str">
        <f t="shared" si="25"/>
        <v/>
      </c>
      <c r="J569" s="65" t="str">
        <f t="shared" si="26"/>
        <v/>
      </c>
    </row>
    <row r="570" spans="1:10" x14ac:dyDescent="0.3">
      <c r="A570" s="27" t="s">
        <v>3062</v>
      </c>
      <c r="B570" s="27" t="str">
        <f>"14.4501"</f>
        <v>14.4501</v>
      </c>
      <c r="C570" s="64" t="s">
        <v>3061</v>
      </c>
      <c r="D570" s="27" t="s">
        <v>2229</v>
      </c>
      <c r="E570" s="27" t="s">
        <v>2232</v>
      </c>
      <c r="F570" s="27" t="str">
        <f>"14.4501"</f>
        <v>14.4501</v>
      </c>
      <c r="G570" s="27" t="s">
        <v>3061</v>
      </c>
      <c r="H570" s="65" t="str">
        <f t="shared" si="24"/>
        <v>No Change</v>
      </c>
      <c r="I570" s="65" t="str">
        <f t="shared" si="25"/>
        <v>144501</v>
      </c>
      <c r="J570" s="65" t="str">
        <f t="shared" si="26"/>
        <v>144501</v>
      </c>
    </row>
    <row r="571" spans="1:10" x14ac:dyDescent="0.3">
      <c r="A571" s="27" t="s">
        <v>1869</v>
      </c>
      <c r="D571" s="27" t="s">
        <v>2255</v>
      </c>
      <c r="E571" s="27" t="s">
        <v>2232</v>
      </c>
      <c r="F571" s="27" t="str">
        <f>"14.47"</f>
        <v>14.47</v>
      </c>
      <c r="G571" s="27" t="s">
        <v>3063</v>
      </c>
      <c r="H571" s="65" t="str">
        <f t="shared" si="24"/>
        <v>No Change</v>
      </c>
      <c r="I571" s="65" t="str">
        <f t="shared" si="25"/>
        <v/>
      </c>
      <c r="J571" s="65" t="str">
        <f t="shared" si="26"/>
        <v/>
      </c>
    </row>
    <row r="572" spans="1:10" x14ac:dyDescent="0.3">
      <c r="A572" s="27" t="s">
        <v>1869</v>
      </c>
      <c r="D572" s="27" t="s">
        <v>2255</v>
      </c>
      <c r="E572" s="27" t="s">
        <v>2232</v>
      </c>
      <c r="F572" s="27" t="str">
        <f>"14.4701"</f>
        <v>14.4701</v>
      </c>
      <c r="G572" s="27" t="s">
        <v>3063</v>
      </c>
      <c r="H572" s="65" t="str">
        <f t="shared" si="24"/>
        <v>Other</v>
      </c>
      <c r="I572" s="65" t="str">
        <f t="shared" si="25"/>
        <v/>
      </c>
      <c r="J572" s="65" t="str">
        <f t="shared" si="26"/>
        <v>144701</v>
      </c>
    </row>
    <row r="573" spans="1:10" x14ac:dyDescent="0.3">
      <c r="A573" s="27" t="s">
        <v>1869</v>
      </c>
      <c r="D573" s="27" t="s">
        <v>2255</v>
      </c>
      <c r="E573" s="27" t="s">
        <v>2232</v>
      </c>
      <c r="F573" s="27" t="str">
        <f>"14.48"</f>
        <v>14.48</v>
      </c>
      <c r="G573" s="27" t="s">
        <v>3064</v>
      </c>
      <c r="H573" s="65" t="str">
        <f t="shared" si="24"/>
        <v>No Change</v>
      </c>
      <c r="I573" s="65" t="str">
        <f t="shared" si="25"/>
        <v/>
      </c>
      <c r="J573" s="65" t="str">
        <f t="shared" si="26"/>
        <v/>
      </c>
    </row>
    <row r="574" spans="1:10" x14ac:dyDescent="0.3">
      <c r="A574" s="27" t="s">
        <v>1869</v>
      </c>
      <c r="D574" s="27" t="s">
        <v>2255</v>
      </c>
      <c r="E574" s="27" t="s">
        <v>2232</v>
      </c>
      <c r="F574" s="27" t="str">
        <f>"14.4801"</f>
        <v>14.4801</v>
      </c>
      <c r="G574" s="27" t="s">
        <v>3065</v>
      </c>
      <c r="H574" s="65" t="str">
        <f t="shared" si="24"/>
        <v>Other</v>
      </c>
      <c r="I574" s="65" t="str">
        <f t="shared" si="25"/>
        <v/>
      </c>
      <c r="J574" s="65" t="str">
        <f t="shared" si="26"/>
        <v>144801</v>
      </c>
    </row>
    <row r="575" spans="1:10" x14ac:dyDescent="0.3">
      <c r="A575" s="27" t="s">
        <v>1869</v>
      </c>
      <c r="D575" s="27" t="s">
        <v>2255</v>
      </c>
      <c r="E575" s="27" t="s">
        <v>2232</v>
      </c>
      <c r="F575" s="27" t="str">
        <f>"14.4802"</f>
        <v>14.4802</v>
      </c>
      <c r="G575" s="27" t="s">
        <v>3066</v>
      </c>
      <c r="H575" s="65" t="str">
        <f t="shared" si="24"/>
        <v>Other</v>
      </c>
      <c r="I575" s="65" t="str">
        <f t="shared" si="25"/>
        <v/>
      </c>
      <c r="J575" s="65" t="str">
        <f t="shared" si="26"/>
        <v>144802</v>
      </c>
    </row>
    <row r="576" spans="1:10" x14ac:dyDescent="0.3">
      <c r="A576" s="27" t="s">
        <v>1869</v>
      </c>
      <c r="D576" s="27" t="s">
        <v>2255</v>
      </c>
      <c r="E576" s="27" t="s">
        <v>2232</v>
      </c>
      <c r="F576" s="27" t="str">
        <f>"14.4899"</f>
        <v>14.4899</v>
      </c>
      <c r="G576" s="27" t="s">
        <v>3067</v>
      </c>
      <c r="H576" s="65" t="str">
        <f t="shared" si="24"/>
        <v>Other</v>
      </c>
      <c r="I576" s="65" t="str">
        <f t="shared" si="25"/>
        <v/>
      </c>
      <c r="J576" s="65" t="str">
        <f t="shared" si="26"/>
        <v>144899</v>
      </c>
    </row>
    <row r="577" spans="1:10" x14ac:dyDescent="0.3">
      <c r="A577" s="27" t="s">
        <v>1869</v>
      </c>
      <c r="B577" s="27" t="str">
        <f>"14.99"</f>
        <v>14.99</v>
      </c>
      <c r="C577" s="64" t="s">
        <v>3068</v>
      </c>
      <c r="D577" s="27" t="s">
        <v>2229</v>
      </c>
      <c r="E577" s="27" t="s">
        <v>2232</v>
      </c>
      <c r="F577" s="27" t="str">
        <f>"14.99"</f>
        <v>14.99</v>
      </c>
      <c r="G577" s="27" t="s">
        <v>3068</v>
      </c>
      <c r="H577" s="65" t="str">
        <f t="shared" si="24"/>
        <v>No Change</v>
      </c>
      <c r="I577" s="65" t="str">
        <f t="shared" si="25"/>
        <v/>
      </c>
      <c r="J577" s="65" t="str">
        <f t="shared" si="26"/>
        <v/>
      </c>
    </row>
    <row r="578" spans="1:10" x14ac:dyDescent="0.3">
      <c r="A578" s="27" t="s">
        <v>3069</v>
      </c>
      <c r="B578" s="27" t="str">
        <f>"14.9999"</f>
        <v>14.9999</v>
      </c>
      <c r="C578" s="64" t="s">
        <v>3068</v>
      </c>
      <c r="D578" s="27" t="s">
        <v>2229</v>
      </c>
      <c r="E578" s="27" t="s">
        <v>2232</v>
      </c>
      <c r="F578" s="27" t="str">
        <f>"14.9999"</f>
        <v>14.9999</v>
      </c>
      <c r="G578" s="27" t="s">
        <v>3068</v>
      </c>
      <c r="H578" s="65" t="str">
        <f t="shared" si="24"/>
        <v>No Change</v>
      </c>
      <c r="I578" s="65" t="str">
        <f t="shared" si="25"/>
        <v>149999</v>
      </c>
      <c r="J578" s="65" t="str">
        <f t="shared" si="26"/>
        <v>149999</v>
      </c>
    </row>
    <row r="579" spans="1:10" ht="28.8" x14ac:dyDescent="0.3">
      <c r="A579" s="27" t="s">
        <v>1869</v>
      </c>
      <c r="B579" s="27" t="str">
        <f>"15"</f>
        <v>15</v>
      </c>
      <c r="C579" s="64" t="s">
        <v>3070</v>
      </c>
      <c r="D579" s="27" t="s">
        <v>2229</v>
      </c>
      <c r="E579" s="27" t="s">
        <v>2230</v>
      </c>
      <c r="F579" s="27" t="str">
        <f>"15"</f>
        <v>15</v>
      </c>
      <c r="G579" s="27" t="s">
        <v>3071</v>
      </c>
      <c r="H579" s="65" t="str">
        <f t="shared" ref="H579:H642" si="27">IF(I579=J579,"No Change","Other")</f>
        <v>No Change</v>
      </c>
      <c r="I579" s="65" t="str">
        <f t="shared" ref="I579:I642" si="28">SUBSTITUTE(IF(SUM(LEN(B579))&lt;7,"",B579),".","")</f>
        <v/>
      </c>
      <c r="J579" s="65" t="str">
        <f t="shared" ref="J579:J642" si="29">SUBSTITUTE(IF(SUM(LEN(F579))&lt;7,"",F579),".","")</f>
        <v/>
      </c>
    </row>
    <row r="580" spans="1:10" x14ac:dyDescent="0.3">
      <c r="A580" s="27" t="s">
        <v>1869</v>
      </c>
      <c r="B580" s="27" t="str">
        <f>"15.00"</f>
        <v>15.00</v>
      </c>
      <c r="C580" s="64" t="s">
        <v>3072</v>
      </c>
      <c r="D580" s="27" t="s">
        <v>2229</v>
      </c>
      <c r="E580" s="27" t="s">
        <v>2230</v>
      </c>
      <c r="F580" s="27" t="str">
        <f>"15.00"</f>
        <v>15.00</v>
      </c>
      <c r="G580" s="27" t="s">
        <v>52</v>
      </c>
      <c r="H580" s="65" t="str">
        <f t="shared" si="27"/>
        <v>No Change</v>
      </c>
      <c r="I580" s="65" t="str">
        <f t="shared" si="28"/>
        <v/>
      </c>
      <c r="J580" s="65" t="str">
        <f t="shared" si="29"/>
        <v/>
      </c>
    </row>
    <row r="581" spans="1:10" x14ac:dyDescent="0.3">
      <c r="A581" s="27" t="s">
        <v>51</v>
      </c>
      <c r="B581" s="27" t="str">
        <f>"15.0000"</f>
        <v>15.0000</v>
      </c>
      <c r="C581" s="64" t="s">
        <v>3072</v>
      </c>
      <c r="D581" s="27" t="s">
        <v>2229</v>
      </c>
      <c r="E581" s="27" t="s">
        <v>2230</v>
      </c>
      <c r="F581" s="27" t="str">
        <f>"15.0000"</f>
        <v>15.0000</v>
      </c>
      <c r="G581" s="27" t="s">
        <v>52</v>
      </c>
      <c r="H581" s="65" t="str">
        <f t="shared" si="27"/>
        <v>No Change</v>
      </c>
      <c r="I581" s="65" t="str">
        <f t="shared" si="28"/>
        <v>150000</v>
      </c>
      <c r="J581" s="65" t="str">
        <f t="shared" si="29"/>
        <v>150000</v>
      </c>
    </row>
    <row r="582" spans="1:10" x14ac:dyDescent="0.3">
      <c r="A582" s="27" t="s">
        <v>1869</v>
      </c>
      <c r="D582" s="27" t="s">
        <v>2255</v>
      </c>
      <c r="E582" s="27" t="s">
        <v>2232</v>
      </c>
      <c r="F582" s="27" t="str">
        <f>"15.0001"</f>
        <v>15.0001</v>
      </c>
      <c r="G582" s="27" t="s">
        <v>3073</v>
      </c>
      <c r="H582" s="65" t="str">
        <f t="shared" si="27"/>
        <v>Other</v>
      </c>
      <c r="I582" s="65" t="str">
        <f t="shared" si="28"/>
        <v/>
      </c>
      <c r="J582" s="65" t="str">
        <f t="shared" si="29"/>
        <v>150001</v>
      </c>
    </row>
    <row r="583" spans="1:10" x14ac:dyDescent="0.3">
      <c r="A583" s="27" t="s">
        <v>1869</v>
      </c>
      <c r="B583" s="27" t="str">
        <f>"15.01"</f>
        <v>15.01</v>
      </c>
      <c r="C583" s="64" t="s">
        <v>3074</v>
      </c>
      <c r="D583" s="27" t="s">
        <v>2229</v>
      </c>
      <c r="E583" s="27" t="s">
        <v>2230</v>
      </c>
      <c r="F583" s="27" t="str">
        <f>"15.01"</f>
        <v>15.01</v>
      </c>
      <c r="G583" s="27" t="s">
        <v>3074</v>
      </c>
      <c r="H583" s="65" t="str">
        <f t="shared" si="27"/>
        <v>No Change</v>
      </c>
      <c r="I583" s="65" t="str">
        <f t="shared" si="28"/>
        <v/>
      </c>
      <c r="J583" s="65" t="str">
        <f t="shared" si="29"/>
        <v/>
      </c>
    </row>
    <row r="584" spans="1:10" x14ac:dyDescent="0.3">
      <c r="A584" s="27" t="s">
        <v>3075</v>
      </c>
      <c r="B584" s="27" t="str">
        <f>"15.0101"</f>
        <v>15.0101</v>
      </c>
      <c r="C584" s="64" t="s">
        <v>3076</v>
      </c>
      <c r="D584" s="27" t="s">
        <v>2229</v>
      </c>
      <c r="E584" s="27" t="s">
        <v>2230</v>
      </c>
      <c r="F584" s="27" t="str">
        <f>"15.0101"</f>
        <v>15.0101</v>
      </c>
      <c r="G584" s="27" t="s">
        <v>3074</v>
      </c>
      <c r="H584" s="65" t="str">
        <f t="shared" si="27"/>
        <v>No Change</v>
      </c>
      <c r="I584" s="65" t="str">
        <f t="shared" si="28"/>
        <v>150101</v>
      </c>
      <c r="J584" s="65" t="str">
        <f t="shared" si="29"/>
        <v>150101</v>
      </c>
    </row>
    <row r="585" spans="1:10" x14ac:dyDescent="0.3">
      <c r="A585" s="27" t="s">
        <v>1869</v>
      </c>
      <c r="B585" s="27" t="str">
        <f>"15.02"</f>
        <v>15.02</v>
      </c>
      <c r="C585" s="64" t="s">
        <v>573</v>
      </c>
      <c r="D585" s="27" t="s">
        <v>2229</v>
      </c>
      <c r="E585" s="27" t="s">
        <v>2230</v>
      </c>
      <c r="F585" s="27" t="str">
        <f>"15.02"</f>
        <v>15.02</v>
      </c>
      <c r="G585" s="27" t="s">
        <v>573</v>
      </c>
      <c r="H585" s="65" t="str">
        <f t="shared" si="27"/>
        <v>No Change</v>
      </c>
      <c r="I585" s="65" t="str">
        <f t="shared" si="28"/>
        <v/>
      </c>
      <c r="J585" s="65" t="str">
        <f t="shared" si="29"/>
        <v/>
      </c>
    </row>
    <row r="586" spans="1:10" x14ac:dyDescent="0.3">
      <c r="A586" s="27" t="s">
        <v>572</v>
      </c>
      <c r="B586" s="27" t="str">
        <f>"15.0201"</f>
        <v>15.0201</v>
      </c>
      <c r="C586" s="64" t="s">
        <v>3077</v>
      </c>
      <c r="D586" s="27" t="s">
        <v>2229</v>
      </c>
      <c r="E586" s="27" t="s">
        <v>2230</v>
      </c>
      <c r="F586" s="27" t="str">
        <f>"15.0201"</f>
        <v>15.0201</v>
      </c>
      <c r="G586" s="27" t="s">
        <v>573</v>
      </c>
      <c r="H586" s="65" t="str">
        <f t="shared" si="27"/>
        <v>No Change</v>
      </c>
      <c r="I586" s="65" t="str">
        <f t="shared" si="28"/>
        <v>150201</v>
      </c>
      <c r="J586" s="65" t="str">
        <f t="shared" si="29"/>
        <v>150201</v>
      </c>
    </row>
    <row r="587" spans="1:10" x14ac:dyDescent="0.3">
      <c r="A587" s="27" t="s">
        <v>1869</v>
      </c>
      <c r="B587" s="27" t="str">
        <f>"15.03"</f>
        <v>15.03</v>
      </c>
      <c r="C587" s="64" t="s">
        <v>3078</v>
      </c>
      <c r="D587" s="27" t="s">
        <v>2229</v>
      </c>
      <c r="E587" s="27" t="s">
        <v>2230</v>
      </c>
      <c r="F587" s="27" t="str">
        <f>"15.03"</f>
        <v>15.03</v>
      </c>
      <c r="G587" s="27" t="s">
        <v>3079</v>
      </c>
      <c r="H587" s="65" t="str">
        <f t="shared" si="27"/>
        <v>No Change</v>
      </c>
      <c r="I587" s="65" t="str">
        <f t="shared" si="28"/>
        <v/>
      </c>
      <c r="J587" s="65" t="str">
        <f t="shared" si="29"/>
        <v/>
      </c>
    </row>
    <row r="588" spans="1:10" ht="28.8" x14ac:dyDescent="0.3">
      <c r="A588" s="27" t="s">
        <v>54</v>
      </c>
      <c r="B588" s="27" t="str">
        <f>"15.0303"</f>
        <v>15.0303</v>
      </c>
      <c r="C588" s="64" t="s">
        <v>3080</v>
      </c>
      <c r="D588" s="27" t="s">
        <v>2229</v>
      </c>
      <c r="E588" s="27" t="s">
        <v>2230</v>
      </c>
      <c r="F588" s="27" t="str">
        <f>"15.0303"</f>
        <v>15.0303</v>
      </c>
      <c r="G588" s="27" t="s">
        <v>55</v>
      </c>
      <c r="H588" s="65" t="str">
        <f t="shared" si="27"/>
        <v>No Change</v>
      </c>
      <c r="I588" s="65" t="str">
        <f t="shared" si="28"/>
        <v>150303</v>
      </c>
      <c r="J588" s="65" t="str">
        <f t="shared" si="29"/>
        <v>150303</v>
      </c>
    </row>
    <row r="589" spans="1:10" x14ac:dyDescent="0.3">
      <c r="A589" s="27" t="s">
        <v>559</v>
      </c>
      <c r="B589" s="27" t="str">
        <f>"15.0304"</f>
        <v>15.0304</v>
      </c>
      <c r="C589" s="64" t="s">
        <v>560</v>
      </c>
      <c r="D589" s="27" t="s">
        <v>2229</v>
      </c>
      <c r="E589" s="27" t="s">
        <v>2230</v>
      </c>
      <c r="F589" s="27" t="str">
        <f>"15.0304"</f>
        <v>15.0304</v>
      </c>
      <c r="G589" s="27" t="s">
        <v>560</v>
      </c>
      <c r="H589" s="65" t="str">
        <f t="shared" si="27"/>
        <v>No Change</v>
      </c>
      <c r="I589" s="65" t="str">
        <f t="shared" si="28"/>
        <v>150304</v>
      </c>
      <c r="J589" s="65" t="str">
        <f t="shared" si="29"/>
        <v>150304</v>
      </c>
    </row>
    <row r="590" spans="1:10" x14ac:dyDescent="0.3">
      <c r="A590" s="27" t="s">
        <v>627</v>
      </c>
      <c r="B590" s="27" t="str">
        <f>"15.0305"</f>
        <v>15.0305</v>
      </c>
      <c r="C590" s="64" t="s">
        <v>628</v>
      </c>
      <c r="D590" s="27" t="s">
        <v>2229</v>
      </c>
      <c r="E590" s="27" t="s">
        <v>2230</v>
      </c>
      <c r="F590" s="27" t="str">
        <f>"15.0305"</f>
        <v>15.0305</v>
      </c>
      <c r="G590" s="27" t="s">
        <v>628</v>
      </c>
      <c r="H590" s="65" t="str">
        <f t="shared" si="27"/>
        <v>No Change</v>
      </c>
      <c r="I590" s="65" t="str">
        <f t="shared" si="28"/>
        <v>150305</v>
      </c>
      <c r="J590" s="65" t="str">
        <f t="shared" si="29"/>
        <v>150305</v>
      </c>
    </row>
    <row r="591" spans="1:10" x14ac:dyDescent="0.3">
      <c r="A591" s="27" t="s">
        <v>3081</v>
      </c>
      <c r="B591" s="27" t="str">
        <f>"15.0306"</f>
        <v>15.0306</v>
      </c>
      <c r="C591" s="64" t="s">
        <v>3082</v>
      </c>
      <c r="D591" s="27" t="s">
        <v>2229</v>
      </c>
      <c r="E591" s="27" t="s">
        <v>2230</v>
      </c>
      <c r="F591" s="27" t="str">
        <f>"15.0306"</f>
        <v>15.0306</v>
      </c>
      <c r="G591" s="27" t="s">
        <v>3083</v>
      </c>
      <c r="H591" s="65" t="str">
        <f t="shared" si="27"/>
        <v>No Change</v>
      </c>
      <c r="I591" s="65" t="str">
        <f t="shared" si="28"/>
        <v>150306</v>
      </c>
      <c r="J591" s="65" t="str">
        <f t="shared" si="29"/>
        <v>150306</v>
      </c>
    </row>
    <row r="592" spans="1:10" x14ac:dyDescent="0.3">
      <c r="A592" s="27" t="s">
        <v>1869</v>
      </c>
      <c r="D592" s="27" t="s">
        <v>2255</v>
      </c>
      <c r="E592" s="27" t="s">
        <v>2232</v>
      </c>
      <c r="F592" s="27" t="str">
        <f>"15.0307"</f>
        <v>15.0307</v>
      </c>
      <c r="G592" s="27" t="s">
        <v>3084</v>
      </c>
      <c r="H592" s="65" t="str">
        <f t="shared" si="27"/>
        <v>Other</v>
      </c>
      <c r="I592" s="65" t="str">
        <f t="shared" si="28"/>
        <v/>
      </c>
      <c r="J592" s="65" t="str">
        <f t="shared" si="29"/>
        <v>150307</v>
      </c>
    </row>
    <row r="593" spans="1:10" ht="28.8" x14ac:dyDescent="0.3">
      <c r="A593" s="27" t="s">
        <v>3085</v>
      </c>
      <c r="B593" s="27" t="str">
        <f>"15.0399"</f>
        <v>15.0399</v>
      </c>
      <c r="C593" s="64" t="s">
        <v>3086</v>
      </c>
      <c r="D593" s="27" t="s">
        <v>2229</v>
      </c>
      <c r="E593" s="27" t="s">
        <v>2230</v>
      </c>
      <c r="F593" s="27" t="str">
        <f>"15.0399"</f>
        <v>15.0399</v>
      </c>
      <c r="G593" s="27" t="s">
        <v>3087</v>
      </c>
      <c r="H593" s="65" t="str">
        <f t="shared" si="27"/>
        <v>No Change</v>
      </c>
      <c r="I593" s="65" t="str">
        <f t="shared" si="28"/>
        <v>150399</v>
      </c>
      <c r="J593" s="65" t="str">
        <f t="shared" si="29"/>
        <v>150399</v>
      </c>
    </row>
    <row r="594" spans="1:10" ht="28.8" x14ac:dyDescent="0.3">
      <c r="A594" s="27" t="s">
        <v>1869</v>
      </c>
      <c r="B594" s="27" t="str">
        <f>"15.04"</f>
        <v>15.04</v>
      </c>
      <c r="C594" s="64" t="s">
        <v>3088</v>
      </c>
      <c r="D594" s="27" t="s">
        <v>2229</v>
      </c>
      <c r="E594" s="27" t="s">
        <v>2230</v>
      </c>
      <c r="F594" s="27" t="str">
        <f>"15.04"</f>
        <v>15.04</v>
      </c>
      <c r="G594" s="27" t="s">
        <v>3089</v>
      </c>
      <c r="H594" s="65" t="str">
        <f t="shared" si="27"/>
        <v>No Change</v>
      </c>
      <c r="I594" s="65" t="str">
        <f t="shared" si="28"/>
        <v/>
      </c>
      <c r="J594" s="65" t="str">
        <f t="shared" si="29"/>
        <v/>
      </c>
    </row>
    <row r="595" spans="1:10" x14ac:dyDescent="0.3">
      <c r="A595" s="27" t="s">
        <v>616</v>
      </c>
      <c r="B595" s="27" t="str">
        <f>"15.0401"</f>
        <v>15.0401</v>
      </c>
      <c r="C595" s="64" t="s">
        <v>617</v>
      </c>
      <c r="D595" s="27" t="s">
        <v>2229</v>
      </c>
      <c r="E595" s="27" t="s">
        <v>2232</v>
      </c>
      <c r="F595" s="27" t="str">
        <f>"15.0401"</f>
        <v>15.0401</v>
      </c>
      <c r="G595" s="27" t="s">
        <v>617</v>
      </c>
      <c r="H595" s="65" t="str">
        <f t="shared" si="27"/>
        <v>No Change</v>
      </c>
      <c r="I595" s="65" t="str">
        <f t="shared" si="28"/>
        <v>150401</v>
      </c>
      <c r="J595" s="65" t="str">
        <f t="shared" si="29"/>
        <v>150401</v>
      </c>
    </row>
    <row r="596" spans="1:10" ht="28.8" x14ac:dyDescent="0.3">
      <c r="A596" s="27" t="s">
        <v>3090</v>
      </c>
      <c r="B596" s="27" t="str">
        <f>"15.0403"</f>
        <v>15.0403</v>
      </c>
      <c r="C596" s="64" t="s">
        <v>3091</v>
      </c>
      <c r="D596" s="27" t="s">
        <v>2229</v>
      </c>
      <c r="E596" s="27" t="s">
        <v>2230</v>
      </c>
      <c r="F596" s="27" t="str">
        <f>"15.0403"</f>
        <v>15.0403</v>
      </c>
      <c r="G596" s="27" t="s">
        <v>3092</v>
      </c>
      <c r="H596" s="65" t="str">
        <f t="shared" si="27"/>
        <v>No Change</v>
      </c>
      <c r="I596" s="65" t="str">
        <f t="shared" si="28"/>
        <v>150403</v>
      </c>
      <c r="J596" s="65" t="str">
        <f t="shared" si="29"/>
        <v>150403</v>
      </c>
    </row>
    <row r="597" spans="1:10" x14ac:dyDescent="0.3">
      <c r="A597" s="27" t="s">
        <v>1616</v>
      </c>
      <c r="B597" s="27" t="str">
        <f>"15.0404"</f>
        <v>15.0404</v>
      </c>
      <c r="C597" s="64" t="s">
        <v>1617</v>
      </c>
      <c r="D597" s="27" t="s">
        <v>2229</v>
      </c>
      <c r="E597" s="27" t="s">
        <v>2232</v>
      </c>
      <c r="F597" s="27" t="str">
        <f>"15.0404"</f>
        <v>15.0404</v>
      </c>
      <c r="G597" s="27" t="s">
        <v>1617</v>
      </c>
      <c r="H597" s="65" t="str">
        <f t="shared" si="27"/>
        <v>No Change</v>
      </c>
      <c r="I597" s="65" t="str">
        <f t="shared" si="28"/>
        <v>150404</v>
      </c>
      <c r="J597" s="65" t="str">
        <f t="shared" si="29"/>
        <v>150404</v>
      </c>
    </row>
    <row r="598" spans="1:10" x14ac:dyDescent="0.3">
      <c r="A598" s="27" t="s">
        <v>562</v>
      </c>
      <c r="B598" s="27" t="str">
        <f>"15.0405"</f>
        <v>15.0405</v>
      </c>
      <c r="C598" s="64" t="s">
        <v>563</v>
      </c>
      <c r="D598" s="27" t="s">
        <v>2229</v>
      </c>
      <c r="E598" s="27" t="s">
        <v>2232</v>
      </c>
      <c r="F598" s="27" t="str">
        <f>"15.0405"</f>
        <v>15.0405</v>
      </c>
      <c r="G598" s="27" t="s">
        <v>563</v>
      </c>
      <c r="H598" s="65" t="str">
        <f t="shared" si="27"/>
        <v>No Change</v>
      </c>
      <c r="I598" s="65" t="str">
        <f t="shared" si="28"/>
        <v>150405</v>
      </c>
      <c r="J598" s="65" t="str">
        <f t="shared" si="29"/>
        <v>150405</v>
      </c>
    </row>
    <row r="599" spans="1:10" x14ac:dyDescent="0.3">
      <c r="A599" s="27" t="s">
        <v>57</v>
      </c>
      <c r="B599" s="27" t="str">
        <f>"15.0406"</f>
        <v>15.0406</v>
      </c>
      <c r="C599" s="64" t="s">
        <v>58</v>
      </c>
      <c r="D599" s="27" t="s">
        <v>2229</v>
      </c>
      <c r="E599" s="27" t="s">
        <v>2232</v>
      </c>
      <c r="F599" s="27" t="str">
        <f>"15.0406"</f>
        <v>15.0406</v>
      </c>
      <c r="G599" s="27" t="s">
        <v>58</v>
      </c>
      <c r="H599" s="65" t="str">
        <f t="shared" si="27"/>
        <v>No Change</v>
      </c>
      <c r="I599" s="65" t="str">
        <f t="shared" si="28"/>
        <v>150406</v>
      </c>
      <c r="J599" s="65" t="str">
        <f t="shared" si="29"/>
        <v>150406</v>
      </c>
    </row>
    <row r="600" spans="1:10" x14ac:dyDescent="0.3">
      <c r="A600" s="27" t="s">
        <v>1869</v>
      </c>
      <c r="D600" s="27" t="s">
        <v>2255</v>
      </c>
      <c r="E600" s="27" t="s">
        <v>2232</v>
      </c>
      <c r="F600" s="27" t="str">
        <f>"15.0407"</f>
        <v>15.0407</v>
      </c>
      <c r="G600" s="27" t="s">
        <v>3093</v>
      </c>
      <c r="H600" s="65" t="str">
        <f t="shared" si="27"/>
        <v>Other</v>
      </c>
      <c r="I600" s="65" t="str">
        <f t="shared" si="28"/>
        <v/>
      </c>
      <c r="J600" s="65" t="str">
        <f t="shared" si="29"/>
        <v>150407</v>
      </c>
    </row>
    <row r="601" spans="1:10" ht="28.8" x14ac:dyDescent="0.3">
      <c r="A601" s="27" t="s">
        <v>1627</v>
      </c>
      <c r="B601" s="27" t="str">
        <f>"15.0499"</f>
        <v>15.0499</v>
      </c>
      <c r="C601" s="64" t="s">
        <v>3094</v>
      </c>
      <c r="D601" s="27" t="s">
        <v>2229</v>
      </c>
      <c r="E601" s="27" t="s">
        <v>2230</v>
      </c>
      <c r="F601" s="27" t="str">
        <f>"15.0499"</f>
        <v>15.0499</v>
      </c>
      <c r="G601" s="27" t="s">
        <v>1628</v>
      </c>
      <c r="H601" s="65" t="str">
        <f t="shared" si="27"/>
        <v>No Change</v>
      </c>
      <c r="I601" s="65" t="str">
        <f t="shared" si="28"/>
        <v>150499</v>
      </c>
      <c r="J601" s="65" t="str">
        <f t="shared" si="29"/>
        <v>150499</v>
      </c>
    </row>
    <row r="602" spans="1:10" x14ac:dyDescent="0.3">
      <c r="A602" s="27" t="s">
        <v>1869</v>
      </c>
      <c r="B602" s="27" t="str">
        <f>"15.05"</f>
        <v>15.05</v>
      </c>
      <c r="C602" s="64" t="s">
        <v>3095</v>
      </c>
      <c r="D602" s="27" t="s">
        <v>2229</v>
      </c>
      <c r="E602" s="27" t="s">
        <v>2230</v>
      </c>
      <c r="F602" s="27" t="str">
        <f>"15.05"</f>
        <v>15.05</v>
      </c>
      <c r="G602" s="27" t="s">
        <v>3095</v>
      </c>
      <c r="H602" s="65" t="str">
        <f t="shared" si="27"/>
        <v>No Change</v>
      </c>
      <c r="I602" s="65" t="str">
        <f t="shared" si="28"/>
        <v/>
      </c>
      <c r="J602" s="65" t="str">
        <f t="shared" si="29"/>
        <v/>
      </c>
    </row>
    <row r="603" spans="1:10" ht="28.8" x14ac:dyDescent="0.3">
      <c r="A603" s="27" t="s">
        <v>249</v>
      </c>
      <c r="B603" s="27" t="str">
        <f>"15.0501"</f>
        <v>15.0501</v>
      </c>
      <c r="C603" s="64" t="s">
        <v>250</v>
      </c>
      <c r="D603" s="27" t="s">
        <v>2229</v>
      </c>
      <c r="E603" s="27" t="s">
        <v>2232</v>
      </c>
      <c r="F603" s="27" t="str">
        <f>"15.0501"</f>
        <v>15.0501</v>
      </c>
      <c r="G603" s="27" t="s">
        <v>250</v>
      </c>
      <c r="H603" s="65" t="str">
        <f t="shared" si="27"/>
        <v>No Change</v>
      </c>
      <c r="I603" s="65" t="str">
        <f t="shared" si="28"/>
        <v>150501</v>
      </c>
      <c r="J603" s="65" t="str">
        <f t="shared" si="29"/>
        <v>150501</v>
      </c>
    </row>
    <row r="604" spans="1:10" x14ac:dyDescent="0.3">
      <c r="A604" s="27" t="s">
        <v>630</v>
      </c>
      <c r="B604" s="27" t="str">
        <f>"15.0503"</f>
        <v>15.0503</v>
      </c>
      <c r="C604" s="64" t="s">
        <v>3096</v>
      </c>
      <c r="D604" s="27" t="s">
        <v>2274</v>
      </c>
      <c r="E604" s="27" t="s">
        <v>2230</v>
      </c>
      <c r="F604" s="27" t="str">
        <f>"15.1701"</f>
        <v>15.1701</v>
      </c>
      <c r="G604" s="27" t="s">
        <v>632</v>
      </c>
      <c r="H604" s="65" t="str">
        <f t="shared" si="27"/>
        <v>Other</v>
      </c>
      <c r="I604" s="65" t="str">
        <f t="shared" si="28"/>
        <v>150503</v>
      </c>
      <c r="J604" s="65" t="str">
        <f t="shared" si="29"/>
        <v>151701</v>
      </c>
    </row>
    <row r="605" spans="1:10" x14ac:dyDescent="0.3">
      <c r="A605" s="27" t="s">
        <v>870</v>
      </c>
      <c r="B605" s="27" t="str">
        <f>"15.0505"</f>
        <v>15.0505</v>
      </c>
      <c r="C605" s="64" t="s">
        <v>872</v>
      </c>
      <c r="D605" s="27" t="s">
        <v>2274</v>
      </c>
      <c r="E605" s="27" t="s">
        <v>2232</v>
      </c>
      <c r="F605" s="27" t="str">
        <f>"15.1703"</f>
        <v>15.1703</v>
      </c>
      <c r="G605" s="27" t="s">
        <v>872</v>
      </c>
      <c r="H605" s="65" t="str">
        <f t="shared" si="27"/>
        <v>Other</v>
      </c>
      <c r="I605" s="65" t="str">
        <f t="shared" si="28"/>
        <v>150505</v>
      </c>
      <c r="J605" s="65" t="str">
        <f t="shared" si="29"/>
        <v>151703</v>
      </c>
    </row>
    <row r="606" spans="1:10" ht="28.8" x14ac:dyDescent="0.3">
      <c r="A606" s="27" t="s">
        <v>956</v>
      </c>
      <c r="B606" s="27" t="str">
        <f>"15.0506"</f>
        <v>15.0506</v>
      </c>
      <c r="C606" s="64" t="s">
        <v>957</v>
      </c>
      <c r="D606" s="27" t="s">
        <v>2229</v>
      </c>
      <c r="E606" s="27" t="s">
        <v>2232</v>
      </c>
      <c r="F606" s="27" t="str">
        <f>"15.0506"</f>
        <v>15.0506</v>
      </c>
      <c r="G606" s="27" t="s">
        <v>957</v>
      </c>
      <c r="H606" s="65" t="str">
        <f t="shared" si="27"/>
        <v>No Change</v>
      </c>
      <c r="I606" s="65" t="str">
        <f t="shared" si="28"/>
        <v>150506</v>
      </c>
      <c r="J606" s="65" t="str">
        <f t="shared" si="29"/>
        <v>150506</v>
      </c>
    </row>
    <row r="607" spans="1:10" ht="28.8" x14ac:dyDescent="0.3">
      <c r="A607" s="27" t="s">
        <v>3097</v>
      </c>
      <c r="B607" s="27" t="str">
        <f>"15.0507"</f>
        <v>15.0507</v>
      </c>
      <c r="C607" s="64" t="s">
        <v>3098</v>
      </c>
      <c r="D607" s="27" t="s">
        <v>2229</v>
      </c>
      <c r="E607" s="27" t="s">
        <v>2230</v>
      </c>
      <c r="F607" s="27" t="str">
        <f>"15.0507"</f>
        <v>15.0507</v>
      </c>
      <c r="G607" s="27" t="s">
        <v>3099</v>
      </c>
      <c r="H607" s="65" t="str">
        <f t="shared" si="27"/>
        <v>No Change</v>
      </c>
      <c r="I607" s="65" t="str">
        <f t="shared" si="28"/>
        <v>150507</v>
      </c>
      <c r="J607" s="65" t="str">
        <f t="shared" si="29"/>
        <v>150507</v>
      </c>
    </row>
    <row r="608" spans="1:10" ht="28.8" x14ac:dyDescent="0.3">
      <c r="A608" s="27" t="s">
        <v>3100</v>
      </c>
      <c r="B608" s="27" t="str">
        <f>"15.0508"</f>
        <v>15.0508</v>
      </c>
      <c r="C608" s="64" t="s">
        <v>3101</v>
      </c>
      <c r="D608" s="27" t="s">
        <v>2229</v>
      </c>
      <c r="E608" s="27" t="s">
        <v>2232</v>
      </c>
      <c r="F608" s="27" t="str">
        <f>"15.0508"</f>
        <v>15.0508</v>
      </c>
      <c r="G608" s="27" t="s">
        <v>3101</v>
      </c>
      <c r="H608" s="65" t="str">
        <f t="shared" si="27"/>
        <v>No Change</v>
      </c>
      <c r="I608" s="65" t="str">
        <f t="shared" si="28"/>
        <v>150508</v>
      </c>
      <c r="J608" s="65" t="str">
        <f t="shared" si="29"/>
        <v>150508</v>
      </c>
    </row>
    <row r="609" spans="1:10" x14ac:dyDescent="0.3">
      <c r="A609" s="27" t="s">
        <v>3102</v>
      </c>
      <c r="B609" s="27" t="str">
        <f>"15.0599"</f>
        <v>15.0599</v>
      </c>
      <c r="C609" s="64" t="s">
        <v>3103</v>
      </c>
      <c r="D609" s="27" t="s">
        <v>2229</v>
      </c>
      <c r="E609" s="27" t="s">
        <v>2230</v>
      </c>
      <c r="F609" s="27" t="str">
        <f>"15.0599"</f>
        <v>15.0599</v>
      </c>
      <c r="G609" s="27" t="s">
        <v>3103</v>
      </c>
      <c r="H609" s="65" t="str">
        <f t="shared" si="27"/>
        <v>No Change</v>
      </c>
      <c r="I609" s="65" t="str">
        <f t="shared" si="28"/>
        <v>150599</v>
      </c>
      <c r="J609" s="65" t="str">
        <f t="shared" si="29"/>
        <v>150599</v>
      </c>
    </row>
    <row r="610" spans="1:10" x14ac:dyDescent="0.3">
      <c r="A610" s="27" t="s">
        <v>1869</v>
      </c>
      <c r="B610" s="27" t="str">
        <f>"15.06"</f>
        <v>15.06</v>
      </c>
      <c r="C610" s="64" t="s">
        <v>3104</v>
      </c>
      <c r="D610" s="27" t="s">
        <v>2229</v>
      </c>
      <c r="E610" s="27" t="s">
        <v>2232</v>
      </c>
      <c r="F610" s="27" t="str">
        <f>"15.06"</f>
        <v>15.06</v>
      </c>
      <c r="G610" s="27" t="s">
        <v>3104</v>
      </c>
      <c r="H610" s="65" t="str">
        <f t="shared" si="27"/>
        <v>No Change</v>
      </c>
      <c r="I610" s="65" t="str">
        <f t="shared" si="28"/>
        <v/>
      </c>
      <c r="J610" s="65" t="str">
        <f t="shared" si="29"/>
        <v/>
      </c>
    </row>
    <row r="611" spans="1:10" x14ac:dyDescent="0.3">
      <c r="A611" s="27" t="s">
        <v>3105</v>
      </c>
      <c r="B611" s="27" t="str">
        <f>"15.0607"</f>
        <v>15.0607</v>
      </c>
      <c r="C611" s="64" t="s">
        <v>3106</v>
      </c>
      <c r="D611" s="27" t="s">
        <v>2229</v>
      </c>
      <c r="E611" s="27" t="s">
        <v>2232</v>
      </c>
      <c r="F611" s="27" t="str">
        <f>"15.0607"</f>
        <v>15.0607</v>
      </c>
      <c r="G611" s="27" t="s">
        <v>3106</v>
      </c>
      <c r="H611" s="65" t="str">
        <f t="shared" si="27"/>
        <v>No Change</v>
      </c>
      <c r="I611" s="65" t="str">
        <f t="shared" si="28"/>
        <v>150607</v>
      </c>
      <c r="J611" s="65" t="str">
        <f t="shared" si="29"/>
        <v>150607</v>
      </c>
    </row>
    <row r="612" spans="1:10" x14ac:dyDescent="0.3">
      <c r="A612" s="27" t="s">
        <v>3107</v>
      </c>
      <c r="B612" s="27" t="str">
        <f>"15.0611"</f>
        <v>15.0611</v>
      </c>
      <c r="C612" s="64" t="s">
        <v>3108</v>
      </c>
      <c r="D612" s="27" t="s">
        <v>2229</v>
      </c>
      <c r="E612" s="27" t="s">
        <v>2232</v>
      </c>
      <c r="F612" s="27" t="str">
        <f>"15.0611"</f>
        <v>15.0611</v>
      </c>
      <c r="G612" s="27" t="s">
        <v>3108</v>
      </c>
      <c r="H612" s="65" t="str">
        <f t="shared" si="27"/>
        <v>No Change</v>
      </c>
      <c r="I612" s="65" t="str">
        <f t="shared" si="28"/>
        <v>150611</v>
      </c>
      <c r="J612" s="65" t="str">
        <f t="shared" si="29"/>
        <v>150611</v>
      </c>
    </row>
    <row r="613" spans="1:10" x14ac:dyDescent="0.3">
      <c r="A613" s="27" t="s">
        <v>916</v>
      </c>
      <c r="B613" s="27" t="str">
        <f>"15.0612"</f>
        <v>15.0612</v>
      </c>
      <c r="C613" s="64" t="s">
        <v>917</v>
      </c>
      <c r="D613" s="27" t="s">
        <v>2229</v>
      </c>
      <c r="E613" s="27" t="s">
        <v>2232</v>
      </c>
      <c r="F613" s="27" t="str">
        <f>"15.0612"</f>
        <v>15.0612</v>
      </c>
      <c r="G613" s="27" t="s">
        <v>917</v>
      </c>
      <c r="H613" s="65" t="str">
        <f t="shared" si="27"/>
        <v>No Change</v>
      </c>
      <c r="I613" s="65" t="str">
        <f t="shared" si="28"/>
        <v>150612</v>
      </c>
      <c r="J613" s="65" t="str">
        <f t="shared" si="29"/>
        <v>150612</v>
      </c>
    </row>
    <row r="614" spans="1:10" x14ac:dyDescent="0.3">
      <c r="A614" s="27" t="s">
        <v>253</v>
      </c>
      <c r="B614" s="27" t="str">
        <f>"15.0613"</f>
        <v>15.0613</v>
      </c>
      <c r="C614" s="64" t="s">
        <v>254</v>
      </c>
      <c r="D614" s="27" t="s">
        <v>2229</v>
      </c>
      <c r="E614" s="27" t="s">
        <v>2232</v>
      </c>
      <c r="F614" s="27" t="str">
        <f>"15.0613"</f>
        <v>15.0613</v>
      </c>
      <c r="G614" s="27" t="s">
        <v>254</v>
      </c>
      <c r="H614" s="65" t="str">
        <f t="shared" si="27"/>
        <v>No Change</v>
      </c>
      <c r="I614" s="65" t="str">
        <f t="shared" si="28"/>
        <v>150613</v>
      </c>
      <c r="J614" s="65" t="str">
        <f t="shared" si="29"/>
        <v>150613</v>
      </c>
    </row>
    <row r="615" spans="1:10" x14ac:dyDescent="0.3">
      <c r="A615" s="27" t="s">
        <v>3109</v>
      </c>
      <c r="B615" s="27" t="str">
        <f>"15.0614"</f>
        <v>15.0614</v>
      </c>
      <c r="C615" s="64" t="s">
        <v>3110</v>
      </c>
      <c r="D615" s="27" t="s">
        <v>2229</v>
      </c>
      <c r="E615" s="27" t="s">
        <v>2232</v>
      </c>
      <c r="F615" s="27" t="str">
        <f>"15.0614"</f>
        <v>15.0614</v>
      </c>
      <c r="G615" s="27" t="s">
        <v>3110</v>
      </c>
      <c r="H615" s="65" t="str">
        <f t="shared" si="27"/>
        <v>No Change</v>
      </c>
      <c r="I615" s="65" t="str">
        <f t="shared" si="28"/>
        <v>150614</v>
      </c>
      <c r="J615" s="65" t="str">
        <f t="shared" si="29"/>
        <v>150614</v>
      </c>
    </row>
    <row r="616" spans="1:10" x14ac:dyDescent="0.3">
      <c r="A616" s="27" t="s">
        <v>3111</v>
      </c>
      <c r="B616" s="27" t="str">
        <f>"15.0615"</f>
        <v>15.0615</v>
      </c>
      <c r="C616" s="64" t="s">
        <v>3112</v>
      </c>
      <c r="D616" s="27" t="s">
        <v>2229</v>
      </c>
      <c r="E616" s="27" t="s">
        <v>2232</v>
      </c>
      <c r="F616" s="27" t="str">
        <f>"15.0615"</f>
        <v>15.0615</v>
      </c>
      <c r="G616" s="27" t="s">
        <v>3112</v>
      </c>
      <c r="H616" s="65" t="str">
        <f t="shared" si="27"/>
        <v>No Change</v>
      </c>
      <c r="I616" s="65" t="str">
        <f t="shared" si="28"/>
        <v>150615</v>
      </c>
      <c r="J616" s="65" t="str">
        <f t="shared" si="29"/>
        <v>150615</v>
      </c>
    </row>
    <row r="617" spans="1:10" x14ac:dyDescent="0.3">
      <c r="A617" s="27" t="s">
        <v>3113</v>
      </c>
      <c r="B617" s="27" t="str">
        <f>"15.0616"</f>
        <v>15.0616</v>
      </c>
      <c r="C617" s="64" t="s">
        <v>3114</v>
      </c>
      <c r="D617" s="27" t="s">
        <v>2229</v>
      </c>
      <c r="E617" s="27" t="s">
        <v>2230</v>
      </c>
      <c r="F617" s="27" t="str">
        <f>"15.0616"</f>
        <v>15.0616</v>
      </c>
      <c r="G617" s="27" t="s">
        <v>3115</v>
      </c>
      <c r="H617" s="65" t="str">
        <f t="shared" si="27"/>
        <v>No Change</v>
      </c>
      <c r="I617" s="65" t="str">
        <f t="shared" si="28"/>
        <v>150616</v>
      </c>
      <c r="J617" s="65" t="str">
        <f t="shared" si="29"/>
        <v>150616</v>
      </c>
    </row>
    <row r="618" spans="1:10" x14ac:dyDescent="0.3">
      <c r="A618" s="27" t="s">
        <v>1869</v>
      </c>
      <c r="D618" s="27" t="s">
        <v>2255</v>
      </c>
      <c r="E618" s="27" t="s">
        <v>2232</v>
      </c>
      <c r="F618" s="27" t="str">
        <f>"15.0617"</f>
        <v>15.0617</v>
      </c>
      <c r="G618" s="27" t="s">
        <v>3116</v>
      </c>
      <c r="H618" s="65" t="str">
        <f t="shared" si="27"/>
        <v>Other</v>
      </c>
      <c r="I618" s="65" t="str">
        <f t="shared" si="28"/>
        <v/>
      </c>
      <c r="J618" s="65" t="str">
        <f t="shared" si="29"/>
        <v>150617</v>
      </c>
    </row>
    <row r="619" spans="1:10" x14ac:dyDescent="0.3">
      <c r="A619" s="27" t="s">
        <v>3117</v>
      </c>
      <c r="B619" s="27" t="str">
        <f>"15.0699"</f>
        <v>15.0699</v>
      </c>
      <c r="C619" s="64" t="s">
        <v>3118</v>
      </c>
      <c r="D619" s="27" t="s">
        <v>2229</v>
      </c>
      <c r="E619" s="27" t="s">
        <v>2230</v>
      </c>
      <c r="F619" s="27" t="str">
        <f>"15.0699"</f>
        <v>15.0699</v>
      </c>
      <c r="G619" s="27" t="s">
        <v>3118</v>
      </c>
      <c r="H619" s="65" t="str">
        <f t="shared" si="27"/>
        <v>No Change</v>
      </c>
      <c r="I619" s="65" t="str">
        <f t="shared" si="28"/>
        <v>150699</v>
      </c>
      <c r="J619" s="65" t="str">
        <f t="shared" si="29"/>
        <v>150699</v>
      </c>
    </row>
    <row r="620" spans="1:10" x14ac:dyDescent="0.3">
      <c r="A620" s="27" t="s">
        <v>1869</v>
      </c>
      <c r="B620" s="27" t="str">
        <f>"15.07"</f>
        <v>15.07</v>
      </c>
      <c r="C620" s="64" t="s">
        <v>3119</v>
      </c>
      <c r="D620" s="27" t="s">
        <v>2229</v>
      </c>
      <c r="E620" s="27" t="s">
        <v>2232</v>
      </c>
      <c r="F620" s="27" t="str">
        <f>"15.07"</f>
        <v>15.07</v>
      </c>
      <c r="G620" s="27" t="s">
        <v>3119</v>
      </c>
      <c r="H620" s="65" t="str">
        <f t="shared" si="27"/>
        <v>No Change</v>
      </c>
      <c r="I620" s="65" t="str">
        <f t="shared" si="28"/>
        <v/>
      </c>
      <c r="J620" s="65" t="str">
        <f t="shared" si="29"/>
        <v/>
      </c>
    </row>
    <row r="621" spans="1:10" x14ac:dyDescent="0.3">
      <c r="A621" s="27" t="s">
        <v>3120</v>
      </c>
      <c r="B621" s="27" t="str">
        <f>"15.0701"</f>
        <v>15.0701</v>
      </c>
      <c r="C621" s="64" t="s">
        <v>3121</v>
      </c>
      <c r="D621" s="27" t="s">
        <v>2229</v>
      </c>
      <c r="E621" s="27" t="s">
        <v>2232</v>
      </c>
      <c r="F621" s="27" t="str">
        <f>"15.0701"</f>
        <v>15.0701</v>
      </c>
      <c r="G621" s="27" t="s">
        <v>3121</v>
      </c>
      <c r="H621" s="65" t="str">
        <f t="shared" si="27"/>
        <v>No Change</v>
      </c>
      <c r="I621" s="65" t="str">
        <f t="shared" si="28"/>
        <v>150701</v>
      </c>
      <c r="J621" s="65" t="str">
        <f t="shared" si="29"/>
        <v>150701</v>
      </c>
    </row>
    <row r="622" spans="1:10" x14ac:dyDescent="0.3">
      <c r="A622" s="27" t="s">
        <v>517</v>
      </c>
      <c r="B622" s="27" t="str">
        <f>"15.0702"</f>
        <v>15.0702</v>
      </c>
      <c r="C622" s="64" t="s">
        <v>518</v>
      </c>
      <c r="D622" s="27" t="s">
        <v>2229</v>
      </c>
      <c r="E622" s="27" t="s">
        <v>2232</v>
      </c>
      <c r="F622" s="27" t="str">
        <f>"15.0702"</f>
        <v>15.0702</v>
      </c>
      <c r="G622" s="27" t="s">
        <v>518</v>
      </c>
      <c r="H622" s="65" t="str">
        <f t="shared" si="27"/>
        <v>No Change</v>
      </c>
      <c r="I622" s="65" t="str">
        <f t="shared" si="28"/>
        <v>150702</v>
      </c>
      <c r="J622" s="65" t="str">
        <f t="shared" si="29"/>
        <v>150702</v>
      </c>
    </row>
    <row r="623" spans="1:10" x14ac:dyDescent="0.3">
      <c r="A623" s="27" t="s">
        <v>3122</v>
      </c>
      <c r="B623" s="27" t="str">
        <f>"15.0703"</f>
        <v>15.0703</v>
      </c>
      <c r="C623" s="64" t="s">
        <v>3123</v>
      </c>
      <c r="D623" s="27" t="s">
        <v>2229</v>
      </c>
      <c r="E623" s="27" t="s">
        <v>2230</v>
      </c>
      <c r="F623" s="27" t="str">
        <f>"15.0703"</f>
        <v>15.0703</v>
      </c>
      <c r="G623" s="27" t="s">
        <v>3123</v>
      </c>
      <c r="H623" s="65" t="str">
        <f t="shared" si="27"/>
        <v>No Change</v>
      </c>
      <c r="I623" s="65" t="str">
        <f t="shared" si="28"/>
        <v>150703</v>
      </c>
      <c r="J623" s="65" t="str">
        <f t="shared" si="29"/>
        <v>150703</v>
      </c>
    </row>
    <row r="624" spans="1:10" ht="28.8" x14ac:dyDescent="0.3">
      <c r="A624" s="27" t="s">
        <v>3124</v>
      </c>
      <c r="B624" s="27" t="str">
        <f>"15.0704"</f>
        <v>15.0704</v>
      </c>
      <c r="C624" s="64" t="s">
        <v>3125</v>
      </c>
      <c r="D624" s="27" t="s">
        <v>2229</v>
      </c>
      <c r="E624" s="27" t="s">
        <v>2232</v>
      </c>
      <c r="F624" s="27" t="str">
        <f>"15.0704"</f>
        <v>15.0704</v>
      </c>
      <c r="G624" s="27" t="s">
        <v>3125</v>
      </c>
      <c r="H624" s="65" t="str">
        <f t="shared" si="27"/>
        <v>No Change</v>
      </c>
      <c r="I624" s="65" t="str">
        <f t="shared" si="28"/>
        <v>150704</v>
      </c>
      <c r="J624" s="65" t="str">
        <f t="shared" si="29"/>
        <v>150704</v>
      </c>
    </row>
    <row r="625" spans="1:10" x14ac:dyDescent="0.3">
      <c r="A625" s="27" t="s">
        <v>1869</v>
      </c>
      <c r="D625" s="27" t="s">
        <v>2255</v>
      </c>
      <c r="E625" s="27" t="s">
        <v>2232</v>
      </c>
      <c r="F625" s="27" t="str">
        <f>"15.0705"</f>
        <v>15.0705</v>
      </c>
      <c r="G625" s="27" t="s">
        <v>3126</v>
      </c>
      <c r="H625" s="65" t="str">
        <f t="shared" si="27"/>
        <v>Other</v>
      </c>
      <c r="I625" s="65" t="str">
        <f t="shared" si="28"/>
        <v/>
      </c>
      <c r="J625" s="65" t="str">
        <f t="shared" si="29"/>
        <v>150705</v>
      </c>
    </row>
    <row r="626" spans="1:10" x14ac:dyDescent="0.3">
      <c r="A626" s="27" t="s">
        <v>3127</v>
      </c>
      <c r="B626" s="27" t="str">
        <f>"15.0799"</f>
        <v>15.0799</v>
      </c>
      <c r="C626" s="64" t="s">
        <v>3128</v>
      </c>
      <c r="D626" s="27" t="s">
        <v>2229</v>
      </c>
      <c r="E626" s="27" t="s">
        <v>2232</v>
      </c>
      <c r="F626" s="27" t="str">
        <f>"15.0799"</f>
        <v>15.0799</v>
      </c>
      <c r="G626" s="27" t="s">
        <v>3128</v>
      </c>
      <c r="H626" s="65" t="str">
        <f t="shared" si="27"/>
        <v>No Change</v>
      </c>
      <c r="I626" s="65" t="str">
        <f t="shared" si="28"/>
        <v>150799</v>
      </c>
      <c r="J626" s="65" t="str">
        <f t="shared" si="29"/>
        <v>150799</v>
      </c>
    </row>
    <row r="627" spans="1:10" x14ac:dyDescent="0.3">
      <c r="A627" s="27" t="s">
        <v>1869</v>
      </c>
      <c r="B627" s="27" t="str">
        <f>"15.08"</f>
        <v>15.08</v>
      </c>
      <c r="C627" s="64" t="s">
        <v>3129</v>
      </c>
      <c r="D627" s="27" t="s">
        <v>2229</v>
      </c>
      <c r="E627" s="27" t="s">
        <v>2232</v>
      </c>
      <c r="F627" s="27" t="str">
        <f>"15.08"</f>
        <v>15.08</v>
      </c>
      <c r="G627" s="27" t="s">
        <v>3129</v>
      </c>
      <c r="H627" s="65" t="str">
        <f t="shared" si="27"/>
        <v>No Change</v>
      </c>
      <c r="I627" s="65" t="str">
        <f t="shared" si="28"/>
        <v/>
      </c>
      <c r="J627" s="65" t="str">
        <f t="shared" si="29"/>
        <v/>
      </c>
    </row>
    <row r="628" spans="1:10" x14ac:dyDescent="0.3">
      <c r="A628" s="27" t="s">
        <v>470</v>
      </c>
      <c r="B628" s="27" t="str">
        <f>"15.0801"</f>
        <v>15.0801</v>
      </c>
      <c r="C628" s="64" t="s">
        <v>471</v>
      </c>
      <c r="D628" s="27" t="s">
        <v>2229</v>
      </c>
      <c r="E628" s="27" t="s">
        <v>2232</v>
      </c>
      <c r="F628" s="27" t="str">
        <f>"15.0801"</f>
        <v>15.0801</v>
      </c>
      <c r="G628" s="27" t="s">
        <v>471</v>
      </c>
      <c r="H628" s="65" t="str">
        <f t="shared" si="27"/>
        <v>No Change</v>
      </c>
      <c r="I628" s="65" t="str">
        <f t="shared" si="28"/>
        <v>150801</v>
      </c>
      <c r="J628" s="65" t="str">
        <f t="shared" si="29"/>
        <v>150801</v>
      </c>
    </row>
    <row r="629" spans="1:10" x14ac:dyDescent="0.3">
      <c r="A629" s="27" t="s">
        <v>256</v>
      </c>
      <c r="B629" s="27" t="str">
        <f>"15.0803"</f>
        <v>15.0803</v>
      </c>
      <c r="C629" s="64" t="s">
        <v>257</v>
      </c>
      <c r="D629" s="27" t="s">
        <v>2229</v>
      </c>
      <c r="E629" s="27" t="s">
        <v>2232</v>
      </c>
      <c r="F629" s="27" t="str">
        <f>"15.0803"</f>
        <v>15.0803</v>
      </c>
      <c r="G629" s="27" t="s">
        <v>257</v>
      </c>
      <c r="H629" s="65" t="str">
        <f t="shared" si="27"/>
        <v>No Change</v>
      </c>
      <c r="I629" s="65" t="str">
        <f t="shared" si="28"/>
        <v>150803</v>
      </c>
      <c r="J629" s="65" t="str">
        <f t="shared" si="29"/>
        <v>150803</v>
      </c>
    </row>
    <row r="630" spans="1:10" x14ac:dyDescent="0.3">
      <c r="A630" s="27" t="s">
        <v>520</v>
      </c>
      <c r="B630" s="27" t="str">
        <f>"15.0805"</f>
        <v>15.0805</v>
      </c>
      <c r="C630" s="64" t="s">
        <v>3130</v>
      </c>
      <c r="D630" s="27" t="s">
        <v>2229</v>
      </c>
      <c r="E630" s="27" t="s">
        <v>2230</v>
      </c>
      <c r="F630" s="27" t="str">
        <f>"15.0805"</f>
        <v>15.0805</v>
      </c>
      <c r="G630" s="27" t="s">
        <v>521</v>
      </c>
      <c r="H630" s="65" t="str">
        <f t="shared" si="27"/>
        <v>No Change</v>
      </c>
      <c r="I630" s="65" t="str">
        <f t="shared" si="28"/>
        <v>150805</v>
      </c>
      <c r="J630" s="65" t="str">
        <f t="shared" si="29"/>
        <v>150805</v>
      </c>
    </row>
    <row r="631" spans="1:10" x14ac:dyDescent="0.3">
      <c r="A631" s="27" t="s">
        <v>1869</v>
      </c>
      <c r="D631" s="27" t="s">
        <v>2255</v>
      </c>
      <c r="E631" s="27" t="s">
        <v>2232</v>
      </c>
      <c r="F631" s="27" t="str">
        <f>"15.0806"</f>
        <v>15.0806</v>
      </c>
      <c r="G631" s="27" t="s">
        <v>3131</v>
      </c>
      <c r="H631" s="65" t="str">
        <f t="shared" si="27"/>
        <v>Other</v>
      </c>
      <c r="I631" s="65" t="str">
        <f t="shared" si="28"/>
        <v/>
      </c>
      <c r="J631" s="65" t="str">
        <f t="shared" si="29"/>
        <v>150806</v>
      </c>
    </row>
    <row r="632" spans="1:10" x14ac:dyDescent="0.3">
      <c r="A632" s="27" t="s">
        <v>1869</v>
      </c>
      <c r="D632" s="27" t="s">
        <v>2255</v>
      </c>
      <c r="E632" s="27" t="s">
        <v>2232</v>
      </c>
      <c r="F632" s="27" t="str">
        <f>"15.0807"</f>
        <v>15.0807</v>
      </c>
      <c r="G632" s="27" t="s">
        <v>3132</v>
      </c>
      <c r="H632" s="65" t="str">
        <f t="shared" si="27"/>
        <v>Other</v>
      </c>
      <c r="I632" s="65" t="str">
        <f t="shared" si="28"/>
        <v/>
      </c>
      <c r="J632" s="65" t="str">
        <f t="shared" si="29"/>
        <v>150807</v>
      </c>
    </row>
    <row r="633" spans="1:10" ht="28.8" x14ac:dyDescent="0.3">
      <c r="A633" s="27" t="s">
        <v>3133</v>
      </c>
      <c r="B633" s="27" t="str">
        <f>"15.0899"</f>
        <v>15.0899</v>
      </c>
      <c r="C633" s="64" t="s">
        <v>3134</v>
      </c>
      <c r="D633" s="27" t="s">
        <v>2229</v>
      </c>
      <c r="E633" s="27" t="s">
        <v>2232</v>
      </c>
      <c r="F633" s="27" t="str">
        <f>"15.0899"</f>
        <v>15.0899</v>
      </c>
      <c r="G633" s="27" t="s">
        <v>3134</v>
      </c>
      <c r="H633" s="65" t="str">
        <f t="shared" si="27"/>
        <v>No Change</v>
      </c>
      <c r="I633" s="65" t="str">
        <f t="shared" si="28"/>
        <v>150899</v>
      </c>
      <c r="J633" s="65" t="str">
        <f t="shared" si="29"/>
        <v>150899</v>
      </c>
    </row>
    <row r="634" spans="1:10" x14ac:dyDescent="0.3">
      <c r="A634" s="27" t="s">
        <v>1869</v>
      </c>
      <c r="B634" s="27" t="str">
        <f>"15.09"</f>
        <v>15.09</v>
      </c>
      <c r="C634" s="64" t="s">
        <v>3135</v>
      </c>
      <c r="D634" s="27" t="s">
        <v>2229</v>
      </c>
      <c r="E634" s="27" t="s">
        <v>2232</v>
      </c>
      <c r="F634" s="27" t="str">
        <f>"15.09"</f>
        <v>15.09</v>
      </c>
      <c r="G634" s="27" t="s">
        <v>3135</v>
      </c>
      <c r="H634" s="65" t="str">
        <f t="shared" si="27"/>
        <v>No Change</v>
      </c>
      <c r="I634" s="65" t="str">
        <f t="shared" si="28"/>
        <v/>
      </c>
      <c r="J634" s="65" t="str">
        <f t="shared" si="29"/>
        <v/>
      </c>
    </row>
    <row r="635" spans="1:10" x14ac:dyDescent="0.3">
      <c r="A635" s="27" t="s">
        <v>3136</v>
      </c>
      <c r="B635" s="27" t="str">
        <f>"15.0901"</f>
        <v>15.0901</v>
      </c>
      <c r="C635" s="64" t="s">
        <v>3137</v>
      </c>
      <c r="D635" s="27" t="s">
        <v>2229</v>
      </c>
      <c r="E635" s="27" t="s">
        <v>2232</v>
      </c>
      <c r="F635" s="27" t="str">
        <f>"15.0901"</f>
        <v>15.0901</v>
      </c>
      <c r="G635" s="27" t="s">
        <v>3137</v>
      </c>
      <c r="H635" s="65" t="str">
        <f t="shared" si="27"/>
        <v>No Change</v>
      </c>
      <c r="I635" s="65" t="str">
        <f t="shared" si="28"/>
        <v>150901</v>
      </c>
      <c r="J635" s="65" t="str">
        <f t="shared" si="29"/>
        <v>150901</v>
      </c>
    </row>
    <row r="636" spans="1:10" x14ac:dyDescent="0.3">
      <c r="A636" s="27" t="s">
        <v>3138</v>
      </c>
      <c r="B636" s="27" t="str">
        <f>"15.0903"</f>
        <v>15.0903</v>
      </c>
      <c r="C636" s="64" t="s">
        <v>3139</v>
      </c>
      <c r="D636" s="27" t="s">
        <v>2229</v>
      </c>
      <c r="E636" s="27" t="s">
        <v>2232</v>
      </c>
      <c r="F636" s="27" t="str">
        <f>"15.0903"</f>
        <v>15.0903</v>
      </c>
      <c r="G636" s="27" t="s">
        <v>3139</v>
      </c>
      <c r="H636" s="65" t="str">
        <f t="shared" si="27"/>
        <v>No Change</v>
      </c>
      <c r="I636" s="65" t="str">
        <f t="shared" si="28"/>
        <v>150903</v>
      </c>
      <c r="J636" s="65" t="str">
        <f t="shared" si="29"/>
        <v>150903</v>
      </c>
    </row>
    <row r="637" spans="1:10" x14ac:dyDescent="0.3">
      <c r="A637" s="27" t="s">
        <v>3140</v>
      </c>
      <c r="B637" s="27" t="str">
        <f>"15.0999"</f>
        <v>15.0999</v>
      </c>
      <c r="C637" s="64" t="s">
        <v>3141</v>
      </c>
      <c r="D637" s="27" t="s">
        <v>2229</v>
      </c>
      <c r="E637" s="27" t="s">
        <v>2232</v>
      </c>
      <c r="F637" s="27" t="str">
        <f>"15.0999"</f>
        <v>15.0999</v>
      </c>
      <c r="G637" s="27" t="s">
        <v>3141</v>
      </c>
      <c r="H637" s="65" t="str">
        <f t="shared" si="27"/>
        <v>No Change</v>
      </c>
      <c r="I637" s="65" t="str">
        <f t="shared" si="28"/>
        <v>150999</v>
      </c>
      <c r="J637" s="65" t="str">
        <f t="shared" si="29"/>
        <v>150999</v>
      </c>
    </row>
    <row r="638" spans="1:10" x14ac:dyDescent="0.3">
      <c r="A638" s="27" t="s">
        <v>1869</v>
      </c>
      <c r="B638" s="27" t="str">
        <f>"15.10"</f>
        <v>15.10</v>
      </c>
      <c r="C638" s="64" t="s">
        <v>3142</v>
      </c>
      <c r="D638" s="27" t="s">
        <v>2229</v>
      </c>
      <c r="E638" s="27" t="s">
        <v>2230</v>
      </c>
      <c r="F638" s="27" t="str">
        <f>"15.10"</f>
        <v>15.10</v>
      </c>
      <c r="G638" s="27" t="s">
        <v>360</v>
      </c>
      <c r="H638" s="65" t="str">
        <f t="shared" si="27"/>
        <v>No Change</v>
      </c>
      <c r="I638" s="65" t="str">
        <f t="shared" si="28"/>
        <v/>
      </c>
      <c r="J638" s="65" t="str">
        <f t="shared" si="29"/>
        <v/>
      </c>
    </row>
    <row r="639" spans="1:10" x14ac:dyDescent="0.3">
      <c r="A639" s="27" t="s">
        <v>359</v>
      </c>
      <c r="B639" s="27" t="str">
        <f>"15.1001"</f>
        <v>15.1001</v>
      </c>
      <c r="C639" s="64" t="s">
        <v>360</v>
      </c>
      <c r="D639" s="27" t="s">
        <v>2229</v>
      </c>
      <c r="E639" s="27" t="s">
        <v>2232</v>
      </c>
      <c r="F639" s="27" t="str">
        <f>"15.1001"</f>
        <v>15.1001</v>
      </c>
      <c r="G639" s="27" t="s">
        <v>360</v>
      </c>
      <c r="H639" s="65" t="str">
        <f t="shared" si="27"/>
        <v>No Change</v>
      </c>
      <c r="I639" s="65" t="str">
        <f t="shared" si="28"/>
        <v>151001</v>
      </c>
      <c r="J639" s="65" t="str">
        <f t="shared" si="29"/>
        <v>151001</v>
      </c>
    </row>
    <row r="640" spans="1:10" x14ac:dyDescent="0.3">
      <c r="A640" s="27" t="s">
        <v>1869</v>
      </c>
      <c r="B640" s="27" t="str">
        <f>"15.11"</f>
        <v>15.11</v>
      </c>
      <c r="C640" s="64" t="s">
        <v>3143</v>
      </c>
      <c r="D640" s="27" t="s">
        <v>2229</v>
      </c>
      <c r="E640" s="27" t="s">
        <v>2230</v>
      </c>
      <c r="F640" s="27" t="str">
        <f>"15.11"</f>
        <v>15.11</v>
      </c>
      <c r="G640" s="27" t="s">
        <v>3144</v>
      </c>
      <c r="H640" s="65" t="str">
        <f t="shared" si="27"/>
        <v>No Change</v>
      </c>
      <c r="I640" s="65" t="str">
        <f t="shared" si="28"/>
        <v/>
      </c>
      <c r="J640" s="65" t="str">
        <f t="shared" si="29"/>
        <v/>
      </c>
    </row>
    <row r="641" spans="1:10" x14ac:dyDescent="0.3">
      <c r="A641" s="27" t="s">
        <v>3145</v>
      </c>
      <c r="B641" s="27" t="str">
        <f>"15.1102"</f>
        <v>15.1102</v>
      </c>
      <c r="C641" s="64" t="s">
        <v>3146</v>
      </c>
      <c r="D641" s="27" t="s">
        <v>2229</v>
      </c>
      <c r="E641" s="27" t="s">
        <v>2232</v>
      </c>
      <c r="F641" s="27" t="str">
        <f>"15.1102"</f>
        <v>15.1102</v>
      </c>
      <c r="G641" s="27" t="s">
        <v>3146</v>
      </c>
      <c r="H641" s="65" t="str">
        <f t="shared" si="27"/>
        <v>No Change</v>
      </c>
      <c r="I641" s="65" t="str">
        <f t="shared" si="28"/>
        <v>151102</v>
      </c>
      <c r="J641" s="65" t="str">
        <f t="shared" si="29"/>
        <v>151102</v>
      </c>
    </row>
    <row r="642" spans="1:10" x14ac:dyDescent="0.3">
      <c r="A642" s="27" t="s">
        <v>3147</v>
      </c>
      <c r="B642" s="27" t="str">
        <f>"15.1103"</f>
        <v>15.1103</v>
      </c>
      <c r="C642" s="64" t="s">
        <v>3148</v>
      </c>
      <c r="D642" s="27" t="s">
        <v>2229</v>
      </c>
      <c r="E642" s="27" t="s">
        <v>2232</v>
      </c>
      <c r="F642" s="27" t="str">
        <f>"15.1103"</f>
        <v>15.1103</v>
      </c>
      <c r="G642" s="27" t="s">
        <v>3148</v>
      </c>
      <c r="H642" s="65" t="str">
        <f t="shared" si="27"/>
        <v>No Change</v>
      </c>
      <c r="I642" s="65" t="str">
        <f t="shared" si="28"/>
        <v>151103</v>
      </c>
      <c r="J642" s="65" t="str">
        <f t="shared" si="29"/>
        <v>151103</v>
      </c>
    </row>
    <row r="643" spans="1:10" x14ac:dyDescent="0.3">
      <c r="A643" s="27" t="s">
        <v>3149</v>
      </c>
      <c r="B643" s="27" t="str">
        <f>"15.1199"</f>
        <v>15.1199</v>
      </c>
      <c r="C643" s="64" t="s">
        <v>3150</v>
      </c>
      <c r="D643" s="27" t="s">
        <v>2229</v>
      </c>
      <c r="E643" s="27" t="s">
        <v>2230</v>
      </c>
      <c r="F643" s="27" t="str">
        <f>"15.1199"</f>
        <v>15.1199</v>
      </c>
      <c r="G643" s="27" t="s">
        <v>3151</v>
      </c>
      <c r="H643" s="65" t="str">
        <f t="shared" ref="H643:H706" si="30">IF(I643=J643,"No Change","Other")</f>
        <v>No Change</v>
      </c>
      <c r="I643" s="65" t="str">
        <f t="shared" ref="I643:I706" si="31">SUBSTITUTE(IF(SUM(LEN(B643))&lt;7,"",B643),".","")</f>
        <v>151199</v>
      </c>
      <c r="J643" s="65" t="str">
        <f t="shared" ref="J643:J706" si="32">SUBSTITUTE(IF(SUM(LEN(F643))&lt;7,"",F643),".","")</f>
        <v>151199</v>
      </c>
    </row>
    <row r="644" spans="1:10" x14ac:dyDescent="0.3">
      <c r="A644" s="27" t="s">
        <v>1869</v>
      </c>
      <c r="B644" s="27" t="str">
        <f>"15.12"</f>
        <v>15.12</v>
      </c>
      <c r="C644" s="64" t="s">
        <v>3152</v>
      </c>
      <c r="D644" s="27" t="s">
        <v>2229</v>
      </c>
      <c r="E644" s="27" t="s">
        <v>2232</v>
      </c>
      <c r="F644" s="27" t="str">
        <f>"15.12"</f>
        <v>15.12</v>
      </c>
      <c r="G644" s="27" t="s">
        <v>3152</v>
      </c>
      <c r="H644" s="65" t="str">
        <f t="shared" si="30"/>
        <v>No Change</v>
      </c>
      <c r="I644" s="65" t="str">
        <f t="shared" si="31"/>
        <v/>
      </c>
      <c r="J644" s="65" t="str">
        <f t="shared" si="32"/>
        <v/>
      </c>
    </row>
    <row r="645" spans="1:10" x14ac:dyDescent="0.3">
      <c r="A645" s="27" t="s">
        <v>473</v>
      </c>
      <c r="B645" s="27" t="str">
        <f>"15.1201"</f>
        <v>15.1201</v>
      </c>
      <c r="C645" s="64" t="s">
        <v>474</v>
      </c>
      <c r="D645" s="27" t="s">
        <v>2229</v>
      </c>
      <c r="E645" s="27" t="s">
        <v>2232</v>
      </c>
      <c r="F645" s="27" t="str">
        <f>"15.1201"</f>
        <v>15.1201</v>
      </c>
      <c r="G645" s="27" t="s">
        <v>474</v>
      </c>
      <c r="H645" s="65" t="str">
        <f t="shared" si="30"/>
        <v>No Change</v>
      </c>
      <c r="I645" s="65" t="str">
        <f t="shared" si="31"/>
        <v>151201</v>
      </c>
      <c r="J645" s="65" t="str">
        <f t="shared" si="32"/>
        <v>151201</v>
      </c>
    </row>
    <row r="646" spans="1:10" x14ac:dyDescent="0.3">
      <c r="A646" s="27" t="s">
        <v>1508</v>
      </c>
      <c r="B646" s="27" t="str">
        <f>"15.1202"</f>
        <v>15.1202</v>
      </c>
      <c r="C646" s="64" t="s">
        <v>3153</v>
      </c>
      <c r="D646" s="27" t="s">
        <v>2229</v>
      </c>
      <c r="E646" s="27" t="s">
        <v>2230</v>
      </c>
      <c r="F646" s="27" t="str">
        <f>"15.1202"</f>
        <v>15.1202</v>
      </c>
      <c r="G646" s="27" t="s">
        <v>1509</v>
      </c>
      <c r="H646" s="65" t="str">
        <f t="shared" si="30"/>
        <v>No Change</v>
      </c>
      <c r="I646" s="65" t="str">
        <f t="shared" si="31"/>
        <v>151202</v>
      </c>
      <c r="J646" s="65" t="str">
        <f t="shared" si="32"/>
        <v>151202</v>
      </c>
    </row>
    <row r="647" spans="1:10" x14ac:dyDescent="0.3">
      <c r="A647" s="27" t="s">
        <v>3154</v>
      </c>
      <c r="B647" s="27" t="str">
        <f>"15.1203"</f>
        <v>15.1203</v>
      </c>
      <c r="C647" s="64" t="s">
        <v>3155</v>
      </c>
      <c r="D647" s="27" t="s">
        <v>2229</v>
      </c>
      <c r="E647" s="27" t="s">
        <v>2232</v>
      </c>
      <c r="F647" s="27" t="str">
        <f>"15.1203"</f>
        <v>15.1203</v>
      </c>
      <c r="G647" s="27" t="s">
        <v>3155</v>
      </c>
      <c r="H647" s="65" t="str">
        <f t="shared" si="30"/>
        <v>No Change</v>
      </c>
      <c r="I647" s="65" t="str">
        <f t="shared" si="31"/>
        <v>151203</v>
      </c>
      <c r="J647" s="65" t="str">
        <f t="shared" si="32"/>
        <v>151203</v>
      </c>
    </row>
    <row r="648" spans="1:10" x14ac:dyDescent="0.3">
      <c r="A648" s="27" t="s">
        <v>3156</v>
      </c>
      <c r="B648" s="27" t="str">
        <f>"15.1204"</f>
        <v>15.1204</v>
      </c>
      <c r="C648" s="64" t="s">
        <v>3157</v>
      </c>
      <c r="D648" s="27" t="s">
        <v>2229</v>
      </c>
      <c r="E648" s="27" t="s">
        <v>2232</v>
      </c>
      <c r="F648" s="27" t="str">
        <f>"15.1204"</f>
        <v>15.1204</v>
      </c>
      <c r="G648" s="27" t="s">
        <v>3157</v>
      </c>
      <c r="H648" s="65" t="str">
        <f t="shared" si="30"/>
        <v>No Change</v>
      </c>
      <c r="I648" s="65" t="str">
        <f t="shared" si="31"/>
        <v>151204</v>
      </c>
      <c r="J648" s="65" t="str">
        <f t="shared" si="32"/>
        <v>151204</v>
      </c>
    </row>
    <row r="649" spans="1:10" x14ac:dyDescent="0.3">
      <c r="A649" s="27" t="s">
        <v>3158</v>
      </c>
      <c r="B649" s="27" t="str">
        <f>"15.1299"</f>
        <v>15.1299</v>
      </c>
      <c r="C649" s="64" t="s">
        <v>3159</v>
      </c>
      <c r="D649" s="27" t="s">
        <v>2229</v>
      </c>
      <c r="E649" s="27" t="s">
        <v>2232</v>
      </c>
      <c r="F649" s="27" t="str">
        <f>"15.1299"</f>
        <v>15.1299</v>
      </c>
      <c r="G649" s="27" t="s">
        <v>3159</v>
      </c>
      <c r="H649" s="65" t="str">
        <f t="shared" si="30"/>
        <v>No Change</v>
      </c>
      <c r="I649" s="65" t="str">
        <f t="shared" si="31"/>
        <v>151299</v>
      </c>
      <c r="J649" s="65" t="str">
        <f t="shared" si="32"/>
        <v>151299</v>
      </c>
    </row>
    <row r="650" spans="1:10" x14ac:dyDescent="0.3">
      <c r="A650" s="27" t="s">
        <v>1869</v>
      </c>
      <c r="B650" s="27" t="str">
        <f>"15.13"</f>
        <v>15.13</v>
      </c>
      <c r="C650" s="64" t="s">
        <v>3160</v>
      </c>
      <c r="D650" s="27" t="s">
        <v>2229</v>
      </c>
      <c r="E650" s="27" t="s">
        <v>2232</v>
      </c>
      <c r="F650" s="27" t="str">
        <f>"15.13"</f>
        <v>15.13</v>
      </c>
      <c r="G650" s="27" t="s">
        <v>3160</v>
      </c>
      <c r="H650" s="65" t="str">
        <f t="shared" si="30"/>
        <v>No Change</v>
      </c>
      <c r="I650" s="65" t="str">
        <f t="shared" si="31"/>
        <v/>
      </c>
      <c r="J650" s="65" t="str">
        <f t="shared" si="32"/>
        <v/>
      </c>
    </row>
    <row r="651" spans="1:10" x14ac:dyDescent="0.3">
      <c r="A651" s="27" t="s">
        <v>260</v>
      </c>
      <c r="B651" s="27" t="str">
        <f>"15.1301"</f>
        <v>15.1301</v>
      </c>
      <c r="C651" s="64" t="s">
        <v>261</v>
      </c>
      <c r="D651" s="27" t="s">
        <v>2229</v>
      </c>
      <c r="E651" s="27" t="s">
        <v>2232</v>
      </c>
      <c r="F651" s="27" t="str">
        <f>"15.1301"</f>
        <v>15.1301</v>
      </c>
      <c r="G651" s="27" t="s">
        <v>261</v>
      </c>
      <c r="H651" s="65" t="str">
        <f t="shared" si="30"/>
        <v>No Change</v>
      </c>
      <c r="I651" s="65" t="str">
        <f t="shared" si="31"/>
        <v>151301</v>
      </c>
      <c r="J651" s="65" t="str">
        <f t="shared" si="32"/>
        <v>151301</v>
      </c>
    </row>
    <row r="652" spans="1:10" x14ac:dyDescent="0.3">
      <c r="A652" s="27" t="s">
        <v>263</v>
      </c>
      <c r="B652" s="27" t="str">
        <f>"15.1302"</f>
        <v>15.1302</v>
      </c>
      <c r="C652" s="64" t="s">
        <v>264</v>
      </c>
      <c r="D652" s="27" t="s">
        <v>2229</v>
      </c>
      <c r="E652" s="27" t="s">
        <v>2232</v>
      </c>
      <c r="F652" s="27" t="str">
        <f>"15.1302"</f>
        <v>15.1302</v>
      </c>
      <c r="G652" s="27" t="s">
        <v>264</v>
      </c>
      <c r="H652" s="65" t="str">
        <f t="shared" si="30"/>
        <v>No Change</v>
      </c>
      <c r="I652" s="65" t="str">
        <f t="shared" si="31"/>
        <v>151302</v>
      </c>
      <c r="J652" s="65" t="str">
        <f t="shared" si="32"/>
        <v>151302</v>
      </c>
    </row>
    <row r="653" spans="1:10" x14ac:dyDescent="0.3">
      <c r="A653" s="27" t="s">
        <v>438</v>
      </c>
      <c r="B653" s="27" t="str">
        <f>"15.1303"</f>
        <v>15.1303</v>
      </c>
      <c r="C653" s="64" t="s">
        <v>439</v>
      </c>
      <c r="D653" s="27" t="s">
        <v>2229</v>
      </c>
      <c r="E653" s="27" t="s">
        <v>2232</v>
      </c>
      <c r="F653" s="27" t="str">
        <f>"15.1303"</f>
        <v>15.1303</v>
      </c>
      <c r="G653" s="27" t="s">
        <v>439</v>
      </c>
      <c r="H653" s="65" t="str">
        <f t="shared" si="30"/>
        <v>No Change</v>
      </c>
      <c r="I653" s="65" t="str">
        <f t="shared" si="31"/>
        <v>151303</v>
      </c>
      <c r="J653" s="65" t="str">
        <f t="shared" si="32"/>
        <v>151303</v>
      </c>
    </row>
    <row r="654" spans="1:10" x14ac:dyDescent="0.3">
      <c r="A654" s="27" t="s">
        <v>3161</v>
      </c>
      <c r="B654" s="27" t="str">
        <f>"15.1304"</f>
        <v>15.1304</v>
      </c>
      <c r="C654" s="64" t="s">
        <v>3162</v>
      </c>
      <c r="D654" s="27" t="s">
        <v>2229</v>
      </c>
      <c r="E654" s="27" t="s">
        <v>2232</v>
      </c>
      <c r="F654" s="27" t="str">
        <f>"15.1304"</f>
        <v>15.1304</v>
      </c>
      <c r="G654" s="27" t="s">
        <v>3162</v>
      </c>
      <c r="H654" s="65" t="str">
        <f t="shared" si="30"/>
        <v>No Change</v>
      </c>
      <c r="I654" s="65" t="str">
        <f t="shared" si="31"/>
        <v>151304</v>
      </c>
      <c r="J654" s="65" t="str">
        <f t="shared" si="32"/>
        <v>151304</v>
      </c>
    </row>
    <row r="655" spans="1:10" ht="28.8" x14ac:dyDescent="0.3">
      <c r="A655" s="27" t="s">
        <v>3163</v>
      </c>
      <c r="B655" s="27" t="str">
        <f>"15.1305"</f>
        <v>15.1305</v>
      </c>
      <c r="C655" s="64" t="s">
        <v>3164</v>
      </c>
      <c r="D655" s="27" t="s">
        <v>2229</v>
      </c>
      <c r="E655" s="27" t="s">
        <v>2232</v>
      </c>
      <c r="F655" s="27" t="str">
        <f>"15.1305"</f>
        <v>15.1305</v>
      </c>
      <c r="G655" s="27" t="s">
        <v>3164</v>
      </c>
      <c r="H655" s="65" t="str">
        <f t="shared" si="30"/>
        <v>No Change</v>
      </c>
      <c r="I655" s="65" t="str">
        <f t="shared" si="31"/>
        <v>151305</v>
      </c>
      <c r="J655" s="65" t="str">
        <f t="shared" si="32"/>
        <v>151305</v>
      </c>
    </row>
    <row r="656" spans="1:10" x14ac:dyDescent="0.3">
      <c r="A656" s="27" t="s">
        <v>3165</v>
      </c>
      <c r="B656" s="27" t="str">
        <f>"15.1306"</f>
        <v>15.1306</v>
      </c>
      <c r="C656" s="64" t="s">
        <v>3166</v>
      </c>
      <c r="D656" s="27" t="s">
        <v>2229</v>
      </c>
      <c r="E656" s="27" t="s">
        <v>2232</v>
      </c>
      <c r="F656" s="27" t="str">
        <f>"15.1306"</f>
        <v>15.1306</v>
      </c>
      <c r="G656" s="27" t="s">
        <v>3166</v>
      </c>
      <c r="H656" s="65" t="str">
        <f t="shared" si="30"/>
        <v>No Change</v>
      </c>
      <c r="I656" s="65" t="str">
        <f t="shared" si="31"/>
        <v>151306</v>
      </c>
      <c r="J656" s="65" t="str">
        <f t="shared" si="32"/>
        <v>151306</v>
      </c>
    </row>
    <row r="657" spans="1:10" x14ac:dyDescent="0.3">
      <c r="A657" s="27" t="s">
        <v>1869</v>
      </c>
      <c r="D657" s="27" t="s">
        <v>2255</v>
      </c>
      <c r="E657" s="27" t="s">
        <v>2232</v>
      </c>
      <c r="F657" s="27" t="str">
        <f>"15.1307"</f>
        <v>15.1307</v>
      </c>
      <c r="G657" s="27" t="s">
        <v>3167</v>
      </c>
      <c r="H657" s="65" t="str">
        <f t="shared" si="30"/>
        <v>Other</v>
      </c>
      <c r="I657" s="65" t="str">
        <f t="shared" si="31"/>
        <v/>
      </c>
      <c r="J657" s="65" t="str">
        <f t="shared" si="32"/>
        <v>151307</v>
      </c>
    </row>
    <row r="658" spans="1:10" x14ac:dyDescent="0.3">
      <c r="A658" s="27" t="s">
        <v>3168</v>
      </c>
      <c r="B658" s="27" t="str">
        <f>"15.1399"</f>
        <v>15.1399</v>
      </c>
      <c r="C658" s="64" t="s">
        <v>3169</v>
      </c>
      <c r="D658" s="27" t="s">
        <v>2229</v>
      </c>
      <c r="E658" s="27" t="s">
        <v>2232</v>
      </c>
      <c r="F658" s="27" t="str">
        <f>"15.1399"</f>
        <v>15.1399</v>
      </c>
      <c r="G658" s="27" t="s">
        <v>3169</v>
      </c>
      <c r="H658" s="65" t="str">
        <f t="shared" si="30"/>
        <v>No Change</v>
      </c>
      <c r="I658" s="65" t="str">
        <f t="shared" si="31"/>
        <v>151399</v>
      </c>
      <c r="J658" s="65" t="str">
        <f t="shared" si="32"/>
        <v>151399</v>
      </c>
    </row>
    <row r="659" spans="1:10" x14ac:dyDescent="0.3">
      <c r="A659" s="27" t="s">
        <v>1869</v>
      </c>
      <c r="B659" s="27" t="str">
        <f>"15.14"</f>
        <v>15.14</v>
      </c>
      <c r="C659" s="64" t="s">
        <v>3170</v>
      </c>
      <c r="D659" s="27" t="s">
        <v>2229</v>
      </c>
      <c r="E659" s="27" t="s">
        <v>2230</v>
      </c>
      <c r="F659" s="27" t="str">
        <f>"15.14"</f>
        <v>15.14</v>
      </c>
      <c r="G659" s="27" t="s">
        <v>3171</v>
      </c>
      <c r="H659" s="65" t="str">
        <f t="shared" si="30"/>
        <v>No Change</v>
      </c>
      <c r="I659" s="65" t="str">
        <f t="shared" si="31"/>
        <v/>
      </c>
      <c r="J659" s="65" t="str">
        <f t="shared" si="32"/>
        <v/>
      </c>
    </row>
    <row r="660" spans="1:10" x14ac:dyDescent="0.3">
      <c r="A660" s="27" t="s">
        <v>3172</v>
      </c>
      <c r="B660" s="27" t="str">
        <f>"15.1401"</f>
        <v>15.1401</v>
      </c>
      <c r="C660" s="64" t="s">
        <v>3171</v>
      </c>
      <c r="D660" s="27" t="s">
        <v>2229</v>
      </c>
      <c r="E660" s="27" t="s">
        <v>2232</v>
      </c>
      <c r="F660" s="27" t="str">
        <f>"15.1401"</f>
        <v>15.1401</v>
      </c>
      <c r="G660" s="27" t="s">
        <v>3171</v>
      </c>
      <c r="H660" s="65" t="str">
        <f t="shared" si="30"/>
        <v>No Change</v>
      </c>
      <c r="I660" s="65" t="str">
        <f t="shared" si="31"/>
        <v>151401</v>
      </c>
      <c r="J660" s="65" t="str">
        <f t="shared" si="32"/>
        <v>151401</v>
      </c>
    </row>
    <row r="661" spans="1:10" x14ac:dyDescent="0.3">
      <c r="A661" s="27" t="s">
        <v>1869</v>
      </c>
      <c r="B661" s="27" t="str">
        <f>"15.15"</f>
        <v>15.15</v>
      </c>
      <c r="C661" s="64" t="s">
        <v>3173</v>
      </c>
      <c r="D661" s="27" t="s">
        <v>2229</v>
      </c>
      <c r="E661" s="27" t="s">
        <v>2232</v>
      </c>
      <c r="F661" s="27" t="str">
        <f>"15.15"</f>
        <v>15.15</v>
      </c>
      <c r="G661" s="27" t="s">
        <v>3173</v>
      </c>
      <c r="H661" s="65" t="str">
        <f t="shared" si="30"/>
        <v>No Change</v>
      </c>
      <c r="I661" s="65" t="str">
        <f t="shared" si="31"/>
        <v/>
      </c>
      <c r="J661" s="65" t="str">
        <f t="shared" si="32"/>
        <v/>
      </c>
    </row>
    <row r="662" spans="1:10" x14ac:dyDescent="0.3">
      <c r="A662" s="27" t="s">
        <v>3174</v>
      </c>
      <c r="B662" s="27" t="str">
        <f>"15.1501"</f>
        <v>15.1501</v>
      </c>
      <c r="C662" s="64" t="s">
        <v>3175</v>
      </c>
      <c r="D662" s="27" t="s">
        <v>2229</v>
      </c>
      <c r="E662" s="27" t="s">
        <v>2232</v>
      </c>
      <c r="F662" s="27" t="str">
        <f>"15.1501"</f>
        <v>15.1501</v>
      </c>
      <c r="G662" s="27" t="s">
        <v>3175</v>
      </c>
      <c r="H662" s="65" t="str">
        <f t="shared" si="30"/>
        <v>No Change</v>
      </c>
      <c r="I662" s="65" t="str">
        <f t="shared" si="31"/>
        <v>151501</v>
      </c>
      <c r="J662" s="65" t="str">
        <f t="shared" si="32"/>
        <v>151501</v>
      </c>
    </row>
    <row r="663" spans="1:10" x14ac:dyDescent="0.3">
      <c r="A663" s="27" t="s">
        <v>3176</v>
      </c>
      <c r="B663" s="27" t="str">
        <f>"15.1502"</f>
        <v>15.1502</v>
      </c>
      <c r="C663" s="64" t="s">
        <v>3177</v>
      </c>
      <c r="D663" s="27" t="s">
        <v>2229</v>
      </c>
      <c r="E663" s="27" t="s">
        <v>2232</v>
      </c>
      <c r="F663" s="27" t="str">
        <f>"15.1502"</f>
        <v>15.1502</v>
      </c>
      <c r="G663" s="27" t="s">
        <v>3177</v>
      </c>
      <c r="H663" s="65" t="str">
        <f t="shared" si="30"/>
        <v>No Change</v>
      </c>
      <c r="I663" s="65" t="str">
        <f t="shared" si="31"/>
        <v>151502</v>
      </c>
      <c r="J663" s="65" t="str">
        <f t="shared" si="32"/>
        <v>151502</v>
      </c>
    </row>
    <row r="664" spans="1:10" x14ac:dyDescent="0.3">
      <c r="A664" s="27" t="s">
        <v>3178</v>
      </c>
      <c r="B664" s="27" t="str">
        <f>"15.1503"</f>
        <v>15.1503</v>
      </c>
      <c r="C664" s="64" t="s">
        <v>3179</v>
      </c>
      <c r="D664" s="27" t="s">
        <v>2229</v>
      </c>
      <c r="E664" s="27" t="s">
        <v>2232</v>
      </c>
      <c r="F664" s="27" t="str">
        <f>"15.1503"</f>
        <v>15.1503</v>
      </c>
      <c r="G664" s="27" t="s">
        <v>3179</v>
      </c>
      <c r="H664" s="65" t="str">
        <f t="shared" si="30"/>
        <v>No Change</v>
      </c>
      <c r="I664" s="65" t="str">
        <f t="shared" si="31"/>
        <v>151503</v>
      </c>
      <c r="J664" s="65" t="str">
        <f t="shared" si="32"/>
        <v>151503</v>
      </c>
    </row>
    <row r="665" spans="1:10" x14ac:dyDescent="0.3">
      <c r="A665" s="27" t="s">
        <v>3180</v>
      </c>
      <c r="B665" s="27" t="str">
        <f>"15.1599"</f>
        <v>15.1599</v>
      </c>
      <c r="C665" s="64" t="s">
        <v>3181</v>
      </c>
      <c r="D665" s="27" t="s">
        <v>2229</v>
      </c>
      <c r="E665" s="27" t="s">
        <v>2232</v>
      </c>
      <c r="F665" s="27" t="str">
        <f>"15.1599"</f>
        <v>15.1599</v>
      </c>
      <c r="G665" s="27" t="s">
        <v>3181</v>
      </c>
      <c r="H665" s="65" t="str">
        <f t="shared" si="30"/>
        <v>No Change</v>
      </c>
      <c r="I665" s="65" t="str">
        <f t="shared" si="31"/>
        <v>151599</v>
      </c>
      <c r="J665" s="65" t="str">
        <f t="shared" si="32"/>
        <v>151599</v>
      </c>
    </row>
    <row r="666" spans="1:10" x14ac:dyDescent="0.3">
      <c r="A666" s="27" t="s">
        <v>1869</v>
      </c>
      <c r="B666" s="27" t="str">
        <f>"15.16"</f>
        <v>15.16</v>
      </c>
      <c r="C666" s="64" t="s">
        <v>3182</v>
      </c>
      <c r="D666" s="27" t="s">
        <v>2229</v>
      </c>
      <c r="E666" s="27" t="s">
        <v>2232</v>
      </c>
      <c r="F666" s="27" t="str">
        <f>"15.16"</f>
        <v>15.16</v>
      </c>
      <c r="G666" s="27" t="s">
        <v>3182</v>
      </c>
      <c r="H666" s="65" t="str">
        <f t="shared" si="30"/>
        <v>No Change</v>
      </c>
      <c r="I666" s="65" t="str">
        <f t="shared" si="31"/>
        <v/>
      </c>
      <c r="J666" s="65" t="str">
        <f t="shared" si="32"/>
        <v/>
      </c>
    </row>
    <row r="667" spans="1:10" x14ac:dyDescent="0.3">
      <c r="A667" s="27" t="s">
        <v>3183</v>
      </c>
      <c r="B667" s="27" t="str">
        <f>"15.1601"</f>
        <v>15.1601</v>
      </c>
      <c r="C667" s="64" t="s">
        <v>3182</v>
      </c>
      <c r="D667" s="27" t="s">
        <v>2229</v>
      </c>
      <c r="E667" s="27" t="s">
        <v>2232</v>
      </c>
      <c r="F667" s="27" t="str">
        <f>"15.1601"</f>
        <v>15.1601</v>
      </c>
      <c r="G667" s="27" t="s">
        <v>3182</v>
      </c>
      <c r="H667" s="65" t="str">
        <f t="shared" si="30"/>
        <v>No Change</v>
      </c>
      <c r="I667" s="65" t="str">
        <f t="shared" si="31"/>
        <v>151601</v>
      </c>
      <c r="J667" s="65" t="str">
        <f t="shared" si="32"/>
        <v>151601</v>
      </c>
    </row>
    <row r="668" spans="1:10" x14ac:dyDescent="0.3">
      <c r="A668" s="27" t="s">
        <v>1869</v>
      </c>
      <c r="D668" s="27" t="s">
        <v>2255</v>
      </c>
      <c r="E668" s="27" t="s">
        <v>2232</v>
      </c>
      <c r="F668" s="27" t="str">
        <f>"15.17"</f>
        <v>15.17</v>
      </c>
      <c r="G668" s="27" t="s">
        <v>3184</v>
      </c>
      <c r="H668" s="65" t="str">
        <f t="shared" si="30"/>
        <v>No Change</v>
      </c>
      <c r="I668" s="65" t="str">
        <f t="shared" si="31"/>
        <v/>
      </c>
      <c r="J668" s="65" t="str">
        <f t="shared" si="32"/>
        <v/>
      </c>
    </row>
    <row r="669" spans="1:10" x14ac:dyDescent="0.3">
      <c r="A669" s="27" t="s">
        <v>1869</v>
      </c>
      <c r="D669" s="27" t="s">
        <v>2255</v>
      </c>
      <c r="E669" s="27" t="s">
        <v>2232</v>
      </c>
      <c r="F669" s="27" t="str">
        <f>"15.1702"</f>
        <v>15.1702</v>
      </c>
      <c r="G669" s="27" t="s">
        <v>3185</v>
      </c>
      <c r="H669" s="65" t="str">
        <f t="shared" si="30"/>
        <v>Other</v>
      </c>
      <c r="I669" s="65" t="str">
        <f t="shared" si="31"/>
        <v/>
      </c>
      <c r="J669" s="65" t="str">
        <f t="shared" si="32"/>
        <v>151702</v>
      </c>
    </row>
    <row r="670" spans="1:10" x14ac:dyDescent="0.3">
      <c r="A670" s="27" t="s">
        <v>1869</v>
      </c>
      <c r="D670" s="27" t="s">
        <v>2255</v>
      </c>
      <c r="E670" s="27" t="s">
        <v>2232</v>
      </c>
      <c r="F670" s="27" t="str">
        <f>"15.1704"</f>
        <v>15.1704</v>
      </c>
      <c r="G670" s="27" t="s">
        <v>3186</v>
      </c>
      <c r="H670" s="65" t="str">
        <f t="shared" si="30"/>
        <v>Other</v>
      </c>
      <c r="I670" s="65" t="str">
        <f t="shared" si="31"/>
        <v/>
      </c>
      <c r="J670" s="65" t="str">
        <f t="shared" si="32"/>
        <v>151704</v>
      </c>
    </row>
    <row r="671" spans="1:10" x14ac:dyDescent="0.3">
      <c r="A671" s="27" t="s">
        <v>1869</v>
      </c>
      <c r="D671" s="27" t="s">
        <v>2255</v>
      </c>
      <c r="E671" s="27" t="s">
        <v>2232</v>
      </c>
      <c r="F671" s="27" t="str">
        <f>"15.1705"</f>
        <v>15.1705</v>
      </c>
      <c r="G671" s="27" t="s">
        <v>3187</v>
      </c>
      <c r="H671" s="65" t="str">
        <f t="shared" si="30"/>
        <v>Other</v>
      </c>
      <c r="I671" s="65" t="str">
        <f t="shared" si="31"/>
        <v/>
      </c>
      <c r="J671" s="65" t="str">
        <f t="shared" si="32"/>
        <v>151705</v>
      </c>
    </row>
    <row r="672" spans="1:10" x14ac:dyDescent="0.3">
      <c r="A672" s="27" t="s">
        <v>1869</v>
      </c>
      <c r="D672" s="27" t="s">
        <v>2255</v>
      </c>
      <c r="E672" s="27" t="s">
        <v>2232</v>
      </c>
      <c r="F672" s="27" t="str">
        <f>"15.1706"</f>
        <v>15.1706</v>
      </c>
      <c r="G672" s="27" t="s">
        <v>3188</v>
      </c>
      <c r="H672" s="65" t="str">
        <f t="shared" si="30"/>
        <v>Other</v>
      </c>
      <c r="I672" s="65" t="str">
        <f t="shared" si="31"/>
        <v/>
      </c>
      <c r="J672" s="65" t="str">
        <f t="shared" si="32"/>
        <v>151706</v>
      </c>
    </row>
    <row r="673" spans="1:10" x14ac:dyDescent="0.3">
      <c r="A673" s="27" t="s">
        <v>1869</v>
      </c>
      <c r="D673" s="27" t="s">
        <v>2255</v>
      </c>
      <c r="E673" s="27" t="s">
        <v>2232</v>
      </c>
      <c r="F673" s="27" t="str">
        <f>"15.1799"</f>
        <v>15.1799</v>
      </c>
      <c r="G673" s="27" t="s">
        <v>3189</v>
      </c>
      <c r="H673" s="65" t="str">
        <f t="shared" si="30"/>
        <v>Other</v>
      </c>
      <c r="I673" s="65" t="str">
        <f t="shared" si="31"/>
        <v/>
      </c>
      <c r="J673" s="65" t="str">
        <f t="shared" si="32"/>
        <v>151799</v>
      </c>
    </row>
    <row r="674" spans="1:10" x14ac:dyDescent="0.3">
      <c r="A674" s="27" t="s">
        <v>1869</v>
      </c>
      <c r="B674" s="27" t="str">
        <f>"15.99"</f>
        <v>15.99</v>
      </c>
      <c r="C674" s="64" t="s">
        <v>3190</v>
      </c>
      <c r="D674" s="27" t="s">
        <v>2229</v>
      </c>
      <c r="E674" s="27" t="s">
        <v>2230</v>
      </c>
      <c r="F674" s="27" t="str">
        <f>"15.99"</f>
        <v>15.99</v>
      </c>
      <c r="G674" s="27" t="s">
        <v>3191</v>
      </c>
      <c r="H674" s="65" t="str">
        <f t="shared" si="30"/>
        <v>No Change</v>
      </c>
      <c r="I674" s="65" t="str">
        <f t="shared" si="31"/>
        <v/>
      </c>
      <c r="J674" s="65" t="str">
        <f t="shared" si="32"/>
        <v/>
      </c>
    </row>
    <row r="675" spans="1:10" ht="28.8" x14ac:dyDescent="0.3">
      <c r="A675" s="27" t="s">
        <v>3192</v>
      </c>
      <c r="B675" s="27" t="str">
        <f>"15.9999"</f>
        <v>15.9999</v>
      </c>
      <c r="C675" s="64" t="s">
        <v>3193</v>
      </c>
      <c r="D675" s="27" t="s">
        <v>2229</v>
      </c>
      <c r="E675" s="27" t="s">
        <v>2230</v>
      </c>
      <c r="F675" s="27" t="str">
        <f>"15.9999"</f>
        <v>15.9999</v>
      </c>
      <c r="G675" s="27" t="s">
        <v>3191</v>
      </c>
      <c r="H675" s="65" t="str">
        <f t="shared" si="30"/>
        <v>No Change</v>
      </c>
      <c r="I675" s="65" t="str">
        <f t="shared" si="31"/>
        <v>159999</v>
      </c>
      <c r="J675" s="65" t="str">
        <f t="shared" si="32"/>
        <v>159999</v>
      </c>
    </row>
    <row r="676" spans="1:10" x14ac:dyDescent="0.3">
      <c r="A676" s="27" t="s">
        <v>1869</v>
      </c>
      <c r="B676" s="27" t="str">
        <f>"16"</f>
        <v>16</v>
      </c>
      <c r="C676" s="64" t="s">
        <v>3194</v>
      </c>
      <c r="D676" s="27" t="s">
        <v>2229</v>
      </c>
      <c r="E676" s="27" t="s">
        <v>2232</v>
      </c>
      <c r="F676" s="27" t="str">
        <f>"16"</f>
        <v>16</v>
      </c>
      <c r="G676" s="27" t="s">
        <v>3194</v>
      </c>
      <c r="H676" s="65" t="str">
        <f t="shared" si="30"/>
        <v>No Change</v>
      </c>
      <c r="I676" s="65" t="str">
        <f t="shared" si="31"/>
        <v/>
      </c>
      <c r="J676" s="65" t="str">
        <f t="shared" si="32"/>
        <v/>
      </c>
    </row>
    <row r="677" spans="1:10" ht="28.8" x14ac:dyDescent="0.3">
      <c r="A677" s="27" t="s">
        <v>1869</v>
      </c>
      <c r="B677" s="27" t="str">
        <f>"16.01"</f>
        <v>16.01</v>
      </c>
      <c r="C677" s="64" t="s">
        <v>3195</v>
      </c>
      <c r="D677" s="27" t="s">
        <v>2229</v>
      </c>
      <c r="E677" s="27" t="s">
        <v>2232</v>
      </c>
      <c r="F677" s="27" t="str">
        <f>"16.01"</f>
        <v>16.01</v>
      </c>
      <c r="G677" s="27" t="s">
        <v>3195</v>
      </c>
      <c r="H677" s="65" t="str">
        <f t="shared" si="30"/>
        <v>No Change</v>
      </c>
      <c r="I677" s="65" t="str">
        <f t="shared" si="31"/>
        <v/>
      </c>
      <c r="J677" s="65" t="str">
        <f t="shared" si="32"/>
        <v/>
      </c>
    </row>
    <row r="678" spans="1:10" x14ac:dyDescent="0.3">
      <c r="A678" s="27" t="s">
        <v>3196</v>
      </c>
      <c r="B678" s="27" t="str">
        <f>"16.0101"</f>
        <v>16.0101</v>
      </c>
      <c r="C678" s="64" t="s">
        <v>3197</v>
      </c>
      <c r="D678" s="27" t="s">
        <v>2229</v>
      </c>
      <c r="E678" s="27" t="s">
        <v>2232</v>
      </c>
      <c r="F678" s="27" t="str">
        <f>"16.0101"</f>
        <v>16.0101</v>
      </c>
      <c r="G678" s="27" t="s">
        <v>3197</v>
      </c>
      <c r="H678" s="65" t="str">
        <f t="shared" si="30"/>
        <v>No Change</v>
      </c>
      <c r="I678" s="65" t="str">
        <f t="shared" si="31"/>
        <v>160101</v>
      </c>
      <c r="J678" s="65" t="str">
        <f t="shared" si="32"/>
        <v>160101</v>
      </c>
    </row>
    <row r="679" spans="1:10" x14ac:dyDescent="0.3">
      <c r="A679" s="27" t="s">
        <v>3198</v>
      </c>
      <c r="B679" s="27" t="str">
        <f>"16.0102"</f>
        <v>16.0102</v>
      </c>
      <c r="C679" s="64" t="s">
        <v>3199</v>
      </c>
      <c r="D679" s="27" t="s">
        <v>2229</v>
      </c>
      <c r="E679" s="27" t="s">
        <v>2232</v>
      </c>
      <c r="F679" s="27" t="str">
        <f>"16.0102"</f>
        <v>16.0102</v>
      </c>
      <c r="G679" s="27" t="s">
        <v>3199</v>
      </c>
      <c r="H679" s="65" t="str">
        <f t="shared" si="30"/>
        <v>No Change</v>
      </c>
      <c r="I679" s="65" t="str">
        <f t="shared" si="31"/>
        <v>160102</v>
      </c>
      <c r="J679" s="65" t="str">
        <f t="shared" si="32"/>
        <v>160102</v>
      </c>
    </row>
    <row r="680" spans="1:10" x14ac:dyDescent="0.3">
      <c r="A680" s="27" t="s">
        <v>3200</v>
      </c>
      <c r="B680" s="27" t="str">
        <f>"16.0103"</f>
        <v>16.0103</v>
      </c>
      <c r="C680" s="64" t="s">
        <v>3201</v>
      </c>
      <c r="D680" s="27" t="s">
        <v>2229</v>
      </c>
      <c r="E680" s="27" t="s">
        <v>2232</v>
      </c>
      <c r="F680" s="27" t="str">
        <f>"16.0103"</f>
        <v>16.0103</v>
      </c>
      <c r="G680" s="27" t="s">
        <v>3201</v>
      </c>
      <c r="H680" s="65" t="str">
        <f t="shared" si="30"/>
        <v>No Change</v>
      </c>
      <c r="I680" s="65" t="str">
        <f t="shared" si="31"/>
        <v>160103</v>
      </c>
      <c r="J680" s="65" t="str">
        <f t="shared" si="32"/>
        <v>160103</v>
      </c>
    </row>
    <row r="681" spans="1:10" x14ac:dyDescent="0.3">
      <c r="A681" s="27" t="s">
        <v>3202</v>
      </c>
      <c r="B681" s="27" t="str">
        <f>"16.0104"</f>
        <v>16.0104</v>
      </c>
      <c r="C681" s="64" t="s">
        <v>3203</v>
      </c>
      <c r="D681" s="27" t="s">
        <v>2229</v>
      </c>
      <c r="E681" s="27" t="s">
        <v>2232</v>
      </c>
      <c r="F681" s="27" t="str">
        <f>"16.0104"</f>
        <v>16.0104</v>
      </c>
      <c r="G681" s="27" t="s">
        <v>3203</v>
      </c>
      <c r="H681" s="65" t="str">
        <f t="shared" si="30"/>
        <v>No Change</v>
      </c>
      <c r="I681" s="65" t="str">
        <f t="shared" si="31"/>
        <v>160104</v>
      </c>
      <c r="J681" s="65" t="str">
        <f t="shared" si="32"/>
        <v>160104</v>
      </c>
    </row>
    <row r="682" spans="1:10" x14ac:dyDescent="0.3">
      <c r="A682" s="27" t="s">
        <v>3204</v>
      </c>
      <c r="B682" s="27" t="str">
        <f>"16.0105"</f>
        <v>16.0105</v>
      </c>
      <c r="C682" s="64" t="s">
        <v>3205</v>
      </c>
      <c r="D682" s="27" t="s">
        <v>2229</v>
      </c>
      <c r="E682" s="27" t="s">
        <v>2232</v>
      </c>
      <c r="F682" s="27" t="str">
        <f>"16.0105"</f>
        <v>16.0105</v>
      </c>
      <c r="G682" s="27" t="s">
        <v>3205</v>
      </c>
      <c r="H682" s="65" t="str">
        <f t="shared" si="30"/>
        <v>No Change</v>
      </c>
      <c r="I682" s="65" t="str">
        <f t="shared" si="31"/>
        <v>160105</v>
      </c>
      <c r="J682" s="65" t="str">
        <f t="shared" si="32"/>
        <v>160105</v>
      </c>
    </row>
    <row r="683" spans="1:10" ht="28.8" x14ac:dyDescent="0.3">
      <c r="A683" s="27" t="s">
        <v>3206</v>
      </c>
      <c r="B683" s="27" t="str">
        <f>"16.0199"</f>
        <v>16.0199</v>
      </c>
      <c r="C683" s="64" t="s">
        <v>3207</v>
      </c>
      <c r="D683" s="27" t="s">
        <v>2229</v>
      </c>
      <c r="E683" s="27" t="s">
        <v>2232</v>
      </c>
      <c r="F683" s="27" t="str">
        <f>"16.0199"</f>
        <v>16.0199</v>
      </c>
      <c r="G683" s="27" t="s">
        <v>3207</v>
      </c>
      <c r="H683" s="65" t="str">
        <f t="shared" si="30"/>
        <v>No Change</v>
      </c>
      <c r="I683" s="65" t="str">
        <f t="shared" si="31"/>
        <v>160199</v>
      </c>
      <c r="J683" s="65" t="str">
        <f t="shared" si="32"/>
        <v>160199</v>
      </c>
    </row>
    <row r="684" spans="1:10" x14ac:dyDescent="0.3">
      <c r="A684" s="27" t="s">
        <v>1869</v>
      </c>
      <c r="B684" s="27" t="str">
        <f>"16.02"</f>
        <v>16.02</v>
      </c>
      <c r="C684" s="64" t="s">
        <v>3208</v>
      </c>
      <c r="D684" s="27" t="s">
        <v>2229</v>
      </c>
      <c r="E684" s="27" t="s">
        <v>2232</v>
      </c>
      <c r="F684" s="27" t="str">
        <f>"16.02"</f>
        <v>16.02</v>
      </c>
      <c r="G684" s="27" t="s">
        <v>3208</v>
      </c>
      <c r="H684" s="65" t="str">
        <f t="shared" si="30"/>
        <v>No Change</v>
      </c>
      <c r="I684" s="65" t="str">
        <f t="shared" si="31"/>
        <v/>
      </c>
      <c r="J684" s="65" t="str">
        <f t="shared" si="32"/>
        <v/>
      </c>
    </row>
    <row r="685" spans="1:10" x14ac:dyDescent="0.3">
      <c r="A685" s="27" t="s">
        <v>3209</v>
      </c>
      <c r="B685" s="27" t="str">
        <f>"16.0201"</f>
        <v>16.0201</v>
      </c>
      <c r="C685" s="64" t="s">
        <v>3208</v>
      </c>
      <c r="D685" s="27" t="s">
        <v>2229</v>
      </c>
      <c r="E685" s="27" t="s">
        <v>2232</v>
      </c>
      <c r="F685" s="27" t="str">
        <f>"16.0201"</f>
        <v>16.0201</v>
      </c>
      <c r="G685" s="27" t="s">
        <v>3208</v>
      </c>
      <c r="H685" s="65" t="str">
        <f t="shared" si="30"/>
        <v>No Change</v>
      </c>
      <c r="I685" s="65" t="str">
        <f t="shared" si="31"/>
        <v>160201</v>
      </c>
      <c r="J685" s="65" t="str">
        <f t="shared" si="32"/>
        <v>160201</v>
      </c>
    </row>
    <row r="686" spans="1:10" x14ac:dyDescent="0.3">
      <c r="A686" s="27" t="s">
        <v>1869</v>
      </c>
      <c r="B686" s="27" t="str">
        <f>"16.03"</f>
        <v>16.03</v>
      </c>
      <c r="C686" s="64" t="s">
        <v>3210</v>
      </c>
      <c r="D686" s="27" t="s">
        <v>2229</v>
      </c>
      <c r="E686" s="27" t="s">
        <v>2232</v>
      </c>
      <c r="F686" s="27" t="str">
        <f>"16.03"</f>
        <v>16.03</v>
      </c>
      <c r="G686" s="27" t="s">
        <v>3210</v>
      </c>
      <c r="H686" s="65" t="str">
        <f t="shared" si="30"/>
        <v>No Change</v>
      </c>
      <c r="I686" s="65" t="str">
        <f t="shared" si="31"/>
        <v/>
      </c>
      <c r="J686" s="65" t="str">
        <f t="shared" si="32"/>
        <v/>
      </c>
    </row>
    <row r="687" spans="1:10" x14ac:dyDescent="0.3">
      <c r="A687" s="27" t="s">
        <v>3211</v>
      </c>
      <c r="B687" s="27" t="str">
        <f>"16.0300"</f>
        <v>16.0300</v>
      </c>
      <c r="C687" s="64" t="s">
        <v>3212</v>
      </c>
      <c r="D687" s="27" t="s">
        <v>2229</v>
      </c>
      <c r="E687" s="27" t="s">
        <v>2232</v>
      </c>
      <c r="F687" s="27" t="str">
        <f>"16.0300"</f>
        <v>16.0300</v>
      </c>
      <c r="G687" s="27" t="s">
        <v>3212</v>
      </c>
      <c r="H687" s="65" t="str">
        <f t="shared" si="30"/>
        <v>No Change</v>
      </c>
      <c r="I687" s="65" t="str">
        <f t="shared" si="31"/>
        <v>160300</v>
      </c>
      <c r="J687" s="65" t="str">
        <f t="shared" si="32"/>
        <v>160300</v>
      </c>
    </row>
    <row r="688" spans="1:10" x14ac:dyDescent="0.3">
      <c r="A688" s="27" t="s">
        <v>3213</v>
      </c>
      <c r="B688" s="27" t="str">
        <f>"16.0301"</f>
        <v>16.0301</v>
      </c>
      <c r="C688" s="64" t="s">
        <v>3214</v>
      </c>
      <c r="D688" s="27" t="s">
        <v>2229</v>
      </c>
      <c r="E688" s="27" t="s">
        <v>2232</v>
      </c>
      <c r="F688" s="27" t="str">
        <f>"16.0301"</f>
        <v>16.0301</v>
      </c>
      <c r="G688" s="27" t="s">
        <v>3214</v>
      </c>
      <c r="H688" s="65" t="str">
        <f t="shared" si="30"/>
        <v>No Change</v>
      </c>
      <c r="I688" s="65" t="str">
        <f t="shared" si="31"/>
        <v>160301</v>
      </c>
      <c r="J688" s="65" t="str">
        <f t="shared" si="32"/>
        <v>160301</v>
      </c>
    </row>
    <row r="689" spans="1:10" x14ac:dyDescent="0.3">
      <c r="A689" s="27" t="s">
        <v>3215</v>
      </c>
      <c r="B689" s="27" t="str">
        <f>"16.0302"</f>
        <v>16.0302</v>
      </c>
      <c r="C689" s="64" t="s">
        <v>3216</v>
      </c>
      <c r="D689" s="27" t="s">
        <v>2229</v>
      </c>
      <c r="E689" s="27" t="s">
        <v>2232</v>
      </c>
      <c r="F689" s="27" t="str">
        <f>"16.0302"</f>
        <v>16.0302</v>
      </c>
      <c r="G689" s="27" t="s">
        <v>3216</v>
      </c>
      <c r="H689" s="65" t="str">
        <f t="shared" si="30"/>
        <v>No Change</v>
      </c>
      <c r="I689" s="65" t="str">
        <f t="shared" si="31"/>
        <v>160302</v>
      </c>
      <c r="J689" s="65" t="str">
        <f t="shared" si="32"/>
        <v>160302</v>
      </c>
    </row>
    <row r="690" spans="1:10" x14ac:dyDescent="0.3">
      <c r="A690" s="27" t="s">
        <v>3217</v>
      </c>
      <c r="B690" s="27" t="str">
        <f>"16.0303"</f>
        <v>16.0303</v>
      </c>
      <c r="C690" s="64" t="s">
        <v>3218</v>
      </c>
      <c r="D690" s="27" t="s">
        <v>2229</v>
      </c>
      <c r="E690" s="27" t="s">
        <v>2232</v>
      </c>
      <c r="F690" s="27" t="str">
        <f>"16.0303"</f>
        <v>16.0303</v>
      </c>
      <c r="G690" s="27" t="s">
        <v>3218</v>
      </c>
      <c r="H690" s="65" t="str">
        <f t="shared" si="30"/>
        <v>No Change</v>
      </c>
      <c r="I690" s="65" t="str">
        <f t="shared" si="31"/>
        <v>160303</v>
      </c>
      <c r="J690" s="65" t="str">
        <f t="shared" si="32"/>
        <v>160303</v>
      </c>
    </row>
    <row r="691" spans="1:10" x14ac:dyDescent="0.3">
      <c r="A691" s="27" t="s">
        <v>3219</v>
      </c>
      <c r="B691" s="27" t="str">
        <f>"16.0304"</f>
        <v>16.0304</v>
      </c>
      <c r="C691" s="64" t="s">
        <v>3220</v>
      </c>
      <c r="D691" s="27" t="s">
        <v>2229</v>
      </c>
      <c r="E691" s="27" t="s">
        <v>2232</v>
      </c>
      <c r="F691" s="27" t="str">
        <f>"16.0304"</f>
        <v>16.0304</v>
      </c>
      <c r="G691" s="27" t="s">
        <v>3220</v>
      </c>
      <c r="H691" s="65" t="str">
        <f t="shared" si="30"/>
        <v>No Change</v>
      </c>
      <c r="I691" s="65" t="str">
        <f t="shared" si="31"/>
        <v>160304</v>
      </c>
      <c r="J691" s="65" t="str">
        <f t="shared" si="32"/>
        <v>160304</v>
      </c>
    </row>
    <row r="692" spans="1:10" x14ac:dyDescent="0.3">
      <c r="A692" s="27" t="s">
        <v>3221</v>
      </c>
      <c r="B692" s="27" t="str">
        <f>"16.0399"</f>
        <v>16.0399</v>
      </c>
      <c r="C692" s="64" t="s">
        <v>3222</v>
      </c>
      <c r="D692" s="27" t="s">
        <v>2229</v>
      </c>
      <c r="E692" s="27" t="s">
        <v>2232</v>
      </c>
      <c r="F692" s="27" t="str">
        <f>"16.0399"</f>
        <v>16.0399</v>
      </c>
      <c r="G692" s="27" t="s">
        <v>3222</v>
      </c>
      <c r="H692" s="65" t="str">
        <f t="shared" si="30"/>
        <v>No Change</v>
      </c>
      <c r="I692" s="65" t="str">
        <f t="shared" si="31"/>
        <v>160399</v>
      </c>
      <c r="J692" s="65" t="str">
        <f t="shared" si="32"/>
        <v>160399</v>
      </c>
    </row>
    <row r="693" spans="1:10" ht="28.8" x14ac:dyDescent="0.3">
      <c r="A693" s="27" t="s">
        <v>1869</v>
      </c>
      <c r="B693" s="27" t="str">
        <f>"16.04"</f>
        <v>16.04</v>
      </c>
      <c r="C693" s="64" t="s">
        <v>3223</v>
      </c>
      <c r="D693" s="27" t="s">
        <v>2229</v>
      </c>
      <c r="E693" s="27" t="s">
        <v>2232</v>
      </c>
      <c r="F693" s="27" t="str">
        <f>"16.04"</f>
        <v>16.04</v>
      </c>
      <c r="G693" s="27" t="s">
        <v>3223</v>
      </c>
      <c r="H693" s="65" t="str">
        <f t="shared" si="30"/>
        <v>No Change</v>
      </c>
      <c r="I693" s="65" t="str">
        <f t="shared" si="31"/>
        <v/>
      </c>
      <c r="J693" s="65" t="str">
        <f t="shared" si="32"/>
        <v/>
      </c>
    </row>
    <row r="694" spans="1:10" x14ac:dyDescent="0.3">
      <c r="A694" s="27" t="s">
        <v>3224</v>
      </c>
      <c r="B694" s="27" t="str">
        <f>"16.0400"</f>
        <v>16.0400</v>
      </c>
      <c r="C694" s="64" t="s">
        <v>3225</v>
      </c>
      <c r="D694" s="27" t="s">
        <v>2229</v>
      </c>
      <c r="E694" s="27" t="s">
        <v>2232</v>
      </c>
      <c r="F694" s="27" t="str">
        <f>"16.0400"</f>
        <v>16.0400</v>
      </c>
      <c r="G694" s="27" t="s">
        <v>3225</v>
      </c>
      <c r="H694" s="65" t="str">
        <f t="shared" si="30"/>
        <v>No Change</v>
      </c>
      <c r="I694" s="65" t="str">
        <f t="shared" si="31"/>
        <v>160400</v>
      </c>
      <c r="J694" s="65" t="str">
        <f t="shared" si="32"/>
        <v>160400</v>
      </c>
    </row>
    <row r="695" spans="1:10" x14ac:dyDescent="0.3">
      <c r="A695" s="27" t="s">
        <v>3226</v>
      </c>
      <c r="B695" s="27" t="str">
        <f>"16.0401"</f>
        <v>16.0401</v>
      </c>
      <c r="C695" s="64" t="s">
        <v>3227</v>
      </c>
      <c r="D695" s="27" t="s">
        <v>2229</v>
      </c>
      <c r="E695" s="27" t="s">
        <v>2232</v>
      </c>
      <c r="F695" s="27" t="str">
        <f>"16.0401"</f>
        <v>16.0401</v>
      </c>
      <c r="G695" s="27" t="s">
        <v>3227</v>
      </c>
      <c r="H695" s="65" t="str">
        <f t="shared" si="30"/>
        <v>No Change</v>
      </c>
      <c r="I695" s="65" t="str">
        <f t="shared" si="31"/>
        <v>160401</v>
      </c>
      <c r="J695" s="65" t="str">
        <f t="shared" si="32"/>
        <v>160401</v>
      </c>
    </row>
    <row r="696" spans="1:10" x14ac:dyDescent="0.3">
      <c r="A696" s="27" t="s">
        <v>3228</v>
      </c>
      <c r="B696" s="27" t="str">
        <f>"16.0402"</f>
        <v>16.0402</v>
      </c>
      <c r="C696" s="64" t="s">
        <v>3229</v>
      </c>
      <c r="D696" s="27" t="s">
        <v>2229</v>
      </c>
      <c r="E696" s="27" t="s">
        <v>2232</v>
      </c>
      <c r="F696" s="27" t="str">
        <f>"16.0402"</f>
        <v>16.0402</v>
      </c>
      <c r="G696" s="27" t="s">
        <v>3229</v>
      </c>
      <c r="H696" s="65" t="str">
        <f t="shared" si="30"/>
        <v>No Change</v>
      </c>
      <c r="I696" s="65" t="str">
        <f t="shared" si="31"/>
        <v>160402</v>
      </c>
      <c r="J696" s="65" t="str">
        <f t="shared" si="32"/>
        <v>160402</v>
      </c>
    </row>
    <row r="697" spans="1:10" x14ac:dyDescent="0.3">
      <c r="A697" s="27" t="s">
        <v>3230</v>
      </c>
      <c r="B697" s="27" t="str">
        <f>"16.0404"</f>
        <v>16.0404</v>
      </c>
      <c r="C697" s="64" t="s">
        <v>3231</v>
      </c>
      <c r="D697" s="27" t="s">
        <v>2229</v>
      </c>
      <c r="E697" s="27" t="s">
        <v>2232</v>
      </c>
      <c r="F697" s="27" t="str">
        <f>"16.0404"</f>
        <v>16.0404</v>
      </c>
      <c r="G697" s="27" t="s">
        <v>3231</v>
      </c>
      <c r="H697" s="65" t="str">
        <f t="shared" si="30"/>
        <v>No Change</v>
      </c>
      <c r="I697" s="65" t="str">
        <f t="shared" si="31"/>
        <v>160404</v>
      </c>
      <c r="J697" s="65" t="str">
        <f t="shared" si="32"/>
        <v>160404</v>
      </c>
    </row>
    <row r="698" spans="1:10" x14ac:dyDescent="0.3">
      <c r="A698" s="27" t="s">
        <v>3232</v>
      </c>
      <c r="B698" s="27" t="str">
        <f>"16.0405"</f>
        <v>16.0405</v>
      </c>
      <c r="C698" s="64" t="s">
        <v>3233</v>
      </c>
      <c r="D698" s="27" t="s">
        <v>2229</v>
      </c>
      <c r="E698" s="27" t="s">
        <v>2232</v>
      </c>
      <c r="F698" s="27" t="str">
        <f>"16.0405"</f>
        <v>16.0405</v>
      </c>
      <c r="G698" s="27" t="s">
        <v>3233</v>
      </c>
      <c r="H698" s="65" t="str">
        <f t="shared" si="30"/>
        <v>No Change</v>
      </c>
      <c r="I698" s="65" t="str">
        <f t="shared" si="31"/>
        <v>160405</v>
      </c>
      <c r="J698" s="65" t="str">
        <f t="shared" si="32"/>
        <v>160405</v>
      </c>
    </row>
    <row r="699" spans="1:10" x14ac:dyDescent="0.3">
      <c r="A699" s="27" t="s">
        <v>3234</v>
      </c>
      <c r="B699" s="27" t="str">
        <f>"16.0406"</f>
        <v>16.0406</v>
      </c>
      <c r="C699" s="64" t="s">
        <v>3235</v>
      </c>
      <c r="D699" s="27" t="s">
        <v>2229</v>
      </c>
      <c r="E699" s="27" t="s">
        <v>2232</v>
      </c>
      <c r="F699" s="27" t="str">
        <f>"16.0406"</f>
        <v>16.0406</v>
      </c>
      <c r="G699" s="27" t="s">
        <v>3235</v>
      </c>
      <c r="H699" s="65" t="str">
        <f t="shared" si="30"/>
        <v>No Change</v>
      </c>
      <c r="I699" s="65" t="str">
        <f t="shared" si="31"/>
        <v>160406</v>
      </c>
      <c r="J699" s="65" t="str">
        <f t="shared" si="32"/>
        <v>160406</v>
      </c>
    </row>
    <row r="700" spans="1:10" x14ac:dyDescent="0.3">
      <c r="A700" s="27" t="s">
        <v>3236</v>
      </c>
      <c r="B700" s="27" t="str">
        <f>"16.0407"</f>
        <v>16.0407</v>
      </c>
      <c r="C700" s="64" t="s">
        <v>3237</v>
      </c>
      <c r="D700" s="27" t="s">
        <v>2229</v>
      </c>
      <c r="E700" s="27" t="s">
        <v>2232</v>
      </c>
      <c r="F700" s="27" t="str">
        <f>"16.0407"</f>
        <v>16.0407</v>
      </c>
      <c r="G700" s="27" t="s">
        <v>3237</v>
      </c>
      <c r="H700" s="65" t="str">
        <f t="shared" si="30"/>
        <v>No Change</v>
      </c>
      <c r="I700" s="65" t="str">
        <f t="shared" si="31"/>
        <v>160407</v>
      </c>
      <c r="J700" s="65" t="str">
        <f t="shared" si="32"/>
        <v>160407</v>
      </c>
    </row>
    <row r="701" spans="1:10" x14ac:dyDescent="0.3">
      <c r="A701" s="27" t="s">
        <v>3238</v>
      </c>
      <c r="B701" s="27" t="str">
        <f>"16.0408"</f>
        <v>16.0408</v>
      </c>
      <c r="C701" s="64" t="s">
        <v>3239</v>
      </c>
      <c r="D701" s="27" t="s">
        <v>2229</v>
      </c>
      <c r="E701" s="27" t="s">
        <v>2232</v>
      </c>
      <c r="F701" s="27" t="str">
        <f>"16.0408"</f>
        <v>16.0408</v>
      </c>
      <c r="G701" s="27" t="s">
        <v>3239</v>
      </c>
      <c r="H701" s="65" t="str">
        <f t="shared" si="30"/>
        <v>No Change</v>
      </c>
      <c r="I701" s="65" t="str">
        <f t="shared" si="31"/>
        <v>160408</v>
      </c>
      <c r="J701" s="65" t="str">
        <f t="shared" si="32"/>
        <v>160408</v>
      </c>
    </row>
    <row r="702" spans="1:10" x14ac:dyDescent="0.3">
      <c r="A702" s="27" t="s">
        <v>3240</v>
      </c>
      <c r="B702" s="27" t="str">
        <f>"16.0409"</f>
        <v>16.0409</v>
      </c>
      <c r="C702" s="64" t="s">
        <v>3241</v>
      </c>
      <c r="D702" s="27" t="s">
        <v>2229</v>
      </c>
      <c r="E702" s="27" t="s">
        <v>2232</v>
      </c>
      <c r="F702" s="27" t="str">
        <f>"16.0409"</f>
        <v>16.0409</v>
      </c>
      <c r="G702" s="27" t="s">
        <v>3241</v>
      </c>
      <c r="H702" s="65" t="str">
        <f t="shared" si="30"/>
        <v>No Change</v>
      </c>
      <c r="I702" s="65" t="str">
        <f t="shared" si="31"/>
        <v>160409</v>
      </c>
      <c r="J702" s="65" t="str">
        <f t="shared" si="32"/>
        <v>160409</v>
      </c>
    </row>
    <row r="703" spans="1:10" x14ac:dyDescent="0.3">
      <c r="A703" s="27" t="s">
        <v>3242</v>
      </c>
      <c r="B703" s="27" t="str">
        <f>"16.0410"</f>
        <v>16.0410</v>
      </c>
      <c r="C703" s="64" t="s">
        <v>3243</v>
      </c>
      <c r="D703" s="27" t="s">
        <v>2229</v>
      </c>
      <c r="E703" s="27" t="s">
        <v>2232</v>
      </c>
      <c r="F703" s="27" t="str">
        <f>"16.0410"</f>
        <v>16.0410</v>
      </c>
      <c r="G703" s="27" t="s">
        <v>3243</v>
      </c>
      <c r="H703" s="65" t="str">
        <f t="shared" si="30"/>
        <v>No Change</v>
      </c>
      <c r="I703" s="65" t="str">
        <f t="shared" si="31"/>
        <v>160410</v>
      </c>
      <c r="J703" s="65" t="str">
        <f t="shared" si="32"/>
        <v>160410</v>
      </c>
    </row>
    <row r="704" spans="1:10" ht="28.8" x14ac:dyDescent="0.3">
      <c r="A704" s="27" t="s">
        <v>3244</v>
      </c>
      <c r="B704" s="27" t="str">
        <f>"16.0499"</f>
        <v>16.0499</v>
      </c>
      <c r="C704" s="64" t="s">
        <v>3245</v>
      </c>
      <c r="D704" s="27" t="s">
        <v>2229</v>
      </c>
      <c r="E704" s="27" t="s">
        <v>2232</v>
      </c>
      <c r="F704" s="27" t="str">
        <f>"16.0499"</f>
        <v>16.0499</v>
      </c>
      <c r="G704" s="27" t="s">
        <v>3245</v>
      </c>
      <c r="H704" s="65" t="str">
        <f t="shared" si="30"/>
        <v>No Change</v>
      </c>
      <c r="I704" s="65" t="str">
        <f t="shared" si="31"/>
        <v>160499</v>
      </c>
      <c r="J704" s="65" t="str">
        <f t="shared" si="32"/>
        <v>160499</v>
      </c>
    </row>
    <row r="705" spans="1:10" x14ac:dyDescent="0.3">
      <c r="A705" s="27" t="s">
        <v>1869</v>
      </c>
      <c r="B705" s="27" t="str">
        <f>"16.05"</f>
        <v>16.05</v>
      </c>
      <c r="C705" s="64" t="s">
        <v>3246</v>
      </c>
      <c r="D705" s="27" t="s">
        <v>2229</v>
      </c>
      <c r="E705" s="27" t="s">
        <v>2232</v>
      </c>
      <c r="F705" s="27" t="str">
        <f>"16.05"</f>
        <v>16.05</v>
      </c>
      <c r="G705" s="27" t="s">
        <v>3246</v>
      </c>
      <c r="H705" s="65" t="str">
        <f t="shared" si="30"/>
        <v>No Change</v>
      </c>
      <c r="I705" s="65" t="str">
        <f t="shared" si="31"/>
        <v/>
      </c>
      <c r="J705" s="65" t="str">
        <f t="shared" si="32"/>
        <v/>
      </c>
    </row>
    <row r="706" spans="1:10" x14ac:dyDescent="0.3">
      <c r="A706" s="27" t="s">
        <v>3247</v>
      </c>
      <c r="B706" s="27" t="str">
        <f>"16.0500"</f>
        <v>16.0500</v>
      </c>
      <c r="C706" s="64" t="s">
        <v>3248</v>
      </c>
      <c r="D706" s="27" t="s">
        <v>2229</v>
      </c>
      <c r="E706" s="27" t="s">
        <v>2232</v>
      </c>
      <c r="F706" s="27" t="str">
        <f>"16.0500"</f>
        <v>16.0500</v>
      </c>
      <c r="G706" s="27" t="s">
        <v>3248</v>
      </c>
      <c r="H706" s="65" t="str">
        <f t="shared" si="30"/>
        <v>No Change</v>
      </c>
      <c r="I706" s="65" t="str">
        <f t="shared" si="31"/>
        <v>160500</v>
      </c>
      <c r="J706" s="65" t="str">
        <f t="shared" si="32"/>
        <v>160500</v>
      </c>
    </row>
    <row r="707" spans="1:10" x14ac:dyDescent="0.3">
      <c r="A707" s="27" t="s">
        <v>3249</v>
      </c>
      <c r="B707" s="27" t="str">
        <f>"16.0501"</f>
        <v>16.0501</v>
      </c>
      <c r="C707" s="64" t="s">
        <v>3250</v>
      </c>
      <c r="D707" s="27" t="s">
        <v>2229</v>
      </c>
      <c r="E707" s="27" t="s">
        <v>2232</v>
      </c>
      <c r="F707" s="27" t="str">
        <f>"16.0501"</f>
        <v>16.0501</v>
      </c>
      <c r="G707" s="27" t="s">
        <v>3250</v>
      </c>
      <c r="H707" s="65" t="str">
        <f t="shared" ref="H707:H770" si="33">IF(I707=J707,"No Change","Other")</f>
        <v>No Change</v>
      </c>
      <c r="I707" s="65" t="str">
        <f t="shared" ref="I707:I770" si="34">SUBSTITUTE(IF(SUM(LEN(B707))&lt;7,"",B707),".","")</f>
        <v>160501</v>
      </c>
      <c r="J707" s="65" t="str">
        <f t="shared" ref="J707:J770" si="35">SUBSTITUTE(IF(SUM(LEN(F707))&lt;7,"",F707),".","")</f>
        <v>160501</v>
      </c>
    </row>
    <row r="708" spans="1:10" x14ac:dyDescent="0.3">
      <c r="A708" s="27" t="s">
        <v>3251</v>
      </c>
      <c r="B708" s="27" t="str">
        <f>"16.0502"</f>
        <v>16.0502</v>
      </c>
      <c r="C708" s="64" t="s">
        <v>3252</v>
      </c>
      <c r="D708" s="27" t="s">
        <v>2229</v>
      </c>
      <c r="E708" s="27" t="s">
        <v>2232</v>
      </c>
      <c r="F708" s="27" t="str">
        <f>"16.0502"</f>
        <v>16.0502</v>
      </c>
      <c r="G708" s="27" t="s">
        <v>3252</v>
      </c>
      <c r="H708" s="65" t="str">
        <f t="shared" si="33"/>
        <v>No Change</v>
      </c>
      <c r="I708" s="65" t="str">
        <f t="shared" si="34"/>
        <v>160502</v>
      </c>
      <c r="J708" s="65" t="str">
        <f t="shared" si="35"/>
        <v>160502</v>
      </c>
    </row>
    <row r="709" spans="1:10" x14ac:dyDescent="0.3">
      <c r="A709" s="27" t="s">
        <v>3253</v>
      </c>
      <c r="B709" s="27" t="str">
        <f>"16.0503"</f>
        <v>16.0503</v>
      </c>
      <c r="C709" s="64" t="s">
        <v>3254</v>
      </c>
      <c r="D709" s="27" t="s">
        <v>2229</v>
      </c>
      <c r="E709" s="27" t="s">
        <v>2232</v>
      </c>
      <c r="F709" s="27" t="str">
        <f>"16.0503"</f>
        <v>16.0503</v>
      </c>
      <c r="G709" s="27" t="s">
        <v>3254</v>
      </c>
      <c r="H709" s="65" t="str">
        <f t="shared" si="33"/>
        <v>No Change</v>
      </c>
      <c r="I709" s="65" t="str">
        <f t="shared" si="34"/>
        <v>160503</v>
      </c>
      <c r="J709" s="65" t="str">
        <f t="shared" si="35"/>
        <v>160503</v>
      </c>
    </row>
    <row r="710" spans="1:10" x14ac:dyDescent="0.3">
      <c r="A710" s="27" t="s">
        <v>3255</v>
      </c>
      <c r="B710" s="27" t="str">
        <f>"16.0504"</f>
        <v>16.0504</v>
      </c>
      <c r="C710" s="64" t="s">
        <v>3256</v>
      </c>
      <c r="D710" s="27" t="s">
        <v>2229</v>
      </c>
      <c r="E710" s="27" t="s">
        <v>2232</v>
      </c>
      <c r="F710" s="27" t="str">
        <f>"16.0504"</f>
        <v>16.0504</v>
      </c>
      <c r="G710" s="27" t="s">
        <v>3256</v>
      </c>
      <c r="H710" s="65" t="str">
        <f t="shared" si="33"/>
        <v>No Change</v>
      </c>
      <c r="I710" s="65" t="str">
        <f t="shared" si="34"/>
        <v>160504</v>
      </c>
      <c r="J710" s="65" t="str">
        <f t="shared" si="35"/>
        <v>160504</v>
      </c>
    </row>
    <row r="711" spans="1:10" x14ac:dyDescent="0.3">
      <c r="A711" s="27" t="s">
        <v>3257</v>
      </c>
      <c r="B711" s="27" t="str">
        <f>"16.0505"</f>
        <v>16.0505</v>
      </c>
      <c r="C711" s="64" t="s">
        <v>3258</v>
      </c>
      <c r="D711" s="27" t="s">
        <v>2229</v>
      </c>
      <c r="E711" s="27" t="s">
        <v>2232</v>
      </c>
      <c r="F711" s="27" t="str">
        <f>"16.0505"</f>
        <v>16.0505</v>
      </c>
      <c r="G711" s="27" t="s">
        <v>3258</v>
      </c>
      <c r="H711" s="65" t="str">
        <f t="shared" si="33"/>
        <v>No Change</v>
      </c>
      <c r="I711" s="65" t="str">
        <f t="shared" si="34"/>
        <v>160505</v>
      </c>
      <c r="J711" s="65" t="str">
        <f t="shared" si="35"/>
        <v>160505</v>
      </c>
    </row>
    <row r="712" spans="1:10" x14ac:dyDescent="0.3">
      <c r="A712" s="27" t="s">
        <v>3259</v>
      </c>
      <c r="B712" s="27" t="str">
        <f>"16.0506"</f>
        <v>16.0506</v>
      </c>
      <c r="C712" s="64" t="s">
        <v>3260</v>
      </c>
      <c r="D712" s="27" t="s">
        <v>2229</v>
      </c>
      <c r="E712" s="27" t="s">
        <v>2232</v>
      </c>
      <c r="F712" s="27" t="str">
        <f>"16.0506"</f>
        <v>16.0506</v>
      </c>
      <c r="G712" s="27" t="s">
        <v>3260</v>
      </c>
      <c r="H712" s="65" t="str">
        <f t="shared" si="33"/>
        <v>No Change</v>
      </c>
      <c r="I712" s="65" t="str">
        <f t="shared" si="34"/>
        <v>160506</v>
      </c>
      <c r="J712" s="65" t="str">
        <f t="shared" si="35"/>
        <v>160506</v>
      </c>
    </row>
    <row r="713" spans="1:10" x14ac:dyDescent="0.3">
      <c r="A713" s="27" t="s">
        <v>3261</v>
      </c>
      <c r="B713" s="27" t="str">
        <f>"16.0599"</f>
        <v>16.0599</v>
      </c>
      <c r="C713" s="64" t="s">
        <v>3262</v>
      </c>
      <c r="D713" s="27" t="s">
        <v>2229</v>
      </c>
      <c r="E713" s="27" t="s">
        <v>2232</v>
      </c>
      <c r="F713" s="27" t="str">
        <f>"16.0599"</f>
        <v>16.0599</v>
      </c>
      <c r="G713" s="27" t="s">
        <v>3262</v>
      </c>
      <c r="H713" s="65" t="str">
        <f t="shared" si="33"/>
        <v>No Change</v>
      </c>
      <c r="I713" s="65" t="str">
        <f t="shared" si="34"/>
        <v>160599</v>
      </c>
      <c r="J713" s="65" t="str">
        <f t="shared" si="35"/>
        <v>160599</v>
      </c>
    </row>
    <row r="714" spans="1:10" x14ac:dyDescent="0.3">
      <c r="A714" s="27" t="s">
        <v>1869</v>
      </c>
      <c r="B714" s="27" t="str">
        <f>"16.06"</f>
        <v>16.06</v>
      </c>
      <c r="C714" s="64" t="s">
        <v>3263</v>
      </c>
      <c r="D714" s="27" t="s">
        <v>2229</v>
      </c>
      <c r="E714" s="27" t="s">
        <v>2232</v>
      </c>
      <c r="F714" s="27" t="str">
        <f>"16.06"</f>
        <v>16.06</v>
      </c>
      <c r="G714" s="27" t="s">
        <v>3263</v>
      </c>
      <c r="H714" s="65" t="str">
        <f t="shared" si="33"/>
        <v>No Change</v>
      </c>
      <c r="I714" s="65" t="str">
        <f t="shared" si="34"/>
        <v/>
      </c>
      <c r="J714" s="65" t="str">
        <f t="shared" si="35"/>
        <v/>
      </c>
    </row>
    <row r="715" spans="1:10" x14ac:dyDescent="0.3">
      <c r="A715" s="27" t="s">
        <v>3264</v>
      </c>
      <c r="B715" s="27" t="str">
        <f>"16.0601"</f>
        <v>16.0601</v>
      </c>
      <c r="C715" s="64" t="s">
        <v>3263</v>
      </c>
      <c r="D715" s="27" t="s">
        <v>2229</v>
      </c>
      <c r="E715" s="27" t="s">
        <v>2232</v>
      </c>
      <c r="F715" s="27" t="str">
        <f>"16.0601"</f>
        <v>16.0601</v>
      </c>
      <c r="G715" s="27" t="s">
        <v>3263</v>
      </c>
      <c r="H715" s="65" t="str">
        <f t="shared" si="33"/>
        <v>No Change</v>
      </c>
      <c r="I715" s="65" t="str">
        <f t="shared" si="34"/>
        <v>160601</v>
      </c>
      <c r="J715" s="65" t="str">
        <f t="shared" si="35"/>
        <v>160601</v>
      </c>
    </row>
    <row r="716" spans="1:10" x14ac:dyDescent="0.3">
      <c r="A716" s="27" t="s">
        <v>1869</v>
      </c>
      <c r="B716" s="27" t="str">
        <f>"16.07"</f>
        <v>16.07</v>
      </c>
      <c r="C716" s="64" t="s">
        <v>3265</v>
      </c>
      <c r="D716" s="27" t="s">
        <v>2229</v>
      </c>
      <c r="E716" s="27" t="s">
        <v>2232</v>
      </c>
      <c r="F716" s="27" t="str">
        <f>"16.07"</f>
        <v>16.07</v>
      </c>
      <c r="G716" s="27" t="s">
        <v>3265</v>
      </c>
      <c r="H716" s="65" t="str">
        <f t="shared" si="33"/>
        <v>No Change</v>
      </c>
      <c r="I716" s="65" t="str">
        <f t="shared" si="34"/>
        <v/>
      </c>
      <c r="J716" s="65" t="str">
        <f t="shared" si="35"/>
        <v/>
      </c>
    </row>
    <row r="717" spans="1:10" x14ac:dyDescent="0.3">
      <c r="A717" s="27" t="s">
        <v>3266</v>
      </c>
      <c r="B717" s="27" t="str">
        <f>"16.0700"</f>
        <v>16.0700</v>
      </c>
      <c r="C717" s="64" t="s">
        <v>3267</v>
      </c>
      <c r="D717" s="27" t="s">
        <v>2229</v>
      </c>
      <c r="E717" s="27" t="s">
        <v>2232</v>
      </c>
      <c r="F717" s="27" t="str">
        <f>"16.0700"</f>
        <v>16.0700</v>
      </c>
      <c r="G717" s="27" t="s">
        <v>3267</v>
      </c>
      <c r="H717" s="65" t="str">
        <f t="shared" si="33"/>
        <v>No Change</v>
      </c>
      <c r="I717" s="65" t="str">
        <f t="shared" si="34"/>
        <v>160700</v>
      </c>
      <c r="J717" s="65" t="str">
        <f t="shared" si="35"/>
        <v>160700</v>
      </c>
    </row>
    <row r="718" spans="1:10" x14ac:dyDescent="0.3">
      <c r="A718" s="27" t="s">
        <v>3268</v>
      </c>
      <c r="B718" s="27" t="str">
        <f>"16.0701"</f>
        <v>16.0701</v>
      </c>
      <c r="C718" s="64" t="s">
        <v>3269</v>
      </c>
      <c r="D718" s="27" t="s">
        <v>2229</v>
      </c>
      <c r="E718" s="27" t="s">
        <v>2232</v>
      </c>
      <c r="F718" s="27" t="str">
        <f>"16.0701"</f>
        <v>16.0701</v>
      </c>
      <c r="G718" s="27" t="s">
        <v>3269</v>
      </c>
      <c r="H718" s="65" t="str">
        <f t="shared" si="33"/>
        <v>No Change</v>
      </c>
      <c r="I718" s="65" t="str">
        <f t="shared" si="34"/>
        <v>160701</v>
      </c>
      <c r="J718" s="65" t="str">
        <f t="shared" si="35"/>
        <v>160701</v>
      </c>
    </row>
    <row r="719" spans="1:10" ht="28.8" x14ac:dyDescent="0.3">
      <c r="A719" s="27" t="s">
        <v>3270</v>
      </c>
      <c r="B719" s="27" t="str">
        <f>"16.0702"</f>
        <v>16.0702</v>
      </c>
      <c r="C719" s="64" t="s">
        <v>3271</v>
      </c>
      <c r="D719" s="27" t="s">
        <v>2229</v>
      </c>
      <c r="E719" s="27" t="s">
        <v>2232</v>
      </c>
      <c r="F719" s="27" t="str">
        <f>"16.0702"</f>
        <v>16.0702</v>
      </c>
      <c r="G719" s="27" t="s">
        <v>3271</v>
      </c>
      <c r="H719" s="65" t="str">
        <f t="shared" si="33"/>
        <v>No Change</v>
      </c>
      <c r="I719" s="65" t="str">
        <f t="shared" si="34"/>
        <v>160702</v>
      </c>
      <c r="J719" s="65" t="str">
        <f t="shared" si="35"/>
        <v>160702</v>
      </c>
    </row>
    <row r="720" spans="1:10" x14ac:dyDescent="0.3">
      <c r="A720" s="27" t="s">
        <v>3272</v>
      </c>
      <c r="B720" s="27" t="str">
        <f>"16.0704"</f>
        <v>16.0704</v>
      </c>
      <c r="C720" s="64" t="s">
        <v>3273</v>
      </c>
      <c r="D720" s="27" t="s">
        <v>2229</v>
      </c>
      <c r="E720" s="27" t="s">
        <v>2232</v>
      </c>
      <c r="F720" s="27" t="str">
        <f>"16.0704"</f>
        <v>16.0704</v>
      </c>
      <c r="G720" s="27" t="s">
        <v>3273</v>
      </c>
      <c r="H720" s="65" t="str">
        <f t="shared" si="33"/>
        <v>No Change</v>
      </c>
      <c r="I720" s="65" t="str">
        <f t="shared" si="34"/>
        <v>160704</v>
      </c>
      <c r="J720" s="65" t="str">
        <f t="shared" si="35"/>
        <v>160704</v>
      </c>
    </row>
    <row r="721" spans="1:10" x14ac:dyDescent="0.3">
      <c r="A721" s="27" t="s">
        <v>3274</v>
      </c>
      <c r="B721" s="27" t="str">
        <f>"16.0705"</f>
        <v>16.0705</v>
      </c>
      <c r="C721" s="64" t="s">
        <v>3275</v>
      </c>
      <c r="D721" s="27" t="s">
        <v>2229</v>
      </c>
      <c r="E721" s="27" t="s">
        <v>2232</v>
      </c>
      <c r="F721" s="27" t="str">
        <f>"16.0705"</f>
        <v>16.0705</v>
      </c>
      <c r="G721" s="27" t="s">
        <v>3275</v>
      </c>
      <c r="H721" s="65" t="str">
        <f t="shared" si="33"/>
        <v>No Change</v>
      </c>
      <c r="I721" s="65" t="str">
        <f t="shared" si="34"/>
        <v>160705</v>
      </c>
      <c r="J721" s="65" t="str">
        <f t="shared" si="35"/>
        <v>160705</v>
      </c>
    </row>
    <row r="722" spans="1:10" x14ac:dyDescent="0.3">
      <c r="A722" s="27" t="s">
        <v>3276</v>
      </c>
      <c r="B722" s="27" t="str">
        <f>"16.0706"</f>
        <v>16.0706</v>
      </c>
      <c r="C722" s="64" t="s">
        <v>3277</v>
      </c>
      <c r="D722" s="27" t="s">
        <v>2229</v>
      </c>
      <c r="E722" s="27" t="s">
        <v>2232</v>
      </c>
      <c r="F722" s="27" t="str">
        <f>"16.0706"</f>
        <v>16.0706</v>
      </c>
      <c r="G722" s="27" t="s">
        <v>3277</v>
      </c>
      <c r="H722" s="65" t="str">
        <f t="shared" si="33"/>
        <v>No Change</v>
      </c>
      <c r="I722" s="65" t="str">
        <f t="shared" si="34"/>
        <v>160706</v>
      </c>
      <c r="J722" s="65" t="str">
        <f t="shared" si="35"/>
        <v>160706</v>
      </c>
    </row>
    <row r="723" spans="1:10" x14ac:dyDescent="0.3">
      <c r="A723" s="27" t="s">
        <v>3278</v>
      </c>
      <c r="B723" s="27" t="str">
        <f>"16.0707"</f>
        <v>16.0707</v>
      </c>
      <c r="C723" s="64" t="s">
        <v>3279</v>
      </c>
      <c r="D723" s="27" t="s">
        <v>2229</v>
      </c>
      <c r="E723" s="27" t="s">
        <v>2232</v>
      </c>
      <c r="F723" s="27" t="str">
        <f>"16.0707"</f>
        <v>16.0707</v>
      </c>
      <c r="G723" s="27" t="s">
        <v>3279</v>
      </c>
      <c r="H723" s="65" t="str">
        <f t="shared" si="33"/>
        <v>No Change</v>
      </c>
      <c r="I723" s="65" t="str">
        <f t="shared" si="34"/>
        <v>160707</v>
      </c>
      <c r="J723" s="65" t="str">
        <f t="shared" si="35"/>
        <v>160707</v>
      </c>
    </row>
    <row r="724" spans="1:10" x14ac:dyDescent="0.3">
      <c r="A724" s="27" t="s">
        <v>3280</v>
      </c>
      <c r="B724" s="27" t="str">
        <f>"16.0799"</f>
        <v>16.0799</v>
      </c>
      <c r="C724" s="64" t="s">
        <v>3281</v>
      </c>
      <c r="D724" s="27" t="s">
        <v>2229</v>
      </c>
      <c r="E724" s="27" t="s">
        <v>2232</v>
      </c>
      <c r="F724" s="27" t="str">
        <f>"16.0799"</f>
        <v>16.0799</v>
      </c>
      <c r="G724" s="27" t="s">
        <v>3281</v>
      </c>
      <c r="H724" s="65" t="str">
        <f t="shared" si="33"/>
        <v>No Change</v>
      </c>
      <c r="I724" s="65" t="str">
        <f t="shared" si="34"/>
        <v>160799</v>
      </c>
      <c r="J724" s="65" t="str">
        <f t="shared" si="35"/>
        <v>160799</v>
      </c>
    </row>
    <row r="725" spans="1:10" x14ac:dyDescent="0.3">
      <c r="A725" s="27" t="s">
        <v>1869</v>
      </c>
      <c r="B725" s="27" t="str">
        <f>"16.08"</f>
        <v>16.08</v>
      </c>
      <c r="C725" s="64" t="s">
        <v>3282</v>
      </c>
      <c r="D725" s="27" t="s">
        <v>2229</v>
      </c>
      <c r="E725" s="27" t="s">
        <v>2232</v>
      </c>
      <c r="F725" s="27" t="str">
        <f>"16.08"</f>
        <v>16.08</v>
      </c>
      <c r="G725" s="27" t="s">
        <v>3282</v>
      </c>
      <c r="H725" s="65" t="str">
        <f t="shared" si="33"/>
        <v>No Change</v>
      </c>
      <c r="I725" s="65" t="str">
        <f t="shared" si="34"/>
        <v/>
      </c>
      <c r="J725" s="65" t="str">
        <f t="shared" si="35"/>
        <v/>
      </c>
    </row>
    <row r="726" spans="1:10" x14ac:dyDescent="0.3">
      <c r="A726" s="27" t="s">
        <v>3283</v>
      </c>
      <c r="B726" s="27" t="str">
        <f>"16.0801"</f>
        <v>16.0801</v>
      </c>
      <c r="C726" s="64" t="s">
        <v>3284</v>
      </c>
      <c r="D726" s="27" t="s">
        <v>2229</v>
      </c>
      <c r="E726" s="27" t="s">
        <v>2232</v>
      </c>
      <c r="F726" s="27" t="str">
        <f>"16.0801"</f>
        <v>16.0801</v>
      </c>
      <c r="G726" s="27" t="s">
        <v>3284</v>
      </c>
      <c r="H726" s="65" t="str">
        <f t="shared" si="33"/>
        <v>No Change</v>
      </c>
      <c r="I726" s="65" t="str">
        <f t="shared" si="34"/>
        <v>160801</v>
      </c>
      <c r="J726" s="65" t="str">
        <f t="shared" si="35"/>
        <v>160801</v>
      </c>
    </row>
    <row r="727" spans="1:10" x14ac:dyDescent="0.3">
      <c r="A727" s="27" t="s">
        <v>1869</v>
      </c>
      <c r="B727" s="27" t="str">
        <f>"16.09"</f>
        <v>16.09</v>
      </c>
      <c r="C727" s="64" t="s">
        <v>3285</v>
      </c>
      <c r="D727" s="27" t="s">
        <v>2229</v>
      </c>
      <c r="E727" s="27" t="s">
        <v>2232</v>
      </c>
      <c r="F727" s="27" t="str">
        <f>"16.09"</f>
        <v>16.09</v>
      </c>
      <c r="G727" s="27" t="s">
        <v>3285</v>
      </c>
      <c r="H727" s="65" t="str">
        <f t="shared" si="33"/>
        <v>No Change</v>
      </c>
      <c r="I727" s="65" t="str">
        <f t="shared" si="34"/>
        <v/>
      </c>
      <c r="J727" s="65" t="str">
        <f t="shared" si="35"/>
        <v/>
      </c>
    </row>
    <row r="728" spans="1:10" x14ac:dyDescent="0.3">
      <c r="A728" s="27" t="s">
        <v>3286</v>
      </c>
      <c r="B728" s="27" t="str">
        <f>"16.0900"</f>
        <v>16.0900</v>
      </c>
      <c r="C728" s="64" t="s">
        <v>3287</v>
      </c>
      <c r="D728" s="27" t="s">
        <v>2229</v>
      </c>
      <c r="E728" s="27" t="s">
        <v>2232</v>
      </c>
      <c r="F728" s="27" t="str">
        <f>"16.0900"</f>
        <v>16.0900</v>
      </c>
      <c r="G728" s="27" t="s">
        <v>3287</v>
      </c>
      <c r="H728" s="65" t="str">
        <f t="shared" si="33"/>
        <v>No Change</v>
      </c>
      <c r="I728" s="65" t="str">
        <f t="shared" si="34"/>
        <v>160900</v>
      </c>
      <c r="J728" s="65" t="str">
        <f t="shared" si="35"/>
        <v>160900</v>
      </c>
    </row>
    <row r="729" spans="1:10" x14ac:dyDescent="0.3">
      <c r="A729" s="27" t="s">
        <v>3288</v>
      </c>
      <c r="B729" s="27" t="str">
        <f>"16.0901"</f>
        <v>16.0901</v>
      </c>
      <c r="C729" s="64" t="s">
        <v>3289</v>
      </c>
      <c r="D729" s="27" t="s">
        <v>2229</v>
      </c>
      <c r="E729" s="27" t="s">
        <v>2232</v>
      </c>
      <c r="F729" s="27" t="str">
        <f>"16.0901"</f>
        <v>16.0901</v>
      </c>
      <c r="G729" s="27" t="s">
        <v>3289</v>
      </c>
      <c r="H729" s="65" t="str">
        <f t="shared" si="33"/>
        <v>No Change</v>
      </c>
      <c r="I729" s="65" t="str">
        <f t="shared" si="34"/>
        <v>160901</v>
      </c>
      <c r="J729" s="65" t="str">
        <f t="shared" si="35"/>
        <v>160901</v>
      </c>
    </row>
    <row r="730" spans="1:10" x14ac:dyDescent="0.3">
      <c r="A730" s="27" t="s">
        <v>3290</v>
      </c>
      <c r="B730" s="27" t="str">
        <f>"16.0902"</f>
        <v>16.0902</v>
      </c>
      <c r="C730" s="64" t="s">
        <v>3291</v>
      </c>
      <c r="D730" s="27" t="s">
        <v>2229</v>
      </c>
      <c r="E730" s="27" t="s">
        <v>2232</v>
      </c>
      <c r="F730" s="27" t="str">
        <f>"16.0902"</f>
        <v>16.0902</v>
      </c>
      <c r="G730" s="27" t="s">
        <v>3291</v>
      </c>
      <c r="H730" s="65" t="str">
        <f t="shared" si="33"/>
        <v>No Change</v>
      </c>
      <c r="I730" s="65" t="str">
        <f t="shared" si="34"/>
        <v>160902</v>
      </c>
      <c r="J730" s="65" t="str">
        <f t="shared" si="35"/>
        <v>160902</v>
      </c>
    </row>
    <row r="731" spans="1:10" x14ac:dyDescent="0.3">
      <c r="A731" s="27" t="s">
        <v>3292</v>
      </c>
      <c r="B731" s="27" t="str">
        <f>"16.0904"</f>
        <v>16.0904</v>
      </c>
      <c r="C731" s="64" t="s">
        <v>3293</v>
      </c>
      <c r="D731" s="27" t="s">
        <v>2229</v>
      </c>
      <c r="E731" s="27" t="s">
        <v>2232</v>
      </c>
      <c r="F731" s="27" t="str">
        <f>"16.0904"</f>
        <v>16.0904</v>
      </c>
      <c r="G731" s="27" t="s">
        <v>3293</v>
      </c>
      <c r="H731" s="65" t="str">
        <f t="shared" si="33"/>
        <v>No Change</v>
      </c>
      <c r="I731" s="65" t="str">
        <f t="shared" si="34"/>
        <v>160904</v>
      </c>
      <c r="J731" s="65" t="str">
        <f t="shared" si="35"/>
        <v>160904</v>
      </c>
    </row>
    <row r="732" spans="1:10" x14ac:dyDescent="0.3">
      <c r="A732" s="27" t="s">
        <v>3294</v>
      </c>
      <c r="B732" s="27" t="str">
        <f>"16.0905"</f>
        <v>16.0905</v>
      </c>
      <c r="C732" s="64" t="s">
        <v>3295</v>
      </c>
      <c r="D732" s="27" t="s">
        <v>2229</v>
      </c>
      <c r="E732" s="27" t="s">
        <v>2232</v>
      </c>
      <c r="F732" s="27" t="str">
        <f>"16.0905"</f>
        <v>16.0905</v>
      </c>
      <c r="G732" s="27" t="s">
        <v>3295</v>
      </c>
      <c r="H732" s="65" t="str">
        <f t="shared" si="33"/>
        <v>No Change</v>
      </c>
      <c r="I732" s="65" t="str">
        <f t="shared" si="34"/>
        <v>160905</v>
      </c>
      <c r="J732" s="65" t="str">
        <f t="shared" si="35"/>
        <v>160905</v>
      </c>
    </row>
    <row r="733" spans="1:10" x14ac:dyDescent="0.3">
      <c r="A733" s="27" t="s">
        <v>3296</v>
      </c>
      <c r="B733" s="27" t="str">
        <f>"16.0906"</f>
        <v>16.0906</v>
      </c>
      <c r="C733" s="64" t="s">
        <v>3297</v>
      </c>
      <c r="D733" s="27" t="s">
        <v>2229</v>
      </c>
      <c r="E733" s="27" t="s">
        <v>2232</v>
      </c>
      <c r="F733" s="27" t="str">
        <f>"16.0906"</f>
        <v>16.0906</v>
      </c>
      <c r="G733" s="27" t="s">
        <v>3297</v>
      </c>
      <c r="H733" s="65" t="str">
        <f t="shared" si="33"/>
        <v>No Change</v>
      </c>
      <c r="I733" s="65" t="str">
        <f t="shared" si="34"/>
        <v>160906</v>
      </c>
      <c r="J733" s="65" t="str">
        <f t="shared" si="35"/>
        <v>160906</v>
      </c>
    </row>
    <row r="734" spans="1:10" x14ac:dyDescent="0.3">
      <c r="A734" s="27" t="s">
        <v>3298</v>
      </c>
      <c r="B734" s="27" t="str">
        <f>"16.0907"</f>
        <v>16.0907</v>
      </c>
      <c r="C734" s="64" t="s">
        <v>3299</v>
      </c>
      <c r="D734" s="27" t="s">
        <v>2229</v>
      </c>
      <c r="E734" s="27" t="s">
        <v>2232</v>
      </c>
      <c r="F734" s="27" t="str">
        <f>"16.0907"</f>
        <v>16.0907</v>
      </c>
      <c r="G734" s="27" t="s">
        <v>3299</v>
      </c>
      <c r="H734" s="65" t="str">
        <f t="shared" si="33"/>
        <v>No Change</v>
      </c>
      <c r="I734" s="65" t="str">
        <f t="shared" si="34"/>
        <v>160907</v>
      </c>
      <c r="J734" s="65" t="str">
        <f t="shared" si="35"/>
        <v>160907</v>
      </c>
    </row>
    <row r="735" spans="1:10" ht="28.8" x14ac:dyDescent="0.3">
      <c r="A735" s="27" t="s">
        <v>3300</v>
      </c>
      <c r="B735" s="27" t="str">
        <f>"16.0908"</f>
        <v>16.0908</v>
      </c>
      <c r="C735" s="64" t="s">
        <v>3301</v>
      </c>
      <c r="D735" s="27" t="s">
        <v>2229</v>
      </c>
      <c r="E735" s="27" t="s">
        <v>2232</v>
      </c>
      <c r="F735" s="27" t="str">
        <f>"16.0908"</f>
        <v>16.0908</v>
      </c>
      <c r="G735" s="27" t="s">
        <v>3301</v>
      </c>
      <c r="H735" s="65" t="str">
        <f t="shared" si="33"/>
        <v>No Change</v>
      </c>
      <c r="I735" s="65" t="str">
        <f t="shared" si="34"/>
        <v>160908</v>
      </c>
      <c r="J735" s="65" t="str">
        <f t="shared" si="35"/>
        <v>160908</v>
      </c>
    </row>
    <row r="736" spans="1:10" x14ac:dyDescent="0.3">
      <c r="A736" s="27" t="s">
        <v>3302</v>
      </c>
      <c r="B736" s="27" t="str">
        <f>"16.0999"</f>
        <v>16.0999</v>
      </c>
      <c r="C736" s="64" t="s">
        <v>3303</v>
      </c>
      <c r="D736" s="27" t="s">
        <v>2229</v>
      </c>
      <c r="E736" s="27" t="s">
        <v>2232</v>
      </c>
      <c r="F736" s="27" t="str">
        <f>"16.0999"</f>
        <v>16.0999</v>
      </c>
      <c r="G736" s="27" t="s">
        <v>3303</v>
      </c>
      <c r="H736" s="65" t="str">
        <f t="shared" si="33"/>
        <v>No Change</v>
      </c>
      <c r="I736" s="65" t="str">
        <f t="shared" si="34"/>
        <v>160999</v>
      </c>
      <c r="J736" s="65" t="str">
        <f t="shared" si="35"/>
        <v>160999</v>
      </c>
    </row>
    <row r="737" spans="1:10" ht="28.8" x14ac:dyDescent="0.3">
      <c r="A737" s="27" t="s">
        <v>1869</v>
      </c>
      <c r="B737" s="27" t="str">
        <f>"16.10"</f>
        <v>16.10</v>
      </c>
      <c r="C737" s="64" t="s">
        <v>3304</v>
      </c>
      <c r="D737" s="27" t="s">
        <v>2229</v>
      </c>
      <c r="E737" s="27" t="s">
        <v>2232</v>
      </c>
      <c r="F737" s="27" t="str">
        <f>"16.10"</f>
        <v>16.10</v>
      </c>
      <c r="G737" s="27" t="s">
        <v>3304</v>
      </c>
      <c r="H737" s="65" t="str">
        <f t="shared" si="33"/>
        <v>No Change</v>
      </c>
      <c r="I737" s="65" t="str">
        <f t="shared" si="34"/>
        <v/>
      </c>
      <c r="J737" s="65" t="str">
        <f t="shared" si="35"/>
        <v/>
      </c>
    </row>
    <row r="738" spans="1:10" ht="28.8" x14ac:dyDescent="0.3">
      <c r="A738" s="27" t="s">
        <v>3305</v>
      </c>
      <c r="B738" s="27" t="str">
        <f>"16.1001"</f>
        <v>16.1001</v>
      </c>
      <c r="C738" s="64" t="s">
        <v>3304</v>
      </c>
      <c r="D738" s="27" t="s">
        <v>2229</v>
      </c>
      <c r="E738" s="27" t="s">
        <v>2230</v>
      </c>
      <c r="F738" s="27" t="str">
        <f>"16.1001"</f>
        <v>16.1001</v>
      </c>
      <c r="G738" s="27" t="s">
        <v>3304</v>
      </c>
      <c r="H738" s="65" t="str">
        <f t="shared" si="33"/>
        <v>No Change</v>
      </c>
      <c r="I738" s="65" t="str">
        <f t="shared" si="34"/>
        <v>161001</v>
      </c>
      <c r="J738" s="65" t="str">
        <f t="shared" si="35"/>
        <v>161001</v>
      </c>
    </row>
    <row r="739" spans="1:10" ht="28.8" x14ac:dyDescent="0.3">
      <c r="A739" s="27" t="s">
        <v>1869</v>
      </c>
      <c r="B739" s="27" t="str">
        <f>"16.11"</f>
        <v>16.11</v>
      </c>
      <c r="C739" s="64" t="s">
        <v>3306</v>
      </c>
      <c r="D739" s="27" t="s">
        <v>2229</v>
      </c>
      <c r="E739" s="27" t="s">
        <v>2232</v>
      </c>
      <c r="F739" s="27" t="str">
        <f>"16.11"</f>
        <v>16.11</v>
      </c>
      <c r="G739" s="27" t="s">
        <v>3306</v>
      </c>
      <c r="H739" s="65" t="str">
        <f t="shared" si="33"/>
        <v>No Change</v>
      </c>
      <c r="I739" s="65" t="str">
        <f t="shared" si="34"/>
        <v/>
      </c>
      <c r="J739" s="65" t="str">
        <f t="shared" si="35"/>
        <v/>
      </c>
    </row>
    <row r="740" spans="1:10" ht="28.8" x14ac:dyDescent="0.3">
      <c r="A740" s="27" t="s">
        <v>3307</v>
      </c>
      <c r="B740" s="27" t="str">
        <f>"16.1100"</f>
        <v>16.1100</v>
      </c>
      <c r="C740" s="64" t="s">
        <v>3308</v>
      </c>
      <c r="D740" s="27" t="s">
        <v>2229</v>
      </c>
      <c r="E740" s="27" t="s">
        <v>2232</v>
      </c>
      <c r="F740" s="27" t="str">
        <f>"16.1100"</f>
        <v>16.1100</v>
      </c>
      <c r="G740" s="27" t="s">
        <v>3308</v>
      </c>
      <c r="H740" s="65" t="str">
        <f t="shared" si="33"/>
        <v>No Change</v>
      </c>
      <c r="I740" s="65" t="str">
        <f t="shared" si="34"/>
        <v>161100</v>
      </c>
      <c r="J740" s="65" t="str">
        <f t="shared" si="35"/>
        <v>161100</v>
      </c>
    </row>
    <row r="741" spans="1:10" x14ac:dyDescent="0.3">
      <c r="A741" s="27" t="s">
        <v>3309</v>
      </c>
      <c r="B741" s="27" t="str">
        <f>"16.1101"</f>
        <v>16.1101</v>
      </c>
      <c r="C741" s="64" t="s">
        <v>3310</v>
      </c>
      <c r="D741" s="27" t="s">
        <v>2229</v>
      </c>
      <c r="E741" s="27" t="s">
        <v>2232</v>
      </c>
      <c r="F741" s="27" t="str">
        <f>"16.1101"</f>
        <v>16.1101</v>
      </c>
      <c r="G741" s="27" t="s">
        <v>3310</v>
      </c>
      <c r="H741" s="65" t="str">
        <f t="shared" si="33"/>
        <v>No Change</v>
      </c>
      <c r="I741" s="65" t="str">
        <f t="shared" si="34"/>
        <v>161101</v>
      </c>
      <c r="J741" s="65" t="str">
        <f t="shared" si="35"/>
        <v>161101</v>
      </c>
    </row>
    <row r="742" spans="1:10" x14ac:dyDescent="0.3">
      <c r="A742" s="27" t="s">
        <v>3311</v>
      </c>
      <c r="B742" s="27" t="str">
        <f>"16.1102"</f>
        <v>16.1102</v>
      </c>
      <c r="C742" s="64" t="s">
        <v>3312</v>
      </c>
      <c r="D742" s="27" t="s">
        <v>2229</v>
      </c>
      <c r="E742" s="27" t="s">
        <v>2232</v>
      </c>
      <c r="F742" s="27" t="str">
        <f>"16.1102"</f>
        <v>16.1102</v>
      </c>
      <c r="G742" s="27" t="s">
        <v>3312</v>
      </c>
      <c r="H742" s="65" t="str">
        <f t="shared" si="33"/>
        <v>No Change</v>
      </c>
      <c r="I742" s="65" t="str">
        <f t="shared" si="34"/>
        <v>161102</v>
      </c>
      <c r="J742" s="65" t="str">
        <f t="shared" si="35"/>
        <v>161102</v>
      </c>
    </row>
    <row r="743" spans="1:10" ht="28.8" x14ac:dyDescent="0.3">
      <c r="A743" s="27" t="s">
        <v>3313</v>
      </c>
      <c r="B743" s="27" t="str">
        <f>"16.1103"</f>
        <v>16.1103</v>
      </c>
      <c r="C743" s="64" t="s">
        <v>3314</v>
      </c>
      <c r="D743" s="27" t="s">
        <v>2229</v>
      </c>
      <c r="E743" s="27" t="s">
        <v>2232</v>
      </c>
      <c r="F743" s="27" t="str">
        <f>"16.1103"</f>
        <v>16.1103</v>
      </c>
      <c r="G743" s="27" t="s">
        <v>3314</v>
      </c>
      <c r="H743" s="65" t="str">
        <f t="shared" si="33"/>
        <v>No Change</v>
      </c>
      <c r="I743" s="65" t="str">
        <f t="shared" si="34"/>
        <v>161103</v>
      </c>
      <c r="J743" s="65" t="str">
        <f t="shared" si="35"/>
        <v>161103</v>
      </c>
    </row>
    <row r="744" spans="1:10" ht="28.8" x14ac:dyDescent="0.3">
      <c r="A744" s="27" t="s">
        <v>3315</v>
      </c>
      <c r="B744" s="27" t="str">
        <f>"16.1199"</f>
        <v>16.1199</v>
      </c>
      <c r="C744" s="64" t="s">
        <v>3316</v>
      </c>
      <c r="D744" s="27" t="s">
        <v>2229</v>
      </c>
      <c r="E744" s="27" t="s">
        <v>2232</v>
      </c>
      <c r="F744" s="27" t="str">
        <f>"16.1199"</f>
        <v>16.1199</v>
      </c>
      <c r="G744" s="27" t="s">
        <v>3316</v>
      </c>
      <c r="H744" s="65" t="str">
        <f t="shared" si="33"/>
        <v>No Change</v>
      </c>
      <c r="I744" s="65" t="str">
        <f t="shared" si="34"/>
        <v>161199</v>
      </c>
      <c r="J744" s="65" t="str">
        <f t="shared" si="35"/>
        <v>161199</v>
      </c>
    </row>
    <row r="745" spans="1:10" x14ac:dyDescent="0.3">
      <c r="A745" s="27" t="s">
        <v>1869</v>
      </c>
      <c r="B745" s="27" t="str">
        <f>"16.12"</f>
        <v>16.12</v>
      </c>
      <c r="C745" s="64" t="s">
        <v>3317</v>
      </c>
      <c r="D745" s="27" t="s">
        <v>2229</v>
      </c>
      <c r="E745" s="27" t="s">
        <v>2232</v>
      </c>
      <c r="F745" s="27" t="str">
        <f>"16.12"</f>
        <v>16.12</v>
      </c>
      <c r="G745" s="27" t="s">
        <v>3317</v>
      </c>
      <c r="H745" s="65" t="str">
        <f t="shared" si="33"/>
        <v>No Change</v>
      </c>
      <c r="I745" s="65" t="str">
        <f t="shared" si="34"/>
        <v/>
      </c>
      <c r="J745" s="65" t="str">
        <f t="shared" si="35"/>
        <v/>
      </c>
    </row>
    <row r="746" spans="1:10" ht="28.8" x14ac:dyDescent="0.3">
      <c r="A746" s="27" t="s">
        <v>3318</v>
      </c>
      <c r="B746" s="27" t="str">
        <f>"16.1200"</f>
        <v>16.1200</v>
      </c>
      <c r="C746" s="64" t="s">
        <v>3319</v>
      </c>
      <c r="D746" s="27" t="s">
        <v>2229</v>
      </c>
      <c r="E746" s="27" t="s">
        <v>2232</v>
      </c>
      <c r="F746" s="27" t="str">
        <f>"16.1200"</f>
        <v>16.1200</v>
      </c>
      <c r="G746" s="27" t="s">
        <v>3319</v>
      </c>
      <c r="H746" s="65" t="str">
        <f t="shared" si="33"/>
        <v>No Change</v>
      </c>
      <c r="I746" s="65" t="str">
        <f t="shared" si="34"/>
        <v>161200</v>
      </c>
      <c r="J746" s="65" t="str">
        <f t="shared" si="35"/>
        <v>161200</v>
      </c>
    </row>
    <row r="747" spans="1:10" x14ac:dyDescent="0.3">
      <c r="A747" s="27" t="s">
        <v>3320</v>
      </c>
      <c r="B747" s="27" t="str">
        <f>"16.1202"</f>
        <v>16.1202</v>
      </c>
      <c r="C747" s="64" t="s">
        <v>3321</v>
      </c>
      <c r="D747" s="27" t="s">
        <v>2229</v>
      </c>
      <c r="E747" s="27" t="s">
        <v>2232</v>
      </c>
      <c r="F747" s="27" t="str">
        <f>"16.1202"</f>
        <v>16.1202</v>
      </c>
      <c r="G747" s="27" t="s">
        <v>3321</v>
      </c>
      <c r="H747" s="65" t="str">
        <f t="shared" si="33"/>
        <v>No Change</v>
      </c>
      <c r="I747" s="65" t="str">
        <f t="shared" si="34"/>
        <v>161202</v>
      </c>
      <c r="J747" s="65" t="str">
        <f t="shared" si="35"/>
        <v>161202</v>
      </c>
    </row>
    <row r="748" spans="1:10" x14ac:dyDescent="0.3">
      <c r="A748" s="27" t="s">
        <v>3322</v>
      </c>
      <c r="B748" s="27" t="str">
        <f>"16.1203"</f>
        <v>16.1203</v>
      </c>
      <c r="C748" s="64" t="s">
        <v>3323</v>
      </c>
      <c r="D748" s="27" t="s">
        <v>2229</v>
      </c>
      <c r="E748" s="27" t="s">
        <v>2232</v>
      </c>
      <c r="F748" s="27" t="str">
        <f>"16.1203"</f>
        <v>16.1203</v>
      </c>
      <c r="G748" s="27" t="s">
        <v>3323</v>
      </c>
      <c r="H748" s="65" t="str">
        <f t="shared" si="33"/>
        <v>No Change</v>
      </c>
      <c r="I748" s="65" t="str">
        <f t="shared" si="34"/>
        <v>161203</v>
      </c>
      <c r="J748" s="65" t="str">
        <f t="shared" si="35"/>
        <v>161203</v>
      </c>
    </row>
    <row r="749" spans="1:10" ht="28.8" x14ac:dyDescent="0.3">
      <c r="A749" s="27" t="s">
        <v>3324</v>
      </c>
      <c r="B749" s="27" t="str">
        <f>"16.1299"</f>
        <v>16.1299</v>
      </c>
      <c r="C749" s="64" t="s">
        <v>3325</v>
      </c>
      <c r="D749" s="27" t="s">
        <v>2229</v>
      </c>
      <c r="E749" s="27" t="s">
        <v>2232</v>
      </c>
      <c r="F749" s="27" t="str">
        <f>"16.1299"</f>
        <v>16.1299</v>
      </c>
      <c r="G749" s="27" t="s">
        <v>3325</v>
      </c>
      <c r="H749" s="65" t="str">
        <f t="shared" si="33"/>
        <v>No Change</v>
      </c>
      <c r="I749" s="65" t="str">
        <f t="shared" si="34"/>
        <v>161299</v>
      </c>
      <c r="J749" s="65" t="str">
        <f t="shared" si="35"/>
        <v>161299</v>
      </c>
    </row>
    <row r="750" spans="1:10" x14ac:dyDescent="0.3">
      <c r="A750" s="27" t="s">
        <v>1869</v>
      </c>
      <c r="B750" s="27" t="str">
        <f>"16.13"</f>
        <v>16.13</v>
      </c>
      <c r="C750" s="64" t="s">
        <v>3326</v>
      </c>
      <c r="D750" s="27" t="s">
        <v>2229</v>
      </c>
      <c r="E750" s="27" t="s">
        <v>2232</v>
      </c>
      <c r="F750" s="27" t="str">
        <f>"16.13"</f>
        <v>16.13</v>
      </c>
      <c r="G750" s="27" t="s">
        <v>3326</v>
      </c>
      <c r="H750" s="65" t="str">
        <f t="shared" si="33"/>
        <v>No Change</v>
      </c>
      <c r="I750" s="65" t="str">
        <f t="shared" si="34"/>
        <v/>
      </c>
      <c r="J750" s="65" t="str">
        <f t="shared" si="35"/>
        <v/>
      </c>
    </row>
    <row r="751" spans="1:10" x14ac:dyDescent="0.3">
      <c r="A751" s="27" t="s">
        <v>3327</v>
      </c>
      <c r="B751" s="27" t="str">
        <f>"16.1301"</f>
        <v>16.1301</v>
      </c>
      <c r="C751" s="64" t="s">
        <v>3326</v>
      </c>
      <c r="D751" s="27" t="s">
        <v>2229</v>
      </c>
      <c r="E751" s="27" t="s">
        <v>2232</v>
      </c>
      <c r="F751" s="27" t="str">
        <f>"16.1301"</f>
        <v>16.1301</v>
      </c>
      <c r="G751" s="27" t="s">
        <v>3326</v>
      </c>
      <c r="H751" s="65" t="str">
        <f t="shared" si="33"/>
        <v>No Change</v>
      </c>
      <c r="I751" s="65" t="str">
        <f t="shared" si="34"/>
        <v>161301</v>
      </c>
      <c r="J751" s="65" t="str">
        <f t="shared" si="35"/>
        <v>161301</v>
      </c>
    </row>
    <row r="752" spans="1:10" ht="28.8" x14ac:dyDescent="0.3">
      <c r="A752" s="27" t="s">
        <v>1869</v>
      </c>
      <c r="B752" s="27" t="str">
        <f>"16.14"</f>
        <v>16.14</v>
      </c>
      <c r="C752" s="64" t="s">
        <v>3328</v>
      </c>
      <c r="D752" s="27" t="s">
        <v>2229</v>
      </c>
      <c r="E752" s="27" t="s">
        <v>2232</v>
      </c>
      <c r="F752" s="27" t="str">
        <f>"16.14"</f>
        <v>16.14</v>
      </c>
      <c r="G752" s="27" t="s">
        <v>3328</v>
      </c>
      <c r="H752" s="65" t="str">
        <f t="shared" si="33"/>
        <v>No Change</v>
      </c>
      <c r="I752" s="65" t="str">
        <f t="shared" si="34"/>
        <v/>
      </c>
      <c r="J752" s="65" t="str">
        <f t="shared" si="35"/>
        <v/>
      </c>
    </row>
    <row r="753" spans="1:10" ht="28.8" x14ac:dyDescent="0.3">
      <c r="A753" s="27" t="s">
        <v>3329</v>
      </c>
      <c r="B753" s="27" t="str">
        <f>"16.1400"</f>
        <v>16.1400</v>
      </c>
      <c r="C753" s="64" t="s">
        <v>3330</v>
      </c>
      <c r="D753" s="27" t="s">
        <v>2229</v>
      </c>
      <c r="E753" s="27" t="s">
        <v>2232</v>
      </c>
      <c r="F753" s="27" t="str">
        <f>"16.1400"</f>
        <v>16.1400</v>
      </c>
      <c r="G753" s="27" t="s">
        <v>3330</v>
      </c>
      <c r="H753" s="65" t="str">
        <f t="shared" si="33"/>
        <v>No Change</v>
      </c>
      <c r="I753" s="65" t="str">
        <f t="shared" si="34"/>
        <v>161400</v>
      </c>
      <c r="J753" s="65" t="str">
        <f t="shared" si="35"/>
        <v>161400</v>
      </c>
    </row>
    <row r="754" spans="1:10" ht="28.8" x14ac:dyDescent="0.3">
      <c r="A754" s="27" t="s">
        <v>3331</v>
      </c>
      <c r="B754" s="27" t="str">
        <f>"16.1401"</f>
        <v>16.1401</v>
      </c>
      <c r="C754" s="64" t="s">
        <v>3332</v>
      </c>
      <c r="D754" s="27" t="s">
        <v>2229</v>
      </c>
      <c r="E754" s="27" t="s">
        <v>2232</v>
      </c>
      <c r="F754" s="27" t="str">
        <f>"16.1401"</f>
        <v>16.1401</v>
      </c>
      <c r="G754" s="27" t="s">
        <v>3332</v>
      </c>
      <c r="H754" s="65" t="str">
        <f t="shared" si="33"/>
        <v>No Change</v>
      </c>
      <c r="I754" s="65" t="str">
        <f t="shared" si="34"/>
        <v>161401</v>
      </c>
      <c r="J754" s="65" t="str">
        <f t="shared" si="35"/>
        <v>161401</v>
      </c>
    </row>
    <row r="755" spans="1:10" x14ac:dyDescent="0.3">
      <c r="A755" s="27" t="s">
        <v>3333</v>
      </c>
      <c r="B755" s="27" t="str">
        <f>"16.1402"</f>
        <v>16.1402</v>
      </c>
      <c r="C755" s="64" t="s">
        <v>3334</v>
      </c>
      <c r="D755" s="27" t="s">
        <v>2229</v>
      </c>
      <c r="E755" s="27" t="s">
        <v>2232</v>
      </c>
      <c r="F755" s="27" t="str">
        <f>"16.1402"</f>
        <v>16.1402</v>
      </c>
      <c r="G755" s="27" t="s">
        <v>3334</v>
      </c>
      <c r="H755" s="65" t="str">
        <f t="shared" si="33"/>
        <v>No Change</v>
      </c>
      <c r="I755" s="65" t="str">
        <f t="shared" si="34"/>
        <v>161402</v>
      </c>
      <c r="J755" s="65" t="str">
        <f t="shared" si="35"/>
        <v>161402</v>
      </c>
    </row>
    <row r="756" spans="1:10" x14ac:dyDescent="0.3">
      <c r="A756" s="27" t="s">
        <v>3335</v>
      </c>
      <c r="B756" s="27" t="str">
        <f>"16.1403"</f>
        <v>16.1403</v>
      </c>
      <c r="C756" s="64" t="s">
        <v>3336</v>
      </c>
      <c r="D756" s="27" t="s">
        <v>2229</v>
      </c>
      <c r="E756" s="27" t="s">
        <v>2232</v>
      </c>
      <c r="F756" s="27" t="str">
        <f>"16.1403"</f>
        <v>16.1403</v>
      </c>
      <c r="G756" s="27" t="s">
        <v>3336</v>
      </c>
      <c r="H756" s="65" t="str">
        <f t="shared" si="33"/>
        <v>No Change</v>
      </c>
      <c r="I756" s="65" t="str">
        <f t="shared" si="34"/>
        <v>161403</v>
      </c>
      <c r="J756" s="65" t="str">
        <f t="shared" si="35"/>
        <v>161403</v>
      </c>
    </row>
    <row r="757" spans="1:10" x14ac:dyDescent="0.3">
      <c r="A757" s="27" t="s">
        <v>3337</v>
      </c>
      <c r="B757" s="27" t="str">
        <f>"16.1404"</f>
        <v>16.1404</v>
      </c>
      <c r="C757" s="64" t="s">
        <v>3338</v>
      </c>
      <c r="D757" s="27" t="s">
        <v>2229</v>
      </c>
      <c r="E757" s="27" t="s">
        <v>2232</v>
      </c>
      <c r="F757" s="27" t="str">
        <f>"16.1404"</f>
        <v>16.1404</v>
      </c>
      <c r="G757" s="27" t="s">
        <v>3338</v>
      </c>
      <c r="H757" s="65" t="str">
        <f t="shared" si="33"/>
        <v>No Change</v>
      </c>
      <c r="I757" s="65" t="str">
        <f t="shared" si="34"/>
        <v>161404</v>
      </c>
      <c r="J757" s="65" t="str">
        <f t="shared" si="35"/>
        <v>161404</v>
      </c>
    </row>
    <row r="758" spans="1:10" x14ac:dyDescent="0.3">
      <c r="A758" s="27" t="s">
        <v>3339</v>
      </c>
      <c r="B758" s="27" t="str">
        <f>"16.1405"</f>
        <v>16.1405</v>
      </c>
      <c r="C758" s="64" t="s">
        <v>3340</v>
      </c>
      <c r="D758" s="27" t="s">
        <v>2229</v>
      </c>
      <c r="E758" s="27" t="s">
        <v>2232</v>
      </c>
      <c r="F758" s="27" t="str">
        <f>"16.1405"</f>
        <v>16.1405</v>
      </c>
      <c r="G758" s="27" t="s">
        <v>3340</v>
      </c>
      <c r="H758" s="65" t="str">
        <f t="shared" si="33"/>
        <v>No Change</v>
      </c>
      <c r="I758" s="65" t="str">
        <f t="shared" si="34"/>
        <v>161405</v>
      </c>
      <c r="J758" s="65" t="str">
        <f t="shared" si="35"/>
        <v>161405</v>
      </c>
    </row>
    <row r="759" spans="1:10" x14ac:dyDescent="0.3">
      <c r="A759" s="27" t="s">
        <v>3341</v>
      </c>
      <c r="B759" s="27" t="str">
        <f>"16.1406"</f>
        <v>16.1406</v>
      </c>
      <c r="C759" s="64" t="s">
        <v>3342</v>
      </c>
      <c r="D759" s="27" t="s">
        <v>2229</v>
      </c>
      <c r="E759" s="27" t="s">
        <v>2232</v>
      </c>
      <c r="F759" s="27" t="str">
        <f>"16.1406"</f>
        <v>16.1406</v>
      </c>
      <c r="G759" s="27" t="s">
        <v>3342</v>
      </c>
      <c r="H759" s="65" t="str">
        <f t="shared" si="33"/>
        <v>No Change</v>
      </c>
      <c r="I759" s="65" t="str">
        <f t="shared" si="34"/>
        <v>161406</v>
      </c>
      <c r="J759" s="65" t="str">
        <f t="shared" si="35"/>
        <v>161406</v>
      </c>
    </row>
    <row r="760" spans="1:10" x14ac:dyDescent="0.3">
      <c r="A760" s="27" t="s">
        <v>3343</v>
      </c>
      <c r="B760" s="27" t="str">
        <f>"16.1407"</f>
        <v>16.1407</v>
      </c>
      <c r="C760" s="64" t="s">
        <v>3344</v>
      </c>
      <c r="D760" s="27" t="s">
        <v>2229</v>
      </c>
      <c r="E760" s="27" t="s">
        <v>2232</v>
      </c>
      <c r="F760" s="27" t="str">
        <f>"16.1407"</f>
        <v>16.1407</v>
      </c>
      <c r="G760" s="27" t="s">
        <v>3344</v>
      </c>
      <c r="H760" s="65" t="str">
        <f t="shared" si="33"/>
        <v>No Change</v>
      </c>
      <c r="I760" s="65" t="str">
        <f t="shared" si="34"/>
        <v>161407</v>
      </c>
      <c r="J760" s="65" t="str">
        <f t="shared" si="35"/>
        <v>161407</v>
      </c>
    </row>
    <row r="761" spans="1:10" x14ac:dyDescent="0.3">
      <c r="A761" s="27" t="s">
        <v>3345</v>
      </c>
      <c r="B761" s="27" t="str">
        <f>"16.1408"</f>
        <v>16.1408</v>
      </c>
      <c r="C761" s="64" t="s">
        <v>3346</v>
      </c>
      <c r="D761" s="27" t="s">
        <v>2229</v>
      </c>
      <c r="E761" s="27" t="s">
        <v>2232</v>
      </c>
      <c r="F761" s="27" t="str">
        <f>"16.1408"</f>
        <v>16.1408</v>
      </c>
      <c r="G761" s="27" t="s">
        <v>3346</v>
      </c>
      <c r="H761" s="65" t="str">
        <f t="shared" si="33"/>
        <v>No Change</v>
      </c>
      <c r="I761" s="65" t="str">
        <f t="shared" si="34"/>
        <v>161408</v>
      </c>
      <c r="J761" s="65" t="str">
        <f t="shared" si="35"/>
        <v>161408</v>
      </c>
    </row>
    <row r="762" spans="1:10" x14ac:dyDescent="0.3">
      <c r="A762" s="27" t="s">
        <v>1869</v>
      </c>
      <c r="D762" s="27" t="s">
        <v>2255</v>
      </c>
      <c r="E762" s="27" t="s">
        <v>2232</v>
      </c>
      <c r="F762" s="27" t="str">
        <f>"16.1409"</f>
        <v>16.1409</v>
      </c>
      <c r="G762" s="27" t="s">
        <v>3347</v>
      </c>
      <c r="H762" s="65" t="str">
        <f t="shared" si="33"/>
        <v>Other</v>
      </c>
      <c r="I762" s="65" t="str">
        <f t="shared" si="34"/>
        <v/>
      </c>
      <c r="J762" s="65" t="str">
        <f t="shared" si="35"/>
        <v>161409</v>
      </c>
    </row>
    <row r="763" spans="1:10" ht="28.8" x14ac:dyDescent="0.3">
      <c r="A763" s="27" t="s">
        <v>3348</v>
      </c>
      <c r="B763" s="27" t="str">
        <f>"16.1499"</f>
        <v>16.1499</v>
      </c>
      <c r="C763" s="64" t="s">
        <v>3349</v>
      </c>
      <c r="D763" s="27" t="s">
        <v>2229</v>
      </c>
      <c r="E763" s="27" t="s">
        <v>2232</v>
      </c>
      <c r="F763" s="27" t="str">
        <f>"16.1499"</f>
        <v>16.1499</v>
      </c>
      <c r="G763" s="27" t="s">
        <v>3349</v>
      </c>
      <c r="H763" s="65" t="str">
        <f t="shared" si="33"/>
        <v>No Change</v>
      </c>
      <c r="I763" s="65" t="str">
        <f t="shared" si="34"/>
        <v>161499</v>
      </c>
      <c r="J763" s="65" t="str">
        <f t="shared" si="35"/>
        <v>161499</v>
      </c>
    </row>
    <row r="764" spans="1:10" ht="28.8" x14ac:dyDescent="0.3">
      <c r="A764" s="27" t="s">
        <v>1869</v>
      </c>
      <c r="B764" s="27" t="str">
        <f>"16.15"</f>
        <v>16.15</v>
      </c>
      <c r="C764" s="64" t="s">
        <v>3350</v>
      </c>
      <c r="D764" s="27" t="s">
        <v>2229</v>
      </c>
      <c r="E764" s="27" t="s">
        <v>2232</v>
      </c>
      <c r="F764" s="27" t="str">
        <f>"16.15"</f>
        <v>16.15</v>
      </c>
      <c r="G764" s="27" t="s">
        <v>3350</v>
      </c>
      <c r="H764" s="65" t="str">
        <f t="shared" si="33"/>
        <v>No Change</v>
      </c>
      <c r="I764" s="65" t="str">
        <f t="shared" si="34"/>
        <v/>
      </c>
      <c r="J764" s="65" t="str">
        <f t="shared" si="35"/>
        <v/>
      </c>
    </row>
    <row r="765" spans="1:10" x14ac:dyDescent="0.3">
      <c r="A765" s="27" t="s">
        <v>3351</v>
      </c>
      <c r="B765" s="27" t="str">
        <f>"16.1501"</f>
        <v>16.1501</v>
      </c>
      <c r="C765" s="64" t="s">
        <v>3352</v>
      </c>
      <c r="D765" s="27" t="s">
        <v>2229</v>
      </c>
      <c r="E765" s="27" t="s">
        <v>2232</v>
      </c>
      <c r="F765" s="27" t="str">
        <f>"16.1501"</f>
        <v>16.1501</v>
      </c>
      <c r="G765" s="27" t="s">
        <v>3352</v>
      </c>
      <c r="H765" s="65" t="str">
        <f t="shared" si="33"/>
        <v>No Change</v>
      </c>
      <c r="I765" s="65" t="str">
        <f t="shared" si="34"/>
        <v>161501</v>
      </c>
      <c r="J765" s="65" t="str">
        <f t="shared" si="35"/>
        <v>161501</v>
      </c>
    </row>
    <row r="766" spans="1:10" x14ac:dyDescent="0.3">
      <c r="A766" s="27" t="s">
        <v>3353</v>
      </c>
      <c r="B766" s="27" t="str">
        <f>"16.1502"</f>
        <v>16.1502</v>
      </c>
      <c r="C766" s="64" t="s">
        <v>3354</v>
      </c>
      <c r="D766" s="27" t="s">
        <v>2229</v>
      </c>
      <c r="E766" s="27" t="s">
        <v>2232</v>
      </c>
      <c r="F766" s="27" t="str">
        <f>"16.1502"</f>
        <v>16.1502</v>
      </c>
      <c r="G766" s="27" t="s">
        <v>3354</v>
      </c>
      <c r="H766" s="65" t="str">
        <f t="shared" si="33"/>
        <v>No Change</v>
      </c>
      <c r="I766" s="65" t="str">
        <f t="shared" si="34"/>
        <v>161502</v>
      </c>
      <c r="J766" s="65" t="str">
        <f t="shared" si="35"/>
        <v>161502</v>
      </c>
    </row>
    <row r="767" spans="1:10" x14ac:dyDescent="0.3">
      <c r="A767" s="27" t="s">
        <v>3355</v>
      </c>
      <c r="B767" s="27" t="str">
        <f>"16.1503"</f>
        <v>16.1503</v>
      </c>
      <c r="C767" s="64" t="s">
        <v>3356</v>
      </c>
      <c r="D767" s="27" t="s">
        <v>2229</v>
      </c>
      <c r="E767" s="27" t="s">
        <v>2232</v>
      </c>
      <c r="F767" s="27" t="str">
        <f>"16.1503"</f>
        <v>16.1503</v>
      </c>
      <c r="G767" s="27" t="s">
        <v>3356</v>
      </c>
      <c r="H767" s="65" t="str">
        <f t="shared" si="33"/>
        <v>No Change</v>
      </c>
      <c r="I767" s="65" t="str">
        <f t="shared" si="34"/>
        <v>161503</v>
      </c>
      <c r="J767" s="65" t="str">
        <f t="shared" si="35"/>
        <v>161503</v>
      </c>
    </row>
    <row r="768" spans="1:10" x14ac:dyDescent="0.3">
      <c r="A768" s="27" t="s">
        <v>3357</v>
      </c>
      <c r="B768" s="27" t="str">
        <f>"16.1504"</f>
        <v>16.1504</v>
      </c>
      <c r="C768" s="64" t="s">
        <v>3358</v>
      </c>
      <c r="D768" s="27" t="s">
        <v>2229</v>
      </c>
      <c r="E768" s="27" t="s">
        <v>2232</v>
      </c>
      <c r="F768" s="27" t="str">
        <f>"16.1504"</f>
        <v>16.1504</v>
      </c>
      <c r="G768" s="27" t="s">
        <v>3358</v>
      </c>
      <c r="H768" s="65" t="str">
        <f t="shared" si="33"/>
        <v>No Change</v>
      </c>
      <c r="I768" s="65" t="str">
        <f t="shared" si="34"/>
        <v>161504</v>
      </c>
      <c r="J768" s="65" t="str">
        <f t="shared" si="35"/>
        <v>161504</v>
      </c>
    </row>
    <row r="769" spans="1:10" ht="28.8" x14ac:dyDescent="0.3">
      <c r="A769" s="27" t="s">
        <v>3359</v>
      </c>
      <c r="B769" s="27" t="str">
        <f>"16.1599"</f>
        <v>16.1599</v>
      </c>
      <c r="C769" s="64" t="s">
        <v>3360</v>
      </c>
      <c r="D769" s="27" t="s">
        <v>2229</v>
      </c>
      <c r="E769" s="27" t="s">
        <v>2232</v>
      </c>
      <c r="F769" s="27" t="str">
        <f>"16.1599"</f>
        <v>16.1599</v>
      </c>
      <c r="G769" s="27" t="s">
        <v>3360</v>
      </c>
      <c r="H769" s="65" t="str">
        <f t="shared" si="33"/>
        <v>No Change</v>
      </c>
      <c r="I769" s="65" t="str">
        <f t="shared" si="34"/>
        <v>161599</v>
      </c>
      <c r="J769" s="65" t="str">
        <f t="shared" si="35"/>
        <v>161599</v>
      </c>
    </row>
    <row r="770" spans="1:10" x14ac:dyDescent="0.3">
      <c r="A770" s="27" t="s">
        <v>1869</v>
      </c>
      <c r="B770" s="27" t="str">
        <f>"16.16"</f>
        <v>16.16</v>
      </c>
      <c r="C770" s="64" t="s">
        <v>3361</v>
      </c>
      <c r="D770" s="27" t="s">
        <v>2229</v>
      </c>
      <c r="E770" s="27" t="s">
        <v>2232</v>
      </c>
      <c r="F770" s="27" t="str">
        <f>"16.16"</f>
        <v>16.16</v>
      </c>
      <c r="G770" s="27" t="s">
        <v>3361</v>
      </c>
      <c r="H770" s="65" t="str">
        <f t="shared" si="33"/>
        <v>No Change</v>
      </c>
      <c r="I770" s="65" t="str">
        <f t="shared" si="34"/>
        <v/>
      </c>
      <c r="J770" s="65" t="str">
        <f t="shared" si="35"/>
        <v/>
      </c>
    </row>
    <row r="771" spans="1:10" x14ac:dyDescent="0.3">
      <c r="A771" s="27" t="s">
        <v>3362</v>
      </c>
      <c r="B771" s="27" t="str">
        <f>"16.1601"</f>
        <v>16.1601</v>
      </c>
      <c r="C771" s="64" t="s">
        <v>3363</v>
      </c>
      <c r="D771" s="27" t="s">
        <v>2229</v>
      </c>
      <c r="E771" s="27" t="s">
        <v>2232</v>
      </c>
      <c r="F771" s="27" t="str">
        <f>"16.1601"</f>
        <v>16.1601</v>
      </c>
      <c r="G771" s="27" t="s">
        <v>3363</v>
      </c>
      <c r="H771" s="65" t="str">
        <f t="shared" ref="H771:H834" si="36">IF(I771=J771,"No Change","Other")</f>
        <v>No Change</v>
      </c>
      <c r="I771" s="65" t="str">
        <f t="shared" ref="I771:I834" si="37">SUBSTITUTE(IF(SUM(LEN(B771))&lt;7,"",B771),".","")</f>
        <v>161601</v>
      </c>
      <c r="J771" s="65" t="str">
        <f t="shared" ref="J771:J834" si="38">SUBSTITUTE(IF(SUM(LEN(F771))&lt;7,"",F771),".","")</f>
        <v>161601</v>
      </c>
    </row>
    <row r="772" spans="1:10" x14ac:dyDescent="0.3">
      <c r="A772" s="27" t="s">
        <v>3364</v>
      </c>
      <c r="B772" s="27" t="str">
        <f>"16.1602"</f>
        <v>16.1602</v>
      </c>
      <c r="C772" s="64" t="s">
        <v>3365</v>
      </c>
      <c r="D772" s="27" t="s">
        <v>2229</v>
      </c>
      <c r="E772" s="27" t="s">
        <v>2232</v>
      </c>
      <c r="F772" s="27" t="str">
        <f>"16.1602"</f>
        <v>16.1602</v>
      </c>
      <c r="G772" s="27" t="s">
        <v>3365</v>
      </c>
      <c r="H772" s="65" t="str">
        <f t="shared" si="36"/>
        <v>No Change</v>
      </c>
      <c r="I772" s="65" t="str">
        <f t="shared" si="37"/>
        <v>161602</v>
      </c>
      <c r="J772" s="65" t="str">
        <f t="shared" si="38"/>
        <v>161602</v>
      </c>
    </row>
    <row r="773" spans="1:10" x14ac:dyDescent="0.3">
      <c r="A773" s="27" t="s">
        <v>3366</v>
      </c>
      <c r="B773" s="27" t="str">
        <f>"16.1603"</f>
        <v>16.1603</v>
      </c>
      <c r="C773" s="64" t="s">
        <v>3367</v>
      </c>
      <c r="D773" s="27" t="s">
        <v>2229</v>
      </c>
      <c r="E773" s="27" t="s">
        <v>2232</v>
      </c>
      <c r="F773" s="27" t="str">
        <f>"16.1603"</f>
        <v>16.1603</v>
      </c>
      <c r="G773" s="27" t="s">
        <v>3367</v>
      </c>
      <c r="H773" s="65" t="str">
        <f t="shared" si="36"/>
        <v>No Change</v>
      </c>
      <c r="I773" s="65" t="str">
        <f t="shared" si="37"/>
        <v>161603</v>
      </c>
      <c r="J773" s="65" t="str">
        <f t="shared" si="38"/>
        <v>161603</v>
      </c>
    </row>
    <row r="774" spans="1:10" x14ac:dyDescent="0.3">
      <c r="A774" s="27" t="s">
        <v>3368</v>
      </c>
      <c r="B774" s="27" t="str">
        <f>"16.1699"</f>
        <v>16.1699</v>
      </c>
      <c r="C774" s="64" t="s">
        <v>3369</v>
      </c>
      <c r="D774" s="27" t="s">
        <v>2229</v>
      </c>
      <c r="E774" s="27" t="s">
        <v>2232</v>
      </c>
      <c r="F774" s="27" t="str">
        <f>"16.1699"</f>
        <v>16.1699</v>
      </c>
      <c r="G774" s="27" t="s">
        <v>3369</v>
      </c>
      <c r="H774" s="65" t="str">
        <f t="shared" si="36"/>
        <v>No Change</v>
      </c>
      <c r="I774" s="65" t="str">
        <f t="shared" si="37"/>
        <v>161699</v>
      </c>
      <c r="J774" s="65" t="str">
        <f t="shared" si="38"/>
        <v>161699</v>
      </c>
    </row>
    <row r="775" spans="1:10" x14ac:dyDescent="0.3">
      <c r="A775" s="27" t="s">
        <v>1869</v>
      </c>
      <c r="D775" s="27" t="s">
        <v>2255</v>
      </c>
      <c r="E775" s="27" t="s">
        <v>2232</v>
      </c>
      <c r="F775" s="27" t="str">
        <f>"16.17"</f>
        <v>16.17</v>
      </c>
      <c r="G775" s="27" t="s">
        <v>3370</v>
      </c>
      <c r="H775" s="65" t="str">
        <f t="shared" si="36"/>
        <v>No Change</v>
      </c>
      <c r="I775" s="65" t="str">
        <f t="shared" si="37"/>
        <v/>
      </c>
      <c r="J775" s="65" t="str">
        <f t="shared" si="38"/>
        <v/>
      </c>
    </row>
    <row r="776" spans="1:10" x14ac:dyDescent="0.3">
      <c r="A776" s="27" t="s">
        <v>1869</v>
      </c>
      <c r="D776" s="27" t="s">
        <v>2255</v>
      </c>
      <c r="E776" s="27" t="s">
        <v>2232</v>
      </c>
      <c r="F776" s="27" t="str">
        <f>"16.1701"</f>
        <v>16.1701</v>
      </c>
      <c r="G776" s="27" t="s">
        <v>3371</v>
      </c>
      <c r="H776" s="65" t="str">
        <f t="shared" si="36"/>
        <v>Other</v>
      </c>
      <c r="I776" s="65" t="str">
        <f t="shared" si="37"/>
        <v/>
      </c>
      <c r="J776" s="65" t="str">
        <f t="shared" si="38"/>
        <v>161701</v>
      </c>
    </row>
    <row r="777" spans="1:10" x14ac:dyDescent="0.3">
      <c r="A777" s="27" t="s">
        <v>1869</v>
      </c>
      <c r="D777" s="27" t="s">
        <v>2255</v>
      </c>
      <c r="E777" s="27" t="s">
        <v>2232</v>
      </c>
      <c r="F777" s="27" t="str">
        <f>"16.18"</f>
        <v>16.18</v>
      </c>
      <c r="G777" s="27" t="s">
        <v>3372</v>
      </c>
      <c r="H777" s="65" t="str">
        <f t="shared" si="36"/>
        <v>No Change</v>
      </c>
      <c r="I777" s="65" t="str">
        <f t="shared" si="37"/>
        <v/>
      </c>
      <c r="J777" s="65" t="str">
        <f t="shared" si="38"/>
        <v/>
      </c>
    </row>
    <row r="778" spans="1:10" x14ac:dyDescent="0.3">
      <c r="A778" s="27" t="s">
        <v>1869</v>
      </c>
      <c r="D778" s="27" t="s">
        <v>2255</v>
      </c>
      <c r="E778" s="27" t="s">
        <v>2232</v>
      </c>
      <c r="F778" s="27" t="str">
        <f>"16.1801"</f>
        <v>16.1801</v>
      </c>
      <c r="G778" s="27" t="s">
        <v>3373</v>
      </c>
      <c r="H778" s="65" t="str">
        <f t="shared" si="36"/>
        <v>Other</v>
      </c>
      <c r="I778" s="65" t="str">
        <f t="shared" si="37"/>
        <v/>
      </c>
      <c r="J778" s="65" t="str">
        <f t="shared" si="38"/>
        <v>161801</v>
      </c>
    </row>
    <row r="779" spans="1:10" x14ac:dyDescent="0.3">
      <c r="A779" s="27" t="s">
        <v>1869</v>
      </c>
      <c r="B779" s="27" t="str">
        <f>"16.99"</f>
        <v>16.99</v>
      </c>
      <c r="C779" s="64" t="s">
        <v>3374</v>
      </c>
      <c r="D779" s="27" t="s">
        <v>2229</v>
      </c>
      <c r="E779" s="27" t="s">
        <v>2232</v>
      </c>
      <c r="F779" s="27" t="str">
        <f>"16.99"</f>
        <v>16.99</v>
      </c>
      <c r="G779" s="27" t="s">
        <v>3374</v>
      </c>
      <c r="H779" s="65" t="str">
        <f t="shared" si="36"/>
        <v>No Change</v>
      </c>
      <c r="I779" s="65" t="str">
        <f t="shared" si="37"/>
        <v/>
      </c>
      <c r="J779" s="65" t="str">
        <f t="shared" si="38"/>
        <v/>
      </c>
    </row>
    <row r="780" spans="1:10" x14ac:dyDescent="0.3">
      <c r="A780" s="27" t="s">
        <v>3375</v>
      </c>
      <c r="B780" s="27" t="str">
        <f>"16.9999"</f>
        <v>16.9999</v>
      </c>
      <c r="C780" s="64" t="s">
        <v>3374</v>
      </c>
      <c r="D780" s="27" t="s">
        <v>2229</v>
      </c>
      <c r="E780" s="27" t="s">
        <v>2232</v>
      </c>
      <c r="F780" s="27" t="str">
        <f>"16.9999"</f>
        <v>16.9999</v>
      </c>
      <c r="G780" s="27" t="s">
        <v>3374</v>
      </c>
      <c r="H780" s="65" t="str">
        <f t="shared" si="36"/>
        <v>No Change</v>
      </c>
      <c r="I780" s="65" t="str">
        <f t="shared" si="37"/>
        <v>169999</v>
      </c>
      <c r="J780" s="65" t="str">
        <f t="shared" si="38"/>
        <v>169999</v>
      </c>
    </row>
    <row r="781" spans="1:10" x14ac:dyDescent="0.3">
      <c r="A781" s="27" t="s">
        <v>1869</v>
      </c>
      <c r="B781" s="27" t="str">
        <f>"19"</f>
        <v>19</v>
      </c>
      <c r="C781" s="64" t="s">
        <v>3376</v>
      </c>
      <c r="D781" s="27" t="s">
        <v>2229</v>
      </c>
      <c r="E781" s="27" t="s">
        <v>2232</v>
      </c>
      <c r="F781" s="27" t="str">
        <f>"19"</f>
        <v>19</v>
      </c>
      <c r="G781" s="27" t="s">
        <v>3376</v>
      </c>
      <c r="H781" s="65" t="str">
        <f t="shared" si="36"/>
        <v>No Change</v>
      </c>
      <c r="I781" s="65" t="str">
        <f t="shared" si="37"/>
        <v/>
      </c>
      <c r="J781" s="65" t="str">
        <f t="shared" si="38"/>
        <v/>
      </c>
    </row>
    <row r="782" spans="1:10" x14ac:dyDescent="0.3">
      <c r="A782" s="27" t="s">
        <v>1869</v>
      </c>
      <c r="B782" s="27" t="str">
        <f>"19.00"</f>
        <v>19.00</v>
      </c>
      <c r="C782" s="64" t="s">
        <v>3377</v>
      </c>
      <c r="D782" s="27" t="s">
        <v>2274</v>
      </c>
      <c r="E782" s="27" t="s">
        <v>2232</v>
      </c>
      <c r="F782" s="27" t="str">
        <f>"19.10"</f>
        <v>19.10</v>
      </c>
      <c r="G782" s="27" t="s">
        <v>3377</v>
      </c>
      <c r="H782" s="65" t="str">
        <f t="shared" si="36"/>
        <v>No Change</v>
      </c>
      <c r="I782" s="65" t="str">
        <f t="shared" si="37"/>
        <v/>
      </c>
      <c r="J782" s="65" t="str">
        <f t="shared" si="38"/>
        <v/>
      </c>
    </row>
    <row r="783" spans="1:10" x14ac:dyDescent="0.3">
      <c r="A783" s="27" t="s">
        <v>3378</v>
      </c>
      <c r="B783" s="27" t="str">
        <f>"19.0000"</f>
        <v>19.0000</v>
      </c>
      <c r="C783" s="64" t="s">
        <v>3377</v>
      </c>
      <c r="D783" s="27" t="s">
        <v>2274</v>
      </c>
      <c r="E783" s="27" t="s">
        <v>2232</v>
      </c>
      <c r="F783" s="27" t="str">
        <f>"19.1001"</f>
        <v>19.1001</v>
      </c>
      <c r="G783" s="27" t="s">
        <v>3377</v>
      </c>
      <c r="H783" s="65" t="str">
        <f t="shared" si="36"/>
        <v>Other</v>
      </c>
      <c r="I783" s="65" t="str">
        <f t="shared" si="37"/>
        <v>190000</v>
      </c>
      <c r="J783" s="65" t="str">
        <f t="shared" si="38"/>
        <v>191001</v>
      </c>
    </row>
    <row r="784" spans="1:10" x14ac:dyDescent="0.3">
      <c r="A784" s="27" t="s">
        <v>1869</v>
      </c>
      <c r="B784" s="27" t="str">
        <f>"19.01"</f>
        <v>19.01</v>
      </c>
      <c r="C784" s="64" t="s">
        <v>3379</v>
      </c>
      <c r="D784" s="27" t="s">
        <v>2229</v>
      </c>
      <c r="E784" s="27" t="s">
        <v>2232</v>
      </c>
      <c r="F784" s="27" t="str">
        <f>"19.01"</f>
        <v>19.01</v>
      </c>
      <c r="G784" s="27" t="s">
        <v>3379</v>
      </c>
      <c r="H784" s="65" t="str">
        <f t="shared" si="36"/>
        <v>No Change</v>
      </c>
      <c r="I784" s="65" t="str">
        <f t="shared" si="37"/>
        <v/>
      </c>
      <c r="J784" s="65" t="str">
        <f t="shared" si="38"/>
        <v/>
      </c>
    </row>
    <row r="785" spans="1:10" x14ac:dyDescent="0.3">
      <c r="A785" s="27" t="s">
        <v>3380</v>
      </c>
      <c r="B785" s="27" t="str">
        <f>"19.0101"</f>
        <v>19.0101</v>
      </c>
      <c r="C785" s="64" t="s">
        <v>3379</v>
      </c>
      <c r="D785" s="27" t="s">
        <v>2229</v>
      </c>
      <c r="E785" s="27" t="s">
        <v>2232</v>
      </c>
      <c r="F785" s="27" t="str">
        <f>"19.0101"</f>
        <v>19.0101</v>
      </c>
      <c r="G785" s="27" t="s">
        <v>3379</v>
      </c>
      <c r="H785" s="65" t="str">
        <f t="shared" si="36"/>
        <v>No Change</v>
      </c>
      <c r="I785" s="65" t="str">
        <f t="shared" si="37"/>
        <v>190101</v>
      </c>
      <c r="J785" s="65" t="str">
        <f t="shared" si="38"/>
        <v>190101</v>
      </c>
    </row>
    <row r="786" spans="1:10" ht="28.8" x14ac:dyDescent="0.3">
      <c r="A786" s="27" t="s">
        <v>1869</v>
      </c>
      <c r="B786" s="27" t="str">
        <f>"19.02"</f>
        <v>19.02</v>
      </c>
      <c r="C786" s="64" t="s">
        <v>3381</v>
      </c>
      <c r="D786" s="27" t="s">
        <v>2229</v>
      </c>
      <c r="E786" s="27" t="s">
        <v>2232</v>
      </c>
      <c r="F786" s="27" t="str">
        <f>"19.02"</f>
        <v>19.02</v>
      </c>
      <c r="G786" s="27" t="s">
        <v>3381</v>
      </c>
      <c r="H786" s="65" t="str">
        <f t="shared" si="36"/>
        <v>No Change</v>
      </c>
      <c r="I786" s="65" t="str">
        <f t="shared" si="37"/>
        <v/>
      </c>
      <c r="J786" s="65" t="str">
        <f t="shared" si="38"/>
        <v/>
      </c>
    </row>
    <row r="787" spans="1:10" x14ac:dyDescent="0.3">
      <c r="A787" s="27" t="s">
        <v>3382</v>
      </c>
      <c r="B787" s="27" t="str">
        <f>"19.0201"</f>
        <v>19.0201</v>
      </c>
      <c r="C787" s="64" t="s">
        <v>3383</v>
      </c>
      <c r="D787" s="27" t="s">
        <v>2229</v>
      </c>
      <c r="E787" s="27" t="s">
        <v>2232</v>
      </c>
      <c r="F787" s="27" t="str">
        <f>"19.0201"</f>
        <v>19.0201</v>
      </c>
      <c r="G787" s="27" t="s">
        <v>3383</v>
      </c>
      <c r="H787" s="65" t="str">
        <f t="shared" si="36"/>
        <v>No Change</v>
      </c>
      <c r="I787" s="65" t="str">
        <f t="shared" si="37"/>
        <v>190201</v>
      </c>
      <c r="J787" s="65" t="str">
        <f t="shared" si="38"/>
        <v>190201</v>
      </c>
    </row>
    <row r="788" spans="1:10" ht="28.8" x14ac:dyDescent="0.3">
      <c r="A788" s="27" t="s">
        <v>3384</v>
      </c>
      <c r="B788" s="27" t="str">
        <f>"19.0202"</f>
        <v>19.0202</v>
      </c>
      <c r="C788" s="64" t="s">
        <v>3385</v>
      </c>
      <c r="D788" s="27" t="s">
        <v>2229</v>
      </c>
      <c r="E788" s="27" t="s">
        <v>2232</v>
      </c>
      <c r="F788" s="27" t="str">
        <f>"19.0202"</f>
        <v>19.0202</v>
      </c>
      <c r="G788" s="27" t="s">
        <v>3385</v>
      </c>
      <c r="H788" s="65" t="str">
        <f t="shared" si="36"/>
        <v>No Change</v>
      </c>
      <c r="I788" s="65" t="str">
        <f t="shared" si="37"/>
        <v>190202</v>
      </c>
      <c r="J788" s="65" t="str">
        <f t="shared" si="38"/>
        <v>190202</v>
      </c>
    </row>
    <row r="789" spans="1:10" x14ac:dyDescent="0.3">
      <c r="A789" s="27" t="s">
        <v>3386</v>
      </c>
      <c r="B789" s="27" t="str">
        <f>"19.0203"</f>
        <v>19.0203</v>
      </c>
      <c r="C789" s="64" t="s">
        <v>3387</v>
      </c>
      <c r="D789" s="27" t="s">
        <v>2229</v>
      </c>
      <c r="E789" s="27" t="s">
        <v>2232</v>
      </c>
      <c r="F789" s="27" t="str">
        <f>"19.0203"</f>
        <v>19.0203</v>
      </c>
      <c r="G789" s="27" t="s">
        <v>3387</v>
      </c>
      <c r="H789" s="65" t="str">
        <f t="shared" si="36"/>
        <v>No Change</v>
      </c>
      <c r="I789" s="65" t="str">
        <f t="shared" si="37"/>
        <v>190203</v>
      </c>
      <c r="J789" s="65" t="str">
        <f t="shared" si="38"/>
        <v>190203</v>
      </c>
    </row>
    <row r="790" spans="1:10" ht="28.8" x14ac:dyDescent="0.3">
      <c r="A790" s="27" t="s">
        <v>3388</v>
      </c>
      <c r="B790" s="27" t="str">
        <f>"19.0299"</f>
        <v>19.0299</v>
      </c>
      <c r="C790" s="64" t="s">
        <v>3389</v>
      </c>
      <c r="D790" s="27" t="s">
        <v>2229</v>
      </c>
      <c r="E790" s="27" t="s">
        <v>2232</v>
      </c>
      <c r="F790" s="27" t="str">
        <f>"19.0299"</f>
        <v>19.0299</v>
      </c>
      <c r="G790" s="27" t="s">
        <v>3389</v>
      </c>
      <c r="H790" s="65" t="str">
        <f t="shared" si="36"/>
        <v>No Change</v>
      </c>
      <c r="I790" s="65" t="str">
        <f t="shared" si="37"/>
        <v>190299</v>
      </c>
      <c r="J790" s="65" t="str">
        <f t="shared" si="38"/>
        <v>190299</v>
      </c>
    </row>
    <row r="791" spans="1:10" x14ac:dyDescent="0.3">
      <c r="A791" s="27" t="s">
        <v>1869</v>
      </c>
      <c r="B791" s="27" t="str">
        <f>"19.04"</f>
        <v>19.04</v>
      </c>
      <c r="C791" s="64" t="s">
        <v>3390</v>
      </c>
      <c r="D791" s="27" t="s">
        <v>2229</v>
      </c>
      <c r="E791" s="27" t="s">
        <v>2232</v>
      </c>
      <c r="F791" s="27" t="str">
        <f>"19.04"</f>
        <v>19.04</v>
      </c>
      <c r="G791" s="27" t="s">
        <v>3390</v>
      </c>
      <c r="H791" s="65" t="str">
        <f t="shared" si="36"/>
        <v>No Change</v>
      </c>
      <c r="I791" s="65" t="str">
        <f t="shared" si="37"/>
        <v/>
      </c>
      <c r="J791" s="65" t="str">
        <f t="shared" si="38"/>
        <v/>
      </c>
    </row>
    <row r="792" spans="1:10" x14ac:dyDescent="0.3">
      <c r="A792" s="27" t="s">
        <v>3391</v>
      </c>
      <c r="B792" s="27" t="str">
        <f>"19.0401"</f>
        <v>19.0401</v>
      </c>
      <c r="C792" s="64" t="s">
        <v>3392</v>
      </c>
      <c r="D792" s="27" t="s">
        <v>2229</v>
      </c>
      <c r="E792" s="27" t="s">
        <v>2232</v>
      </c>
      <c r="F792" s="27" t="str">
        <f>"19.0401"</f>
        <v>19.0401</v>
      </c>
      <c r="G792" s="27" t="s">
        <v>3392</v>
      </c>
      <c r="H792" s="65" t="str">
        <f t="shared" si="36"/>
        <v>No Change</v>
      </c>
      <c r="I792" s="65" t="str">
        <f t="shared" si="37"/>
        <v>190401</v>
      </c>
      <c r="J792" s="65" t="str">
        <f t="shared" si="38"/>
        <v>190401</v>
      </c>
    </row>
    <row r="793" spans="1:10" x14ac:dyDescent="0.3">
      <c r="A793" s="27" t="s">
        <v>3393</v>
      </c>
      <c r="B793" s="27" t="str">
        <f>"19.0402"</f>
        <v>19.0402</v>
      </c>
      <c r="C793" s="64" t="s">
        <v>3394</v>
      </c>
      <c r="D793" s="27" t="s">
        <v>2229</v>
      </c>
      <c r="E793" s="27" t="s">
        <v>2232</v>
      </c>
      <c r="F793" s="27" t="str">
        <f>"19.0402"</f>
        <v>19.0402</v>
      </c>
      <c r="G793" s="27" t="s">
        <v>3394</v>
      </c>
      <c r="H793" s="65" t="str">
        <f t="shared" si="36"/>
        <v>No Change</v>
      </c>
      <c r="I793" s="65" t="str">
        <f t="shared" si="37"/>
        <v>190402</v>
      </c>
      <c r="J793" s="65" t="str">
        <f t="shared" si="38"/>
        <v>190402</v>
      </c>
    </row>
    <row r="794" spans="1:10" x14ac:dyDescent="0.3">
      <c r="A794" s="27" t="s">
        <v>3395</v>
      </c>
      <c r="B794" s="27" t="str">
        <f>"19.0403"</f>
        <v>19.0403</v>
      </c>
      <c r="C794" s="64" t="s">
        <v>3396</v>
      </c>
      <c r="D794" s="27" t="s">
        <v>2229</v>
      </c>
      <c r="E794" s="27" t="s">
        <v>2232</v>
      </c>
      <c r="F794" s="27" t="str">
        <f>"19.0403"</f>
        <v>19.0403</v>
      </c>
      <c r="G794" s="27" t="s">
        <v>3396</v>
      </c>
      <c r="H794" s="65" t="str">
        <f t="shared" si="36"/>
        <v>No Change</v>
      </c>
      <c r="I794" s="65" t="str">
        <f t="shared" si="37"/>
        <v>190403</v>
      </c>
      <c r="J794" s="65" t="str">
        <f t="shared" si="38"/>
        <v>190403</v>
      </c>
    </row>
    <row r="795" spans="1:10" x14ac:dyDescent="0.3">
      <c r="A795" s="27" t="s">
        <v>3397</v>
      </c>
      <c r="B795" s="27" t="str">
        <f>"19.0499"</f>
        <v>19.0499</v>
      </c>
      <c r="C795" s="64" t="s">
        <v>3398</v>
      </c>
      <c r="D795" s="27" t="s">
        <v>2229</v>
      </c>
      <c r="E795" s="27" t="s">
        <v>2232</v>
      </c>
      <c r="F795" s="27" t="str">
        <f>"19.0499"</f>
        <v>19.0499</v>
      </c>
      <c r="G795" s="27" t="s">
        <v>3398</v>
      </c>
      <c r="H795" s="65" t="str">
        <f t="shared" si="36"/>
        <v>No Change</v>
      </c>
      <c r="I795" s="65" t="str">
        <f t="shared" si="37"/>
        <v>190499</v>
      </c>
      <c r="J795" s="65" t="str">
        <f t="shared" si="38"/>
        <v>190499</v>
      </c>
    </row>
    <row r="796" spans="1:10" x14ac:dyDescent="0.3">
      <c r="A796" s="27" t="s">
        <v>1869</v>
      </c>
      <c r="B796" s="27" t="str">
        <f>"19.05"</f>
        <v>19.05</v>
      </c>
      <c r="C796" s="64" t="s">
        <v>3399</v>
      </c>
      <c r="D796" s="27" t="s">
        <v>2229</v>
      </c>
      <c r="E796" s="27" t="s">
        <v>2232</v>
      </c>
      <c r="F796" s="27" t="str">
        <f>"19.05"</f>
        <v>19.05</v>
      </c>
      <c r="G796" s="27" t="s">
        <v>3399</v>
      </c>
      <c r="H796" s="65" t="str">
        <f t="shared" si="36"/>
        <v>No Change</v>
      </c>
      <c r="I796" s="65" t="str">
        <f t="shared" si="37"/>
        <v/>
      </c>
      <c r="J796" s="65" t="str">
        <f t="shared" si="38"/>
        <v/>
      </c>
    </row>
    <row r="797" spans="1:10" x14ac:dyDescent="0.3">
      <c r="A797" s="27" t="s">
        <v>3400</v>
      </c>
      <c r="B797" s="27" t="str">
        <f>"19.0501"</f>
        <v>19.0501</v>
      </c>
      <c r="C797" s="64" t="s">
        <v>3401</v>
      </c>
      <c r="D797" s="27" t="s">
        <v>2229</v>
      </c>
      <c r="E797" s="27" t="s">
        <v>2232</v>
      </c>
      <c r="F797" s="27" t="str">
        <f>"19.0501"</f>
        <v>19.0501</v>
      </c>
      <c r="G797" s="27" t="s">
        <v>3401</v>
      </c>
      <c r="H797" s="65" t="str">
        <f t="shared" si="36"/>
        <v>No Change</v>
      </c>
      <c r="I797" s="65" t="str">
        <f t="shared" si="37"/>
        <v>190501</v>
      </c>
      <c r="J797" s="65" t="str">
        <f t="shared" si="38"/>
        <v>190501</v>
      </c>
    </row>
    <row r="798" spans="1:10" x14ac:dyDescent="0.3">
      <c r="A798" s="27" t="s">
        <v>3402</v>
      </c>
      <c r="B798" s="27" t="str">
        <f>"19.0504"</f>
        <v>19.0504</v>
      </c>
      <c r="C798" s="64" t="s">
        <v>3403</v>
      </c>
      <c r="D798" s="27" t="s">
        <v>2229</v>
      </c>
      <c r="E798" s="27" t="s">
        <v>2232</v>
      </c>
      <c r="F798" s="27" t="str">
        <f>"19.0504"</f>
        <v>19.0504</v>
      </c>
      <c r="G798" s="27" t="s">
        <v>3403</v>
      </c>
      <c r="H798" s="65" t="str">
        <f t="shared" si="36"/>
        <v>No Change</v>
      </c>
      <c r="I798" s="65" t="str">
        <f t="shared" si="37"/>
        <v>190504</v>
      </c>
      <c r="J798" s="65" t="str">
        <f t="shared" si="38"/>
        <v>190504</v>
      </c>
    </row>
    <row r="799" spans="1:10" x14ac:dyDescent="0.3">
      <c r="A799" s="27" t="s">
        <v>3404</v>
      </c>
      <c r="B799" s="27" t="str">
        <f>"19.0505"</f>
        <v>19.0505</v>
      </c>
      <c r="C799" s="64" t="s">
        <v>3405</v>
      </c>
      <c r="D799" s="27" t="s">
        <v>2229</v>
      </c>
      <c r="E799" s="27" t="s">
        <v>2232</v>
      </c>
      <c r="F799" s="27" t="str">
        <f>"19.0505"</f>
        <v>19.0505</v>
      </c>
      <c r="G799" s="27" t="s">
        <v>3405</v>
      </c>
      <c r="H799" s="65" t="str">
        <f t="shared" si="36"/>
        <v>No Change</v>
      </c>
      <c r="I799" s="65" t="str">
        <f t="shared" si="37"/>
        <v>190505</v>
      </c>
      <c r="J799" s="65" t="str">
        <f t="shared" si="38"/>
        <v>190505</v>
      </c>
    </row>
    <row r="800" spans="1:10" x14ac:dyDescent="0.3">
      <c r="A800" s="27" t="s">
        <v>3406</v>
      </c>
      <c r="B800" s="27" t="str">
        <f>"19.0599"</f>
        <v>19.0599</v>
      </c>
      <c r="C800" s="64" t="s">
        <v>3407</v>
      </c>
      <c r="D800" s="27" t="s">
        <v>2229</v>
      </c>
      <c r="E800" s="27" t="s">
        <v>2232</v>
      </c>
      <c r="F800" s="27" t="str">
        <f>"19.0599"</f>
        <v>19.0599</v>
      </c>
      <c r="G800" s="27" t="s">
        <v>3407</v>
      </c>
      <c r="H800" s="65" t="str">
        <f t="shared" si="36"/>
        <v>No Change</v>
      </c>
      <c r="I800" s="65" t="str">
        <f t="shared" si="37"/>
        <v>190599</v>
      </c>
      <c r="J800" s="65" t="str">
        <f t="shared" si="38"/>
        <v>190599</v>
      </c>
    </row>
    <row r="801" spans="1:10" x14ac:dyDescent="0.3">
      <c r="A801" s="27" t="s">
        <v>1869</v>
      </c>
      <c r="B801" s="27" t="str">
        <f>"19.06"</f>
        <v>19.06</v>
      </c>
      <c r="C801" s="64" t="s">
        <v>3408</v>
      </c>
      <c r="D801" s="27" t="s">
        <v>2229</v>
      </c>
      <c r="E801" s="27" t="s">
        <v>2232</v>
      </c>
      <c r="F801" s="27" t="str">
        <f>"19.06"</f>
        <v>19.06</v>
      </c>
      <c r="G801" s="27" t="s">
        <v>3408</v>
      </c>
      <c r="H801" s="65" t="str">
        <f t="shared" si="36"/>
        <v>No Change</v>
      </c>
      <c r="I801" s="65" t="str">
        <f t="shared" si="37"/>
        <v/>
      </c>
      <c r="J801" s="65" t="str">
        <f t="shared" si="38"/>
        <v/>
      </c>
    </row>
    <row r="802" spans="1:10" x14ac:dyDescent="0.3">
      <c r="A802" s="27" t="s">
        <v>3409</v>
      </c>
      <c r="B802" s="27" t="str">
        <f>"19.0601"</f>
        <v>19.0601</v>
      </c>
      <c r="C802" s="64" t="s">
        <v>3410</v>
      </c>
      <c r="D802" s="27" t="s">
        <v>2229</v>
      </c>
      <c r="E802" s="27" t="s">
        <v>2232</v>
      </c>
      <c r="F802" s="27" t="str">
        <f>"19.0601"</f>
        <v>19.0601</v>
      </c>
      <c r="G802" s="27" t="s">
        <v>3410</v>
      </c>
      <c r="H802" s="65" t="str">
        <f t="shared" si="36"/>
        <v>No Change</v>
      </c>
      <c r="I802" s="65" t="str">
        <f t="shared" si="37"/>
        <v>190601</v>
      </c>
      <c r="J802" s="65" t="str">
        <f t="shared" si="38"/>
        <v>190601</v>
      </c>
    </row>
    <row r="803" spans="1:10" x14ac:dyDescent="0.3">
      <c r="A803" s="27" t="s">
        <v>3411</v>
      </c>
      <c r="B803" s="27" t="str">
        <f>"19.0604"</f>
        <v>19.0604</v>
      </c>
      <c r="C803" s="64" t="s">
        <v>3412</v>
      </c>
      <c r="D803" s="27" t="s">
        <v>2229</v>
      </c>
      <c r="E803" s="27" t="s">
        <v>2232</v>
      </c>
      <c r="F803" s="27" t="str">
        <f>"19.0604"</f>
        <v>19.0604</v>
      </c>
      <c r="G803" s="27" t="s">
        <v>3412</v>
      </c>
      <c r="H803" s="65" t="str">
        <f t="shared" si="36"/>
        <v>No Change</v>
      </c>
      <c r="I803" s="65" t="str">
        <f t="shared" si="37"/>
        <v>190604</v>
      </c>
      <c r="J803" s="65" t="str">
        <f t="shared" si="38"/>
        <v>190604</v>
      </c>
    </row>
    <row r="804" spans="1:10" x14ac:dyDescent="0.3">
      <c r="A804" s="27" t="s">
        <v>3413</v>
      </c>
      <c r="B804" s="27" t="str">
        <f>"19.0605"</f>
        <v>19.0605</v>
      </c>
      <c r="C804" s="64" t="s">
        <v>3414</v>
      </c>
      <c r="D804" s="27" t="s">
        <v>2229</v>
      </c>
      <c r="E804" s="27" t="s">
        <v>2232</v>
      </c>
      <c r="F804" s="27" t="str">
        <f>"19.0605"</f>
        <v>19.0605</v>
      </c>
      <c r="G804" s="27" t="s">
        <v>3414</v>
      </c>
      <c r="H804" s="65" t="str">
        <f t="shared" si="36"/>
        <v>No Change</v>
      </c>
      <c r="I804" s="65" t="str">
        <f t="shared" si="37"/>
        <v>190605</v>
      </c>
      <c r="J804" s="65" t="str">
        <f t="shared" si="38"/>
        <v>190605</v>
      </c>
    </row>
    <row r="805" spans="1:10" x14ac:dyDescent="0.3">
      <c r="A805" s="27" t="s">
        <v>1399</v>
      </c>
      <c r="B805" s="27" t="str">
        <f>"19.0699"</f>
        <v>19.0699</v>
      </c>
      <c r="C805" s="64" t="s">
        <v>1400</v>
      </c>
      <c r="D805" s="27" t="s">
        <v>2229</v>
      </c>
      <c r="E805" s="27" t="s">
        <v>2232</v>
      </c>
      <c r="F805" s="27" t="str">
        <f>"19.0699"</f>
        <v>19.0699</v>
      </c>
      <c r="G805" s="27" t="s">
        <v>1400</v>
      </c>
      <c r="H805" s="65" t="str">
        <f t="shared" si="36"/>
        <v>No Change</v>
      </c>
      <c r="I805" s="65" t="str">
        <f t="shared" si="37"/>
        <v>190699</v>
      </c>
      <c r="J805" s="65" t="str">
        <f t="shared" si="38"/>
        <v>190699</v>
      </c>
    </row>
    <row r="806" spans="1:10" x14ac:dyDescent="0.3">
      <c r="A806" s="27" t="s">
        <v>1869</v>
      </c>
      <c r="B806" s="27" t="str">
        <f>"19.07"</f>
        <v>19.07</v>
      </c>
      <c r="C806" s="64" t="s">
        <v>3415</v>
      </c>
      <c r="D806" s="27" t="s">
        <v>2229</v>
      </c>
      <c r="E806" s="27" t="s">
        <v>2232</v>
      </c>
      <c r="F806" s="27" t="str">
        <f>"19.07"</f>
        <v>19.07</v>
      </c>
      <c r="G806" s="27" t="s">
        <v>3415</v>
      </c>
      <c r="H806" s="65" t="str">
        <f t="shared" si="36"/>
        <v>No Change</v>
      </c>
      <c r="I806" s="65" t="str">
        <f t="shared" si="37"/>
        <v/>
      </c>
      <c r="J806" s="65" t="str">
        <f t="shared" si="38"/>
        <v/>
      </c>
    </row>
    <row r="807" spans="1:10" x14ac:dyDescent="0.3">
      <c r="A807" s="27" t="s">
        <v>3416</v>
      </c>
      <c r="B807" s="27" t="str">
        <f>"19.0701"</f>
        <v>19.0701</v>
      </c>
      <c r="C807" s="64" t="s">
        <v>3417</v>
      </c>
      <c r="D807" s="27" t="s">
        <v>2229</v>
      </c>
      <c r="E807" s="27" t="s">
        <v>2232</v>
      </c>
      <c r="F807" s="27" t="str">
        <f>"19.0701"</f>
        <v>19.0701</v>
      </c>
      <c r="G807" s="27" t="s">
        <v>3417</v>
      </c>
      <c r="H807" s="65" t="str">
        <f t="shared" si="36"/>
        <v>No Change</v>
      </c>
      <c r="I807" s="65" t="str">
        <f t="shared" si="37"/>
        <v>190701</v>
      </c>
      <c r="J807" s="65" t="str">
        <f t="shared" si="38"/>
        <v>190701</v>
      </c>
    </row>
    <row r="808" spans="1:10" x14ac:dyDescent="0.3">
      <c r="A808" s="27" t="s">
        <v>3418</v>
      </c>
      <c r="B808" s="27" t="str">
        <f>"19.0702"</f>
        <v>19.0702</v>
      </c>
      <c r="C808" s="64" t="s">
        <v>3419</v>
      </c>
      <c r="D808" s="27" t="s">
        <v>2229</v>
      </c>
      <c r="E808" s="27" t="s">
        <v>2232</v>
      </c>
      <c r="F808" s="27" t="str">
        <f>"19.0702"</f>
        <v>19.0702</v>
      </c>
      <c r="G808" s="27" t="s">
        <v>3419</v>
      </c>
      <c r="H808" s="65" t="str">
        <f t="shared" si="36"/>
        <v>No Change</v>
      </c>
      <c r="I808" s="65" t="str">
        <f t="shared" si="37"/>
        <v>190702</v>
      </c>
      <c r="J808" s="65" t="str">
        <f t="shared" si="38"/>
        <v>190702</v>
      </c>
    </row>
    <row r="809" spans="1:10" x14ac:dyDescent="0.3">
      <c r="A809" s="27" t="s">
        <v>3420</v>
      </c>
      <c r="B809" s="27" t="str">
        <f>"19.0704"</f>
        <v>19.0704</v>
      </c>
      <c r="C809" s="64" t="s">
        <v>3421</v>
      </c>
      <c r="D809" s="27" t="s">
        <v>2229</v>
      </c>
      <c r="E809" s="27" t="s">
        <v>2232</v>
      </c>
      <c r="F809" s="27" t="str">
        <f>"19.0704"</f>
        <v>19.0704</v>
      </c>
      <c r="G809" s="27" t="s">
        <v>3421</v>
      </c>
      <c r="H809" s="65" t="str">
        <f t="shared" si="36"/>
        <v>No Change</v>
      </c>
      <c r="I809" s="65" t="str">
        <f t="shared" si="37"/>
        <v>190704</v>
      </c>
      <c r="J809" s="65" t="str">
        <f t="shared" si="38"/>
        <v>190704</v>
      </c>
    </row>
    <row r="810" spans="1:10" x14ac:dyDescent="0.3">
      <c r="A810" s="27" t="s">
        <v>3422</v>
      </c>
      <c r="B810" s="27" t="str">
        <f>"19.0706"</f>
        <v>19.0706</v>
      </c>
      <c r="C810" s="64" t="s">
        <v>3423</v>
      </c>
      <c r="D810" s="27" t="s">
        <v>2229</v>
      </c>
      <c r="E810" s="27" t="s">
        <v>2232</v>
      </c>
      <c r="F810" s="27" t="str">
        <f>"19.0706"</f>
        <v>19.0706</v>
      </c>
      <c r="G810" s="27" t="s">
        <v>3423</v>
      </c>
      <c r="H810" s="65" t="str">
        <f t="shared" si="36"/>
        <v>No Change</v>
      </c>
      <c r="I810" s="65" t="str">
        <f t="shared" si="37"/>
        <v>190706</v>
      </c>
      <c r="J810" s="65" t="str">
        <f t="shared" si="38"/>
        <v>190706</v>
      </c>
    </row>
    <row r="811" spans="1:10" x14ac:dyDescent="0.3">
      <c r="A811" s="27" t="s">
        <v>3424</v>
      </c>
      <c r="B811" s="27" t="str">
        <f>"19.0707"</f>
        <v>19.0707</v>
      </c>
      <c r="C811" s="64" t="s">
        <v>3425</v>
      </c>
      <c r="D811" s="27" t="s">
        <v>2229</v>
      </c>
      <c r="E811" s="27" t="s">
        <v>2232</v>
      </c>
      <c r="F811" s="27" t="str">
        <f>"19.0707"</f>
        <v>19.0707</v>
      </c>
      <c r="G811" s="27" t="s">
        <v>3425</v>
      </c>
      <c r="H811" s="65" t="str">
        <f t="shared" si="36"/>
        <v>No Change</v>
      </c>
      <c r="I811" s="65" t="str">
        <f t="shared" si="37"/>
        <v>190707</v>
      </c>
      <c r="J811" s="65" t="str">
        <f t="shared" si="38"/>
        <v>190707</v>
      </c>
    </row>
    <row r="812" spans="1:10" x14ac:dyDescent="0.3">
      <c r="A812" s="27" t="s">
        <v>343</v>
      </c>
      <c r="B812" s="27" t="str">
        <f>"19.0708"</f>
        <v>19.0708</v>
      </c>
      <c r="C812" s="64" t="s">
        <v>344</v>
      </c>
      <c r="D812" s="27" t="s">
        <v>2229</v>
      </c>
      <c r="E812" s="27" t="s">
        <v>2232</v>
      </c>
      <c r="F812" s="27" t="str">
        <f>"19.0708"</f>
        <v>19.0708</v>
      </c>
      <c r="G812" s="27" t="s">
        <v>344</v>
      </c>
      <c r="H812" s="65" t="str">
        <f t="shared" si="36"/>
        <v>No Change</v>
      </c>
      <c r="I812" s="65" t="str">
        <f t="shared" si="37"/>
        <v>190708</v>
      </c>
      <c r="J812" s="65" t="str">
        <f t="shared" si="38"/>
        <v>190708</v>
      </c>
    </row>
    <row r="813" spans="1:10" x14ac:dyDescent="0.3">
      <c r="A813" s="27" t="s">
        <v>29</v>
      </c>
      <c r="B813" s="27" t="str">
        <f>"19.0709"</f>
        <v>19.0709</v>
      </c>
      <c r="C813" s="64" t="s">
        <v>30</v>
      </c>
      <c r="D813" s="27" t="s">
        <v>2229</v>
      </c>
      <c r="E813" s="27" t="s">
        <v>2232</v>
      </c>
      <c r="F813" s="27" t="str">
        <f>"19.0709"</f>
        <v>19.0709</v>
      </c>
      <c r="G813" s="27" t="s">
        <v>30</v>
      </c>
      <c r="H813" s="65" t="str">
        <f t="shared" si="36"/>
        <v>No Change</v>
      </c>
      <c r="I813" s="65" t="str">
        <f t="shared" si="37"/>
        <v>190709</v>
      </c>
      <c r="J813" s="65" t="str">
        <f t="shared" si="38"/>
        <v>190709</v>
      </c>
    </row>
    <row r="814" spans="1:10" x14ac:dyDescent="0.3">
      <c r="A814" s="27" t="s">
        <v>3426</v>
      </c>
      <c r="B814" s="27" t="str">
        <f>"19.0710"</f>
        <v>19.0710</v>
      </c>
      <c r="C814" s="64" t="s">
        <v>3427</v>
      </c>
      <c r="D814" s="27" t="s">
        <v>2229</v>
      </c>
      <c r="E814" s="27" t="s">
        <v>2232</v>
      </c>
      <c r="F814" s="27" t="str">
        <f>"19.0710"</f>
        <v>19.0710</v>
      </c>
      <c r="G814" s="27" t="s">
        <v>3427</v>
      </c>
      <c r="H814" s="65" t="str">
        <f t="shared" si="36"/>
        <v>No Change</v>
      </c>
      <c r="I814" s="65" t="str">
        <f t="shared" si="37"/>
        <v>190710</v>
      </c>
      <c r="J814" s="65" t="str">
        <f t="shared" si="38"/>
        <v>190710</v>
      </c>
    </row>
    <row r="815" spans="1:10" x14ac:dyDescent="0.3">
      <c r="A815" s="27" t="s">
        <v>1869</v>
      </c>
      <c r="D815" s="27" t="s">
        <v>2255</v>
      </c>
      <c r="E815" s="27" t="s">
        <v>2232</v>
      </c>
      <c r="F815" s="27" t="str">
        <f>"19.0711"</f>
        <v>19.0711</v>
      </c>
      <c r="G815" s="27" t="s">
        <v>3428</v>
      </c>
      <c r="H815" s="65" t="str">
        <f t="shared" si="36"/>
        <v>Other</v>
      </c>
      <c r="I815" s="65" t="str">
        <f t="shared" si="37"/>
        <v/>
      </c>
      <c r="J815" s="65" t="str">
        <f t="shared" si="38"/>
        <v>190711</v>
      </c>
    </row>
    <row r="816" spans="1:10" x14ac:dyDescent="0.3">
      <c r="A816" s="27" t="s">
        <v>1869</v>
      </c>
      <c r="D816" s="27" t="s">
        <v>2255</v>
      </c>
      <c r="E816" s="27" t="s">
        <v>2232</v>
      </c>
      <c r="F816" s="27" t="str">
        <f>"19.0712"</f>
        <v>19.0712</v>
      </c>
      <c r="G816" s="27" t="s">
        <v>3429</v>
      </c>
      <c r="H816" s="65" t="str">
        <f t="shared" si="36"/>
        <v>Other</v>
      </c>
      <c r="I816" s="65" t="str">
        <f t="shared" si="37"/>
        <v/>
      </c>
      <c r="J816" s="65" t="str">
        <f t="shared" si="38"/>
        <v>190712</v>
      </c>
    </row>
    <row r="817" spans="1:10" ht="28.8" x14ac:dyDescent="0.3">
      <c r="A817" s="27" t="s">
        <v>3430</v>
      </c>
      <c r="B817" s="27" t="str">
        <f>"19.0799"</f>
        <v>19.0799</v>
      </c>
      <c r="C817" s="64" t="s">
        <v>3431</v>
      </c>
      <c r="D817" s="27" t="s">
        <v>2229</v>
      </c>
      <c r="E817" s="27" t="s">
        <v>2232</v>
      </c>
      <c r="F817" s="27" t="str">
        <f>"19.0799"</f>
        <v>19.0799</v>
      </c>
      <c r="G817" s="27" t="s">
        <v>3431</v>
      </c>
      <c r="H817" s="65" t="str">
        <f t="shared" si="36"/>
        <v>No Change</v>
      </c>
      <c r="I817" s="65" t="str">
        <f t="shared" si="37"/>
        <v>190799</v>
      </c>
      <c r="J817" s="65" t="str">
        <f t="shared" si="38"/>
        <v>190799</v>
      </c>
    </row>
    <row r="818" spans="1:10" x14ac:dyDescent="0.3">
      <c r="A818" s="27" t="s">
        <v>1869</v>
      </c>
      <c r="B818" s="27" t="str">
        <f>"19.09"</f>
        <v>19.09</v>
      </c>
      <c r="C818" s="64" t="s">
        <v>3432</v>
      </c>
      <c r="D818" s="27" t="s">
        <v>2229</v>
      </c>
      <c r="E818" s="27" t="s">
        <v>2232</v>
      </c>
      <c r="F818" s="27" t="str">
        <f>"19.09"</f>
        <v>19.09</v>
      </c>
      <c r="G818" s="27" t="s">
        <v>3432</v>
      </c>
      <c r="H818" s="65" t="str">
        <f t="shared" si="36"/>
        <v>No Change</v>
      </c>
      <c r="I818" s="65" t="str">
        <f t="shared" si="37"/>
        <v/>
      </c>
      <c r="J818" s="65" t="str">
        <f t="shared" si="38"/>
        <v/>
      </c>
    </row>
    <row r="819" spans="1:10" x14ac:dyDescent="0.3">
      <c r="A819" s="27" t="s">
        <v>3433</v>
      </c>
      <c r="B819" s="27" t="str">
        <f>"19.0901"</f>
        <v>19.0901</v>
      </c>
      <c r="C819" s="64" t="s">
        <v>3434</v>
      </c>
      <c r="D819" s="27" t="s">
        <v>2229</v>
      </c>
      <c r="E819" s="27" t="s">
        <v>2232</v>
      </c>
      <c r="F819" s="27" t="str">
        <f>"19.0901"</f>
        <v>19.0901</v>
      </c>
      <c r="G819" s="27" t="s">
        <v>3434</v>
      </c>
      <c r="H819" s="65" t="str">
        <f t="shared" si="36"/>
        <v>No Change</v>
      </c>
      <c r="I819" s="65" t="str">
        <f t="shared" si="37"/>
        <v>190901</v>
      </c>
      <c r="J819" s="65" t="str">
        <f t="shared" si="38"/>
        <v>190901</v>
      </c>
    </row>
    <row r="820" spans="1:10" x14ac:dyDescent="0.3">
      <c r="A820" s="27" t="s">
        <v>3435</v>
      </c>
      <c r="B820" s="27" t="str">
        <f>"19.0902"</f>
        <v>19.0902</v>
      </c>
      <c r="C820" s="64" t="s">
        <v>3436</v>
      </c>
      <c r="D820" s="27" t="s">
        <v>2229</v>
      </c>
      <c r="E820" s="27" t="s">
        <v>2232</v>
      </c>
      <c r="F820" s="27" t="str">
        <f>"19.0902"</f>
        <v>19.0902</v>
      </c>
      <c r="G820" s="27" t="s">
        <v>3436</v>
      </c>
      <c r="H820" s="65" t="str">
        <f t="shared" si="36"/>
        <v>No Change</v>
      </c>
      <c r="I820" s="65" t="str">
        <f t="shared" si="37"/>
        <v>190902</v>
      </c>
      <c r="J820" s="65" t="str">
        <f t="shared" si="38"/>
        <v>190902</v>
      </c>
    </row>
    <row r="821" spans="1:10" x14ac:dyDescent="0.3">
      <c r="A821" s="27" t="s">
        <v>3437</v>
      </c>
      <c r="B821" s="27" t="str">
        <f>"19.0904"</f>
        <v>19.0904</v>
      </c>
      <c r="C821" s="64" t="s">
        <v>3438</v>
      </c>
      <c r="D821" s="27" t="s">
        <v>2229</v>
      </c>
      <c r="E821" s="27" t="s">
        <v>2232</v>
      </c>
      <c r="F821" s="27" t="str">
        <f>"19.0904"</f>
        <v>19.0904</v>
      </c>
      <c r="G821" s="27" t="s">
        <v>3438</v>
      </c>
      <c r="H821" s="65" t="str">
        <f t="shared" si="36"/>
        <v>No Change</v>
      </c>
      <c r="I821" s="65" t="str">
        <f t="shared" si="37"/>
        <v>190904</v>
      </c>
      <c r="J821" s="65" t="str">
        <f t="shared" si="38"/>
        <v>190904</v>
      </c>
    </row>
    <row r="822" spans="1:10" x14ac:dyDescent="0.3">
      <c r="A822" s="27" t="s">
        <v>3439</v>
      </c>
      <c r="B822" s="27" t="str">
        <f>"19.0905"</f>
        <v>19.0905</v>
      </c>
      <c r="C822" s="64" t="s">
        <v>3440</v>
      </c>
      <c r="D822" s="27" t="s">
        <v>2229</v>
      </c>
      <c r="E822" s="27" t="s">
        <v>2232</v>
      </c>
      <c r="F822" s="27" t="str">
        <f>"19.0905"</f>
        <v>19.0905</v>
      </c>
      <c r="G822" s="27" t="s">
        <v>3440</v>
      </c>
      <c r="H822" s="65" t="str">
        <f t="shared" si="36"/>
        <v>No Change</v>
      </c>
      <c r="I822" s="65" t="str">
        <f t="shared" si="37"/>
        <v>190905</v>
      </c>
      <c r="J822" s="65" t="str">
        <f t="shared" si="38"/>
        <v>190905</v>
      </c>
    </row>
    <row r="823" spans="1:10" x14ac:dyDescent="0.3">
      <c r="A823" s="27" t="s">
        <v>3441</v>
      </c>
      <c r="B823" s="27" t="str">
        <f>"19.0906"</f>
        <v>19.0906</v>
      </c>
      <c r="C823" s="64" t="s">
        <v>3442</v>
      </c>
      <c r="D823" s="27" t="s">
        <v>2229</v>
      </c>
      <c r="E823" s="27" t="s">
        <v>2232</v>
      </c>
      <c r="F823" s="27" t="str">
        <f>"19.0906"</f>
        <v>19.0906</v>
      </c>
      <c r="G823" s="27" t="s">
        <v>3442</v>
      </c>
      <c r="H823" s="65" t="str">
        <f t="shared" si="36"/>
        <v>No Change</v>
      </c>
      <c r="I823" s="65" t="str">
        <f t="shared" si="37"/>
        <v>190906</v>
      </c>
      <c r="J823" s="65" t="str">
        <f t="shared" si="38"/>
        <v>190906</v>
      </c>
    </row>
    <row r="824" spans="1:10" x14ac:dyDescent="0.3">
      <c r="A824" s="27" t="s">
        <v>3443</v>
      </c>
      <c r="B824" s="27" t="str">
        <f>"19.0999"</f>
        <v>19.0999</v>
      </c>
      <c r="C824" s="64" t="s">
        <v>3444</v>
      </c>
      <c r="D824" s="27" t="s">
        <v>2229</v>
      </c>
      <c r="E824" s="27" t="s">
        <v>2232</v>
      </c>
      <c r="F824" s="27" t="str">
        <f>"19.0999"</f>
        <v>19.0999</v>
      </c>
      <c r="G824" s="27" t="s">
        <v>3444</v>
      </c>
      <c r="H824" s="65" t="str">
        <f t="shared" si="36"/>
        <v>No Change</v>
      </c>
      <c r="I824" s="65" t="str">
        <f t="shared" si="37"/>
        <v>190999</v>
      </c>
      <c r="J824" s="65" t="str">
        <f t="shared" si="38"/>
        <v>190999</v>
      </c>
    </row>
    <row r="825" spans="1:10" x14ac:dyDescent="0.3">
      <c r="A825" s="27" t="s">
        <v>1869</v>
      </c>
      <c r="B825" s="27" t="str">
        <f>"19.99"</f>
        <v>19.99</v>
      </c>
      <c r="C825" s="64" t="s">
        <v>3445</v>
      </c>
      <c r="D825" s="27" t="s">
        <v>2229</v>
      </c>
      <c r="E825" s="27" t="s">
        <v>2232</v>
      </c>
      <c r="F825" s="27" t="str">
        <f>"19.99"</f>
        <v>19.99</v>
      </c>
      <c r="G825" s="27" t="s">
        <v>3445</v>
      </c>
      <c r="H825" s="65" t="str">
        <f t="shared" si="36"/>
        <v>No Change</v>
      </c>
      <c r="I825" s="65" t="str">
        <f t="shared" si="37"/>
        <v/>
      </c>
      <c r="J825" s="65" t="str">
        <f t="shared" si="38"/>
        <v/>
      </c>
    </row>
    <row r="826" spans="1:10" x14ac:dyDescent="0.3">
      <c r="A826" s="27" t="s">
        <v>3446</v>
      </c>
      <c r="B826" s="27" t="str">
        <f>"19.9999"</f>
        <v>19.9999</v>
      </c>
      <c r="C826" s="64" t="s">
        <v>3445</v>
      </c>
      <c r="D826" s="27" t="s">
        <v>2229</v>
      </c>
      <c r="E826" s="27" t="s">
        <v>2232</v>
      </c>
      <c r="F826" s="27" t="str">
        <f>"19.9999"</f>
        <v>19.9999</v>
      </c>
      <c r="G826" s="27" t="s">
        <v>3445</v>
      </c>
      <c r="H826" s="65" t="str">
        <f t="shared" si="36"/>
        <v>No Change</v>
      </c>
      <c r="I826" s="65" t="str">
        <f t="shared" si="37"/>
        <v>199999</v>
      </c>
      <c r="J826" s="65" t="str">
        <f t="shared" si="38"/>
        <v>199999</v>
      </c>
    </row>
    <row r="827" spans="1:10" x14ac:dyDescent="0.3">
      <c r="A827" s="27" t="s">
        <v>1869</v>
      </c>
      <c r="B827" s="27" t="str">
        <f>"22"</f>
        <v>22</v>
      </c>
      <c r="C827" s="64" t="s">
        <v>3447</v>
      </c>
      <c r="D827" s="27" t="s">
        <v>2229</v>
      </c>
      <c r="E827" s="27" t="s">
        <v>2232</v>
      </c>
      <c r="F827" s="27" t="str">
        <f>"22"</f>
        <v>22</v>
      </c>
      <c r="G827" s="27" t="s">
        <v>3447</v>
      </c>
      <c r="H827" s="65" t="str">
        <f t="shared" si="36"/>
        <v>No Change</v>
      </c>
      <c r="I827" s="65" t="str">
        <f t="shared" si="37"/>
        <v/>
      </c>
      <c r="J827" s="65" t="str">
        <f t="shared" si="38"/>
        <v/>
      </c>
    </row>
    <row r="828" spans="1:10" x14ac:dyDescent="0.3">
      <c r="A828" s="27" t="s">
        <v>1869</v>
      </c>
      <c r="B828" s="27" t="str">
        <f>"22.00"</f>
        <v>22.00</v>
      </c>
      <c r="C828" s="64" t="s">
        <v>3448</v>
      </c>
      <c r="D828" s="27" t="s">
        <v>2229</v>
      </c>
      <c r="E828" s="27" t="s">
        <v>2230</v>
      </c>
      <c r="F828" s="27" t="str">
        <f>"22.00"</f>
        <v>22.00</v>
      </c>
      <c r="G828" s="27" t="s">
        <v>3449</v>
      </c>
      <c r="H828" s="65" t="str">
        <f t="shared" si="36"/>
        <v>No Change</v>
      </c>
      <c r="I828" s="65" t="str">
        <f t="shared" si="37"/>
        <v/>
      </c>
      <c r="J828" s="65" t="str">
        <f t="shared" si="38"/>
        <v/>
      </c>
    </row>
    <row r="829" spans="1:10" x14ac:dyDescent="0.3">
      <c r="A829" s="27" t="s">
        <v>3450</v>
      </c>
      <c r="B829" s="27" t="str">
        <f>"22.0000"</f>
        <v>22.0000</v>
      </c>
      <c r="C829" s="64" t="s">
        <v>3451</v>
      </c>
      <c r="D829" s="27" t="s">
        <v>2229</v>
      </c>
      <c r="E829" s="27" t="s">
        <v>2230</v>
      </c>
      <c r="F829" s="27" t="str">
        <f>"22.0000"</f>
        <v>22.0000</v>
      </c>
      <c r="G829" s="27" t="s">
        <v>3452</v>
      </c>
      <c r="H829" s="65" t="str">
        <f t="shared" si="36"/>
        <v>No Change</v>
      </c>
      <c r="I829" s="65" t="str">
        <f t="shared" si="37"/>
        <v>220000</v>
      </c>
      <c r="J829" s="65" t="str">
        <f t="shared" si="38"/>
        <v>220000</v>
      </c>
    </row>
    <row r="830" spans="1:10" x14ac:dyDescent="0.3">
      <c r="A830" s="27" t="s">
        <v>3453</v>
      </c>
      <c r="B830" s="27" t="str">
        <f>"22.0001"</f>
        <v>22.0001</v>
      </c>
      <c r="C830" s="64" t="s">
        <v>3454</v>
      </c>
      <c r="D830" s="27" t="s">
        <v>2229</v>
      </c>
      <c r="E830" s="27" t="s">
        <v>2232</v>
      </c>
      <c r="F830" s="27" t="str">
        <f>"22.0001"</f>
        <v>22.0001</v>
      </c>
      <c r="G830" s="27" t="s">
        <v>3454</v>
      </c>
      <c r="H830" s="65" t="str">
        <f t="shared" si="36"/>
        <v>No Change</v>
      </c>
      <c r="I830" s="65" t="str">
        <f t="shared" si="37"/>
        <v>220001</v>
      </c>
      <c r="J830" s="65" t="str">
        <f t="shared" si="38"/>
        <v>220001</v>
      </c>
    </row>
    <row r="831" spans="1:10" x14ac:dyDescent="0.3">
      <c r="A831" s="27" t="s">
        <v>1869</v>
      </c>
      <c r="D831" s="27" t="s">
        <v>2255</v>
      </c>
      <c r="E831" s="27" t="s">
        <v>2232</v>
      </c>
      <c r="F831" s="27" t="str">
        <f>"22.0099"</f>
        <v>22.0099</v>
      </c>
      <c r="G831" s="27" t="s">
        <v>3455</v>
      </c>
      <c r="H831" s="65" t="str">
        <f t="shared" si="36"/>
        <v>Other</v>
      </c>
      <c r="I831" s="65" t="str">
        <f t="shared" si="37"/>
        <v/>
      </c>
      <c r="J831" s="65" t="str">
        <f t="shared" si="38"/>
        <v>220099</v>
      </c>
    </row>
    <row r="832" spans="1:10" x14ac:dyDescent="0.3">
      <c r="A832" s="27" t="s">
        <v>1869</v>
      </c>
      <c r="B832" s="27" t="str">
        <f>"22.01"</f>
        <v>22.01</v>
      </c>
      <c r="C832" s="64" t="s">
        <v>3456</v>
      </c>
      <c r="D832" s="27" t="s">
        <v>2229</v>
      </c>
      <c r="E832" s="27" t="s">
        <v>2232</v>
      </c>
      <c r="F832" s="27" t="str">
        <f>"22.01"</f>
        <v>22.01</v>
      </c>
      <c r="G832" s="27" t="s">
        <v>3456</v>
      </c>
      <c r="H832" s="65" t="str">
        <f t="shared" si="36"/>
        <v>No Change</v>
      </c>
      <c r="I832" s="65" t="str">
        <f t="shared" si="37"/>
        <v/>
      </c>
      <c r="J832" s="65" t="str">
        <f t="shared" si="38"/>
        <v/>
      </c>
    </row>
    <row r="833" spans="1:10" x14ac:dyDescent="0.3">
      <c r="A833" s="27" t="s">
        <v>3457</v>
      </c>
      <c r="B833" s="27" t="str">
        <f>"22.0101"</f>
        <v>22.0101</v>
      </c>
      <c r="C833" s="64" t="s">
        <v>3456</v>
      </c>
      <c r="D833" s="27" t="s">
        <v>2229</v>
      </c>
      <c r="E833" s="27" t="s">
        <v>2232</v>
      </c>
      <c r="F833" s="27" t="str">
        <f>"22.0101"</f>
        <v>22.0101</v>
      </c>
      <c r="G833" s="27" t="s">
        <v>3456</v>
      </c>
      <c r="H833" s="65" t="str">
        <f t="shared" si="36"/>
        <v>No Change</v>
      </c>
      <c r="I833" s="65" t="str">
        <f t="shared" si="37"/>
        <v>220101</v>
      </c>
      <c r="J833" s="65" t="str">
        <f t="shared" si="38"/>
        <v>220101</v>
      </c>
    </row>
    <row r="834" spans="1:10" x14ac:dyDescent="0.3">
      <c r="A834" s="27" t="s">
        <v>1869</v>
      </c>
      <c r="B834" s="27" t="str">
        <f>"22.02"</f>
        <v>22.02</v>
      </c>
      <c r="C834" s="64" t="s">
        <v>3458</v>
      </c>
      <c r="D834" s="27" t="s">
        <v>2229</v>
      </c>
      <c r="E834" s="27" t="s">
        <v>2232</v>
      </c>
      <c r="F834" s="27" t="str">
        <f>"22.02"</f>
        <v>22.02</v>
      </c>
      <c r="G834" s="27" t="s">
        <v>3458</v>
      </c>
      <c r="H834" s="65" t="str">
        <f t="shared" si="36"/>
        <v>No Change</v>
      </c>
      <c r="I834" s="65" t="str">
        <f t="shared" si="37"/>
        <v/>
      </c>
      <c r="J834" s="65" t="str">
        <f t="shared" si="38"/>
        <v/>
      </c>
    </row>
    <row r="835" spans="1:10" x14ac:dyDescent="0.3">
      <c r="A835" s="27" t="s">
        <v>3459</v>
      </c>
      <c r="B835" s="27" t="str">
        <f>"22.0201"</f>
        <v>22.0201</v>
      </c>
      <c r="C835" s="64" t="s">
        <v>3460</v>
      </c>
      <c r="D835" s="27" t="s">
        <v>2229</v>
      </c>
      <c r="E835" s="27" t="s">
        <v>2232</v>
      </c>
      <c r="F835" s="27" t="str">
        <f>"22.0201"</f>
        <v>22.0201</v>
      </c>
      <c r="G835" s="27" t="s">
        <v>3460</v>
      </c>
      <c r="H835" s="65" t="str">
        <f t="shared" ref="H835:H898" si="39">IF(I835=J835,"No Change","Other")</f>
        <v>No Change</v>
      </c>
      <c r="I835" s="65" t="str">
        <f t="shared" ref="I835:I898" si="40">SUBSTITUTE(IF(SUM(LEN(B835))&lt;7,"",B835),".","")</f>
        <v>220201</v>
      </c>
      <c r="J835" s="65" t="str">
        <f t="shared" ref="J835:J898" si="41">SUBSTITUTE(IF(SUM(LEN(F835))&lt;7,"",F835),".","")</f>
        <v>220201</v>
      </c>
    </row>
    <row r="836" spans="1:10" x14ac:dyDescent="0.3">
      <c r="A836" s="27" t="s">
        <v>3461</v>
      </c>
      <c r="B836" s="27" t="str">
        <f>"22.0202"</f>
        <v>22.0202</v>
      </c>
      <c r="C836" s="64" t="s">
        <v>3462</v>
      </c>
      <c r="D836" s="27" t="s">
        <v>2229</v>
      </c>
      <c r="E836" s="27" t="s">
        <v>2232</v>
      </c>
      <c r="F836" s="27" t="str">
        <f>"22.0202"</f>
        <v>22.0202</v>
      </c>
      <c r="G836" s="27" t="s">
        <v>3462</v>
      </c>
      <c r="H836" s="65" t="str">
        <f t="shared" si="39"/>
        <v>No Change</v>
      </c>
      <c r="I836" s="65" t="str">
        <f t="shared" si="40"/>
        <v>220202</v>
      </c>
      <c r="J836" s="65" t="str">
        <f t="shared" si="41"/>
        <v>220202</v>
      </c>
    </row>
    <row r="837" spans="1:10" x14ac:dyDescent="0.3">
      <c r="A837" s="27" t="s">
        <v>3463</v>
      </c>
      <c r="B837" s="27" t="str">
        <f>"22.0203"</f>
        <v>22.0203</v>
      </c>
      <c r="C837" s="64" t="s">
        <v>3464</v>
      </c>
      <c r="D837" s="27" t="s">
        <v>2229</v>
      </c>
      <c r="E837" s="27" t="s">
        <v>2232</v>
      </c>
      <c r="F837" s="27" t="str">
        <f>"22.0203"</f>
        <v>22.0203</v>
      </c>
      <c r="G837" s="27" t="s">
        <v>3464</v>
      </c>
      <c r="H837" s="65" t="str">
        <f t="shared" si="39"/>
        <v>No Change</v>
      </c>
      <c r="I837" s="65" t="str">
        <f t="shared" si="40"/>
        <v>220203</v>
      </c>
      <c r="J837" s="65" t="str">
        <f t="shared" si="41"/>
        <v>220203</v>
      </c>
    </row>
    <row r="838" spans="1:10" x14ac:dyDescent="0.3">
      <c r="A838" s="27" t="s">
        <v>3465</v>
      </c>
      <c r="B838" s="27" t="str">
        <f>"22.0204"</f>
        <v>22.0204</v>
      </c>
      <c r="C838" s="64" t="s">
        <v>3466</v>
      </c>
      <c r="D838" s="27" t="s">
        <v>2229</v>
      </c>
      <c r="E838" s="27" t="s">
        <v>2232</v>
      </c>
      <c r="F838" s="27" t="str">
        <f>"22.0204"</f>
        <v>22.0204</v>
      </c>
      <c r="G838" s="27" t="s">
        <v>3466</v>
      </c>
      <c r="H838" s="65" t="str">
        <f t="shared" si="39"/>
        <v>No Change</v>
      </c>
      <c r="I838" s="65" t="str">
        <f t="shared" si="40"/>
        <v>220204</v>
      </c>
      <c r="J838" s="65" t="str">
        <f t="shared" si="41"/>
        <v>220204</v>
      </c>
    </row>
    <row r="839" spans="1:10" x14ac:dyDescent="0.3">
      <c r="A839" s="27" t="s">
        <v>3467</v>
      </c>
      <c r="B839" s="27" t="str">
        <f>"22.0205"</f>
        <v>22.0205</v>
      </c>
      <c r="C839" s="64" t="s">
        <v>3468</v>
      </c>
      <c r="D839" s="27" t="s">
        <v>2229</v>
      </c>
      <c r="E839" s="27" t="s">
        <v>2232</v>
      </c>
      <c r="F839" s="27" t="str">
        <f>"22.0205"</f>
        <v>22.0205</v>
      </c>
      <c r="G839" s="27" t="s">
        <v>3468</v>
      </c>
      <c r="H839" s="65" t="str">
        <f t="shared" si="39"/>
        <v>No Change</v>
      </c>
      <c r="I839" s="65" t="str">
        <f t="shared" si="40"/>
        <v>220205</v>
      </c>
      <c r="J839" s="65" t="str">
        <f t="shared" si="41"/>
        <v>220205</v>
      </c>
    </row>
    <row r="840" spans="1:10" x14ac:dyDescent="0.3">
      <c r="A840" s="27" t="s">
        <v>3469</v>
      </c>
      <c r="B840" s="27" t="str">
        <f>"22.0206"</f>
        <v>22.0206</v>
      </c>
      <c r="C840" s="64" t="s">
        <v>3470</v>
      </c>
      <c r="D840" s="27" t="s">
        <v>2229</v>
      </c>
      <c r="E840" s="27" t="s">
        <v>2232</v>
      </c>
      <c r="F840" s="27" t="str">
        <f>"22.0206"</f>
        <v>22.0206</v>
      </c>
      <c r="G840" s="27" t="s">
        <v>3470</v>
      </c>
      <c r="H840" s="65" t="str">
        <f t="shared" si="39"/>
        <v>No Change</v>
      </c>
      <c r="I840" s="65" t="str">
        <f t="shared" si="40"/>
        <v>220206</v>
      </c>
      <c r="J840" s="65" t="str">
        <f t="shared" si="41"/>
        <v>220206</v>
      </c>
    </row>
    <row r="841" spans="1:10" x14ac:dyDescent="0.3">
      <c r="A841" s="27" t="s">
        <v>3471</v>
      </c>
      <c r="B841" s="27" t="str">
        <f>"22.0207"</f>
        <v>22.0207</v>
      </c>
      <c r="C841" s="64" t="s">
        <v>3472</v>
      </c>
      <c r="D841" s="27" t="s">
        <v>2229</v>
      </c>
      <c r="E841" s="27" t="s">
        <v>2232</v>
      </c>
      <c r="F841" s="27" t="str">
        <f>"22.0207"</f>
        <v>22.0207</v>
      </c>
      <c r="G841" s="27" t="s">
        <v>3472</v>
      </c>
      <c r="H841" s="65" t="str">
        <f t="shared" si="39"/>
        <v>No Change</v>
      </c>
      <c r="I841" s="65" t="str">
        <f t="shared" si="40"/>
        <v>220207</v>
      </c>
      <c r="J841" s="65" t="str">
        <f t="shared" si="41"/>
        <v>220207</v>
      </c>
    </row>
    <row r="842" spans="1:10" x14ac:dyDescent="0.3">
      <c r="A842" s="27" t="s">
        <v>3473</v>
      </c>
      <c r="B842" s="27" t="str">
        <f>"22.0208"</f>
        <v>22.0208</v>
      </c>
      <c r="C842" s="64" t="s">
        <v>3474</v>
      </c>
      <c r="D842" s="27" t="s">
        <v>2229</v>
      </c>
      <c r="E842" s="27" t="s">
        <v>2232</v>
      </c>
      <c r="F842" s="27" t="str">
        <f>"22.0208"</f>
        <v>22.0208</v>
      </c>
      <c r="G842" s="27" t="s">
        <v>3474</v>
      </c>
      <c r="H842" s="65" t="str">
        <f t="shared" si="39"/>
        <v>No Change</v>
      </c>
      <c r="I842" s="65" t="str">
        <f t="shared" si="40"/>
        <v>220208</v>
      </c>
      <c r="J842" s="65" t="str">
        <f t="shared" si="41"/>
        <v>220208</v>
      </c>
    </row>
    <row r="843" spans="1:10" x14ac:dyDescent="0.3">
      <c r="A843" s="27" t="s">
        <v>3475</v>
      </c>
      <c r="B843" s="27" t="str">
        <f>"22.0209"</f>
        <v>22.0209</v>
      </c>
      <c r="C843" s="64" t="s">
        <v>3476</v>
      </c>
      <c r="D843" s="27" t="s">
        <v>2229</v>
      </c>
      <c r="E843" s="27" t="s">
        <v>2232</v>
      </c>
      <c r="F843" s="27" t="str">
        <f>"22.0209"</f>
        <v>22.0209</v>
      </c>
      <c r="G843" s="27" t="s">
        <v>3476</v>
      </c>
      <c r="H843" s="65" t="str">
        <f t="shared" si="39"/>
        <v>No Change</v>
      </c>
      <c r="I843" s="65" t="str">
        <f t="shared" si="40"/>
        <v>220209</v>
      </c>
      <c r="J843" s="65" t="str">
        <f t="shared" si="41"/>
        <v>220209</v>
      </c>
    </row>
    <row r="844" spans="1:10" x14ac:dyDescent="0.3">
      <c r="A844" s="27" t="s">
        <v>3477</v>
      </c>
      <c r="B844" s="27" t="str">
        <f>"22.0210"</f>
        <v>22.0210</v>
      </c>
      <c r="C844" s="64" t="s">
        <v>3478</v>
      </c>
      <c r="D844" s="27" t="s">
        <v>2229</v>
      </c>
      <c r="E844" s="27" t="s">
        <v>2232</v>
      </c>
      <c r="F844" s="27" t="str">
        <f>"22.0210"</f>
        <v>22.0210</v>
      </c>
      <c r="G844" s="27" t="s">
        <v>3478</v>
      </c>
      <c r="H844" s="65" t="str">
        <f t="shared" si="39"/>
        <v>No Change</v>
      </c>
      <c r="I844" s="65" t="str">
        <f t="shared" si="40"/>
        <v>220210</v>
      </c>
      <c r="J844" s="65" t="str">
        <f t="shared" si="41"/>
        <v>220210</v>
      </c>
    </row>
    <row r="845" spans="1:10" x14ac:dyDescent="0.3">
      <c r="A845" s="27" t="s">
        <v>3479</v>
      </c>
      <c r="B845" s="27" t="str">
        <f>"22.0211"</f>
        <v>22.0211</v>
      </c>
      <c r="C845" s="64" t="s">
        <v>3480</v>
      </c>
      <c r="D845" s="27" t="s">
        <v>2229</v>
      </c>
      <c r="E845" s="27" t="s">
        <v>2232</v>
      </c>
      <c r="F845" s="27" t="str">
        <f>"22.0211"</f>
        <v>22.0211</v>
      </c>
      <c r="G845" s="27" t="s">
        <v>3480</v>
      </c>
      <c r="H845" s="65" t="str">
        <f t="shared" si="39"/>
        <v>No Change</v>
      </c>
      <c r="I845" s="65" t="str">
        <f t="shared" si="40"/>
        <v>220211</v>
      </c>
      <c r="J845" s="65" t="str">
        <f t="shared" si="41"/>
        <v>220211</v>
      </c>
    </row>
    <row r="846" spans="1:10" x14ac:dyDescent="0.3">
      <c r="A846" s="27" t="s">
        <v>3481</v>
      </c>
      <c r="B846" s="27" t="str">
        <f>"22.0212"</f>
        <v>22.0212</v>
      </c>
      <c r="C846" s="64" t="s">
        <v>3482</v>
      </c>
      <c r="D846" s="27" t="s">
        <v>2229</v>
      </c>
      <c r="E846" s="27" t="s">
        <v>2232</v>
      </c>
      <c r="F846" s="27" t="str">
        <f>"22.0212"</f>
        <v>22.0212</v>
      </c>
      <c r="G846" s="27" t="s">
        <v>3482</v>
      </c>
      <c r="H846" s="65" t="str">
        <f t="shared" si="39"/>
        <v>No Change</v>
      </c>
      <c r="I846" s="65" t="str">
        <f t="shared" si="40"/>
        <v>220212</v>
      </c>
      <c r="J846" s="65" t="str">
        <f t="shared" si="41"/>
        <v>220212</v>
      </c>
    </row>
    <row r="847" spans="1:10" x14ac:dyDescent="0.3">
      <c r="A847" s="27" t="s">
        <v>1869</v>
      </c>
      <c r="D847" s="27" t="s">
        <v>2255</v>
      </c>
      <c r="E847" s="27" t="s">
        <v>2232</v>
      </c>
      <c r="F847" s="27" t="str">
        <f>"22.0213"</f>
        <v>22.0213</v>
      </c>
      <c r="G847" s="27" t="s">
        <v>3483</v>
      </c>
      <c r="H847" s="65" t="str">
        <f t="shared" si="39"/>
        <v>Other</v>
      </c>
      <c r="I847" s="65" t="str">
        <f t="shared" si="40"/>
        <v/>
      </c>
      <c r="J847" s="65" t="str">
        <f t="shared" si="41"/>
        <v>220213</v>
      </c>
    </row>
    <row r="848" spans="1:10" x14ac:dyDescent="0.3">
      <c r="A848" s="27" t="s">
        <v>1869</v>
      </c>
      <c r="D848" s="27" t="s">
        <v>2255</v>
      </c>
      <c r="E848" s="27" t="s">
        <v>2232</v>
      </c>
      <c r="F848" s="27" t="str">
        <f>"22.0214"</f>
        <v>22.0214</v>
      </c>
      <c r="G848" s="27" t="s">
        <v>3484</v>
      </c>
      <c r="H848" s="65" t="str">
        <f t="shared" si="39"/>
        <v>Other</v>
      </c>
      <c r="I848" s="65" t="str">
        <f t="shared" si="40"/>
        <v/>
      </c>
      <c r="J848" s="65" t="str">
        <f t="shared" si="41"/>
        <v>220214</v>
      </c>
    </row>
    <row r="849" spans="1:10" x14ac:dyDescent="0.3">
      <c r="A849" s="27" t="s">
        <v>1869</v>
      </c>
      <c r="D849" s="27" t="s">
        <v>2255</v>
      </c>
      <c r="E849" s="27" t="s">
        <v>2232</v>
      </c>
      <c r="F849" s="27" t="str">
        <f>"22.0215"</f>
        <v>22.0215</v>
      </c>
      <c r="G849" s="27" t="s">
        <v>3485</v>
      </c>
      <c r="H849" s="65" t="str">
        <f t="shared" si="39"/>
        <v>Other</v>
      </c>
      <c r="I849" s="65" t="str">
        <f t="shared" si="40"/>
        <v/>
      </c>
      <c r="J849" s="65" t="str">
        <f t="shared" si="41"/>
        <v>220215</v>
      </c>
    </row>
    <row r="850" spans="1:10" x14ac:dyDescent="0.3">
      <c r="A850" s="27" t="s">
        <v>1869</v>
      </c>
      <c r="D850" s="27" t="s">
        <v>2255</v>
      </c>
      <c r="E850" s="27" t="s">
        <v>2232</v>
      </c>
      <c r="F850" s="27" t="str">
        <f>"22.0216"</f>
        <v>22.0216</v>
      </c>
      <c r="G850" s="27" t="s">
        <v>3486</v>
      </c>
      <c r="H850" s="65" t="str">
        <f t="shared" si="39"/>
        <v>Other</v>
      </c>
      <c r="I850" s="65" t="str">
        <f t="shared" si="40"/>
        <v/>
      </c>
      <c r="J850" s="65" t="str">
        <f t="shared" si="41"/>
        <v>220216</v>
      </c>
    </row>
    <row r="851" spans="1:10" x14ac:dyDescent="0.3">
      <c r="A851" s="27" t="s">
        <v>1869</v>
      </c>
      <c r="D851" s="27" t="s">
        <v>2255</v>
      </c>
      <c r="E851" s="27" t="s">
        <v>2232</v>
      </c>
      <c r="F851" s="27" t="str">
        <f>"22.0217"</f>
        <v>22.0217</v>
      </c>
      <c r="G851" s="27" t="s">
        <v>3487</v>
      </c>
      <c r="H851" s="65" t="str">
        <f t="shared" si="39"/>
        <v>Other</v>
      </c>
      <c r="I851" s="65" t="str">
        <f t="shared" si="40"/>
        <v/>
      </c>
      <c r="J851" s="65" t="str">
        <f t="shared" si="41"/>
        <v>220217</v>
      </c>
    </row>
    <row r="852" spans="1:10" x14ac:dyDescent="0.3">
      <c r="A852" s="27" t="s">
        <v>1869</v>
      </c>
      <c r="D852" s="27" t="s">
        <v>2255</v>
      </c>
      <c r="E852" s="27" t="s">
        <v>2232</v>
      </c>
      <c r="F852" s="27" t="str">
        <f>"22.0218"</f>
        <v>22.0218</v>
      </c>
      <c r="G852" s="27" t="s">
        <v>3488</v>
      </c>
      <c r="H852" s="65" t="str">
        <f t="shared" si="39"/>
        <v>Other</v>
      </c>
      <c r="I852" s="65" t="str">
        <f t="shared" si="40"/>
        <v/>
      </c>
      <c r="J852" s="65" t="str">
        <f t="shared" si="41"/>
        <v>220218</v>
      </c>
    </row>
    <row r="853" spans="1:10" x14ac:dyDescent="0.3">
      <c r="A853" s="27" t="s">
        <v>1869</v>
      </c>
      <c r="D853" s="27" t="s">
        <v>2255</v>
      </c>
      <c r="E853" s="27" t="s">
        <v>2232</v>
      </c>
      <c r="F853" s="27" t="str">
        <f>"22.0219"</f>
        <v>22.0219</v>
      </c>
      <c r="G853" s="27" t="s">
        <v>3489</v>
      </c>
      <c r="H853" s="65" t="str">
        <f t="shared" si="39"/>
        <v>Other</v>
      </c>
      <c r="I853" s="65" t="str">
        <f t="shared" si="40"/>
        <v/>
      </c>
      <c r="J853" s="65" t="str">
        <f t="shared" si="41"/>
        <v>220219</v>
      </c>
    </row>
    <row r="854" spans="1:10" x14ac:dyDescent="0.3">
      <c r="A854" s="27" t="s">
        <v>1869</v>
      </c>
      <c r="D854" s="27" t="s">
        <v>2255</v>
      </c>
      <c r="E854" s="27" t="s">
        <v>2232</v>
      </c>
      <c r="F854" s="27" t="str">
        <f>"22.0220"</f>
        <v>22.0220</v>
      </c>
      <c r="G854" s="27" t="s">
        <v>3490</v>
      </c>
      <c r="H854" s="65" t="str">
        <f t="shared" si="39"/>
        <v>Other</v>
      </c>
      <c r="I854" s="65" t="str">
        <f t="shared" si="40"/>
        <v/>
      </c>
      <c r="J854" s="65" t="str">
        <f t="shared" si="41"/>
        <v>220220</v>
      </c>
    </row>
    <row r="855" spans="1:10" x14ac:dyDescent="0.3">
      <c r="A855" s="27" t="s">
        <v>1869</v>
      </c>
      <c r="D855" s="27" t="s">
        <v>2255</v>
      </c>
      <c r="E855" s="27" t="s">
        <v>2232</v>
      </c>
      <c r="F855" s="27" t="str">
        <f>"22.0221"</f>
        <v>22.0221</v>
      </c>
      <c r="G855" s="27" t="s">
        <v>3491</v>
      </c>
      <c r="H855" s="65" t="str">
        <f t="shared" si="39"/>
        <v>Other</v>
      </c>
      <c r="I855" s="65" t="str">
        <f t="shared" si="40"/>
        <v/>
      </c>
      <c r="J855" s="65" t="str">
        <f t="shared" si="41"/>
        <v>220221</v>
      </c>
    </row>
    <row r="856" spans="1:10" x14ac:dyDescent="0.3">
      <c r="A856" s="27" t="s">
        <v>1869</v>
      </c>
      <c r="D856" s="27" t="s">
        <v>2255</v>
      </c>
      <c r="E856" s="27" t="s">
        <v>2232</v>
      </c>
      <c r="F856" s="27" t="str">
        <f>"22.0222"</f>
        <v>22.0222</v>
      </c>
      <c r="G856" s="27" t="s">
        <v>3492</v>
      </c>
      <c r="H856" s="65" t="str">
        <f t="shared" si="39"/>
        <v>Other</v>
      </c>
      <c r="I856" s="65" t="str">
        <f t="shared" si="40"/>
        <v/>
      </c>
      <c r="J856" s="65" t="str">
        <f t="shared" si="41"/>
        <v>220222</v>
      </c>
    </row>
    <row r="857" spans="1:10" x14ac:dyDescent="0.3">
      <c r="A857" s="27" t="s">
        <v>1869</v>
      </c>
      <c r="D857" s="27" t="s">
        <v>2255</v>
      </c>
      <c r="E857" s="27" t="s">
        <v>2232</v>
      </c>
      <c r="F857" s="27" t="str">
        <f>"22.0223"</f>
        <v>22.0223</v>
      </c>
      <c r="G857" s="27" t="s">
        <v>3493</v>
      </c>
      <c r="H857" s="65" t="str">
        <f t="shared" si="39"/>
        <v>Other</v>
      </c>
      <c r="I857" s="65" t="str">
        <f t="shared" si="40"/>
        <v/>
      </c>
      <c r="J857" s="65" t="str">
        <f t="shared" si="41"/>
        <v>220223</v>
      </c>
    </row>
    <row r="858" spans="1:10" x14ac:dyDescent="0.3">
      <c r="A858" s="27" t="s">
        <v>1869</v>
      </c>
      <c r="D858" s="27" t="s">
        <v>2255</v>
      </c>
      <c r="E858" s="27" t="s">
        <v>2232</v>
      </c>
      <c r="F858" s="27" t="str">
        <f>"22.0224"</f>
        <v>22.0224</v>
      </c>
      <c r="G858" s="27" t="s">
        <v>3494</v>
      </c>
      <c r="H858" s="65" t="str">
        <f t="shared" si="39"/>
        <v>Other</v>
      </c>
      <c r="I858" s="65" t="str">
        <f t="shared" si="40"/>
        <v/>
      </c>
      <c r="J858" s="65" t="str">
        <f t="shared" si="41"/>
        <v>220224</v>
      </c>
    </row>
    <row r="859" spans="1:10" x14ac:dyDescent="0.3">
      <c r="A859" s="27" t="s">
        <v>3495</v>
      </c>
      <c r="B859" s="27" t="str">
        <f>"22.0299"</f>
        <v>22.0299</v>
      </c>
      <c r="C859" s="64" t="s">
        <v>3496</v>
      </c>
      <c r="D859" s="27" t="s">
        <v>2229</v>
      </c>
      <c r="E859" s="27" t="s">
        <v>2232</v>
      </c>
      <c r="F859" s="27" t="str">
        <f>"22.0299"</f>
        <v>22.0299</v>
      </c>
      <c r="G859" s="27" t="s">
        <v>3496</v>
      </c>
      <c r="H859" s="65" t="str">
        <f t="shared" si="39"/>
        <v>No Change</v>
      </c>
      <c r="I859" s="65" t="str">
        <f t="shared" si="40"/>
        <v>220299</v>
      </c>
      <c r="J859" s="65" t="str">
        <f t="shared" si="41"/>
        <v>220299</v>
      </c>
    </row>
    <row r="860" spans="1:10" x14ac:dyDescent="0.3">
      <c r="A860" s="27" t="s">
        <v>1869</v>
      </c>
      <c r="B860" s="27" t="str">
        <f>"22.03"</f>
        <v>22.03</v>
      </c>
      <c r="C860" s="64" t="s">
        <v>3497</v>
      </c>
      <c r="D860" s="27" t="s">
        <v>2229</v>
      </c>
      <c r="E860" s="27" t="s">
        <v>2232</v>
      </c>
      <c r="F860" s="27" t="str">
        <f>"22.03"</f>
        <v>22.03</v>
      </c>
      <c r="G860" s="27" t="s">
        <v>3497</v>
      </c>
      <c r="H860" s="65" t="str">
        <f t="shared" si="39"/>
        <v>No Change</v>
      </c>
      <c r="I860" s="65" t="str">
        <f t="shared" si="40"/>
        <v/>
      </c>
      <c r="J860" s="65" t="str">
        <f t="shared" si="41"/>
        <v/>
      </c>
    </row>
    <row r="861" spans="1:10" x14ac:dyDescent="0.3">
      <c r="A861" s="27" t="s">
        <v>863</v>
      </c>
      <c r="B861" s="27" t="str">
        <f>"22.0301"</f>
        <v>22.0301</v>
      </c>
      <c r="C861" s="64" t="s">
        <v>864</v>
      </c>
      <c r="D861" s="27" t="s">
        <v>2229</v>
      </c>
      <c r="E861" s="27" t="s">
        <v>2232</v>
      </c>
      <c r="F861" s="27" t="str">
        <f>"22.0301"</f>
        <v>22.0301</v>
      </c>
      <c r="G861" s="27" t="s">
        <v>864</v>
      </c>
      <c r="H861" s="65" t="str">
        <f t="shared" si="39"/>
        <v>No Change</v>
      </c>
      <c r="I861" s="65" t="str">
        <f t="shared" si="40"/>
        <v>220301</v>
      </c>
      <c r="J861" s="65" t="str">
        <f t="shared" si="41"/>
        <v>220301</v>
      </c>
    </row>
    <row r="862" spans="1:10" x14ac:dyDescent="0.3">
      <c r="A862" s="27" t="s">
        <v>126</v>
      </c>
      <c r="B862" s="27" t="str">
        <f>"22.0302"</f>
        <v>22.0302</v>
      </c>
      <c r="C862" s="64" t="s">
        <v>127</v>
      </c>
      <c r="D862" s="27" t="s">
        <v>2229</v>
      </c>
      <c r="E862" s="27" t="s">
        <v>2232</v>
      </c>
      <c r="F862" s="27" t="str">
        <f>"22.0302"</f>
        <v>22.0302</v>
      </c>
      <c r="G862" s="27" t="s">
        <v>127</v>
      </c>
      <c r="H862" s="65" t="str">
        <f t="shared" si="39"/>
        <v>No Change</v>
      </c>
      <c r="I862" s="65" t="str">
        <f t="shared" si="40"/>
        <v>220302</v>
      </c>
      <c r="J862" s="65" t="str">
        <f t="shared" si="41"/>
        <v>220302</v>
      </c>
    </row>
    <row r="863" spans="1:10" x14ac:dyDescent="0.3">
      <c r="A863" s="27" t="s">
        <v>1133</v>
      </c>
      <c r="B863" s="27" t="str">
        <f>"22.0303"</f>
        <v>22.0303</v>
      </c>
      <c r="C863" s="64" t="s">
        <v>3498</v>
      </c>
      <c r="D863" s="27" t="s">
        <v>2229</v>
      </c>
      <c r="E863" s="27" t="s">
        <v>2230</v>
      </c>
      <c r="F863" s="27" t="str">
        <f>"22.0303"</f>
        <v>22.0303</v>
      </c>
      <c r="G863" s="27" t="s">
        <v>1134</v>
      </c>
      <c r="H863" s="65" t="str">
        <f t="shared" si="39"/>
        <v>No Change</v>
      </c>
      <c r="I863" s="65" t="str">
        <f t="shared" si="40"/>
        <v>220303</v>
      </c>
      <c r="J863" s="65" t="str">
        <f t="shared" si="41"/>
        <v>220303</v>
      </c>
    </row>
    <row r="864" spans="1:10" x14ac:dyDescent="0.3">
      <c r="A864" s="27" t="s">
        <v>1869</v>
      </c>
      <c r="D864" s="27" t="s">
        <v>2255</v>
      </c>
      <c r="E864" s="27" t="s">
        <v>2232</v>
      </c>
      <c r="F864" s="27" t="str">
        <f>"22.0304"</f>
        <v>22.0304</v>
      </c>
      <c r="G864" s="27" t="s">
        <v>3499</v>
      </c>
      <c r="H864" s="65" t="str">
        <f t="shared" si="39"/>
        <v>Other</v>
      </c>
      <c r="I864" s="65" t="str">
        <f t="shared" si="40"/>
        <v/>
      </c>
      <c r="J864" s="65" t="str">
        <f t="shared" si="41"/>
        <v>220304</v>
      </c>
    </row>
    <row r="865" spans="1:10" x14ac:dyDescent="0.3">
      <c r="A865" s="27" t="s">
        <v>1869</v>
      </c>
      <c r="D865" s="27" t="s">
        <v>2255</v>
      </c>
      <c r="E865" s="27" t="s">
        <v>2232</v>
      </c>
      <c r="F865" s="27" t="str">
        <f>"22.0305"</f>
        <v>22.0305</v>
      </c>
      <c r="G865" s="27" t="s">
        <v>3500</v>
      </c>
      <c r="H865" s="65" t="str">
        <f t="shared" si="39"/>
        <v>Other</v>
      </c>
      <c r="I865" s="65" t="str">
        <f t="shared" si="40"/>
        <v/>
      </c>
      <c r="J865" s="65" t="str">
        <f t="shared" si="41"/>
        <v>220305</v>
      </c>
    </row>
    <row r="866" spans="1:10" x14ac:dyDescent="0.3">
      <c r="A866" s="27" t="s">
        <v>3501</v>
      </c>
      <c r="B866" s="27" t="str">
        <f>"22.0399"</f>
        <v>22.0399</v>
      </c>
      <c r="C866" s="64" t="s">
        <v>3502</v>
      </c>
      <c r="D866" s="27" t="s">
        <v>2229</v>
      </c>
      <c r="E866" s="27" t="s">
        <v>2232</v>
      </c>
      <c r="F866" s="27" t="str">
        <f>"22.0399"</f>
        <v>22.0399</v>
      </c>
      <c r="G866" s="27" t="s">
        <v>3502</v>
      </c>
      <c r="H866" s="65" t="str">
        <f t="shared" si="39"/>
        <v>No Change</v>
      </c>
      <c r="I866" s="65" t="str">
        <f t="shared" si="40"/>
        <v>220399</v>
      </c>
      <c r="J866" s="65" t="str">
        <f t="shared" si="41"/>
        <v>220399</v>
      </c>
    </row>
    <row r="867" spans="1:10" x14ac:dyDescent="0.3">
      <c r="A867" s="27" t="s">
        <v>1869</v>
      </c>
      <c r="B867" s="27" t="str">
        <f>"22.99"</f>
        <v>22.99</v>
      </c>
      <c r="C867" s="64" t="s">
        <v>3503</v>
      </c>
      <c r="D867" s="27" t="s">
        <v>2229</v>
      </c>
      <c r="E867" s="27" t="s">
        <v>2232</v>
      </c>
      <c r="F867" s="27" t="str">
        <f>"22.99"</f>
        <v>22.99</v>
      </c>
      <c r="G867" s="27" t="s">
        <v>3503</v>
      </c>
      <c r="H867" s="65" t="str">
        <f t="shared" si="39"/>
        <v>No Change</v>
      </c>
      <c r="I867" s="65" t="str">
        <f t="shared" si="40"/>
        <v/>
      </c>
      <c r="J867" s="65" t="str">
        <f t="shared" si="41"/>
        <v/>
      </c>
    </row>
    <row r="868" spans="1:10" x14ac:dyDescent="0.3">
      <c r="A868" s="27" t="s">
        <v>3504</v>
      </c>
      <c r="B868" s="27" t="str">
        <f>"22.9999"</f>
        <v>22.9999</v>
      </c>
      <c r="C868" s="64" t="s">
        <v>3503</v>
      </c>
      <c r="D868" s="27" t="s">
        <v>2229</v>
      </c>
      <c r="E868" s="27" t="s">
        <v>2232</v>
      </c>
      <c r="F868" s="27" t="str">
        <f>"22.9999"</f>
        <v>22.9999</v>
      </c>
      <c r="G868" s="27" t="s">
        <v>3503</v>
      </c>
      <c r="H868" s="65" t="str">
        <f t="shared" si="39"/>
        <v>No Change</v>
      </c>
      <c r="I868" s="65" t="str">
        <f t="shared" si="40"/>
        <v>229999</v>
      </c>
      <c r="J868" s="65" t="str">
        <f t="shared" si="41"/>
        <v>229999</v>
      </c>
    </row>
    <row r="869" spans="1:10" x14ac:dyDescent="0.3">
      <c r="A869" s="27" t="s">
        <v>1869</v>
      </c>
      <c r="B869" s="27" t="str">
        <f>"23"</f>
        <v>23</v>
      </c>
      <c r="C869" s="64" t="s">
        <v>3505</v>
      </c>
      <c r="D869" s="27" t="s">
        <v>2229</v>
      </c>
      <c r="E869" s="27" t="s">
        <v>2232</v>
      </c>
      <c r="F869" s="27" t="str">
        <f>"23"</f>
        <v>23</v>
      </c>
      <c r="G869" s="27" t="s">
        <v>3505</v>
      </c>
      <c r="H869" s="65" t="str">
        <f t="shared" si="39"/>
        <v>No Change</v>
      </c>
      <c r="I869" s="65" t="str">
        <f t="shared" si="40"/>
        <v/>
      </c>
      <c r="J869" s="65" t="str">
        <f t="shared" si="41"/>
        <v/>
      </c>
    </row>
    <row r="870" spans="1:10" x14ac:dyDescent="0.3">
      <c r="A870" s="27" t="s">
        <v>1869</v>
      </c>
      <c r="B870" s="27" t="str">
        <f>"23.01"</f>
        <v>23.01</v>
      </c>
      <c r="C870" s="64" t="s">
        <v>3506</v>
      </c>
      <c r="D870" s="27" t="s">
        <v>2229</v>
      </c>
      <c r="E870" s="27" t="s">
        <v>2232</v>
      </c>
      <c r="F870" s="27" t="str">
        <f>"23.01"</f>
        <v>23.01</v>
      </c>
      <c r="G870" s="27" t="s">
        <v>3506</v>
      </c>
      <c r="H870" s="65" t="str">
        <f t="shared" si="39"/>
        <v>No Change</v>
      </c>
      <c r="I870" s="65" t="str">
        <f t="shared" si="40"/>
        <v/>
      </c>
      <c r="J870" s="65" t="str">
        <f t="shared" si="41"/>
        <v/>
      </c>
    </row>
    <row r="871" spans="1:10" x14ac:dyDescent="0.3">
      <c r="A871" s="27" t="s">
        <v>3507</v>
      </c>
      <c r="B871" s="27" t="str">
        <f>"23.0101"</f>
        <v>23.0101</v>
      </c>
      <c r="C871" s="64" t="s">
        <v>3506</v>
      </c>
      <c r="D871" s="27" t="s">
        <v>2229</v>
      </c>
      <c r="E871" s="27" t="s">
        <v>2232</v>
      </c>
      <c r="F871" s="27" t="str">
        <f>"23.0101"</f>
        <v>23.0101</v>
      </c>
      <c r="G871" s="27" t="s">
        <v>3506</v>
      </c>
      <c r="H871" s="65" t="str">
        <f t="shared" si="39"/>
        <v>No Change</v>
      </c>
      <c r="I871" s="65" t="str">
        <f t="shared" si="40"/>
        <v>230101</v>
      </c>
      <c r="J871" s="65" t="str">
        <f t="shared" si="41"/>
        <v>230101</v>
      </c>
    </row>
    <row r="872" spans="1:10" x14ac:dyDescent="0.3">
      <c r="A872" s="27" t="s">
        <v>1869</v>
      </c>
      <c r="B872" s="27" t="str">
        <f>"23.13"</f>
        <v>23.13</v>
      </c>
      <c r="C872" s="64" t="s">
        <v>3508</v>
      </c>
      <c r="D872" s="27" t="s">
        <v>2229</v>
      </c>
      <c r="E872" s="27" t="s">
        <v>2232</v>
      </c>
      <c r="F872" s="27" t="str">
        <f>"23.13"</f>
        <v>23.13</v>
      </c>
      <c r="G872" s="27" t="s">
        <v>3508</v>
      </c>
      <c r="H872" s="65" t="str">
        <f t="shared" si="39"/>
        <v>No Change</v>
      </c>
      <c r="I872" s="65" t="str">
        <f t="shared" si="40"/>
        <v/>
      </c>
      <c r="J872" s="65" t="str">
        <f t="shared" si="41"/>
        <v/>
      </c>
    </row>
    <row r="873" spans="1:10" x14ac:dyDescent="0.3">
      <c r="A873" s="27" t="s">
        <v>3509</v>
      </c>
      <c r="B873" s="27" t="str">
        <f>"23.1301"</f>
        <v>23.1301</v>
      </c>
      <c r="C873" s="64" t="s">
        <v>3510</v>
      </c>
      <c r="D873" s="27" t="s">
        <v>2229</v>
      </c>
      <c r="E873" s="27" t="s">
        <v>2232</v>
      </c>
      <c r="F873" s="27" t="str">
        <f>"23.1301"</f>
        <v>23.1301</v>
      </c>
      <c r="G873" s="27" t="s">
        <v>3510</v>
      </c>
      <c r="H873" s="65" t="str">
        <f t="shared" si="39"/>
        <v>No Change</v>
      </c>
      <c r="I873" s="65" t="str">
        <f t="shared" si="40"/>
        <v>231301</v>
      </c>
      <c r="J873" s="65" t="str">
        <f t="shared" si="41"/>
        <v>231301</v>
      </c>
    </row>
    <row r="874" spans="1:10" x14ac:dyDescent="0.3">
      <c r="A874" s="27" t="s">
        <v>3511</v>
      </c>
      <c r="B874" s="27" t="str">
        <f>"23.1302"</f>
        <v>23.1302</v>
      </c>
      <c r="C874" s="64" t="s">
        <v>3512</v>
      </c>
      <c r="D874" s="27" t="s">
        <v>2229</v>
      </c>
      <c r="E874" s="27" t="s">
        <v>2232</v>
      </c>
      <c r="F874" s="27" t="str">
        <f>"23.1302"</f>
        <v>23.1302</v>
      </c>
      <c r="G874" s="27" t="s">
        <v>3512</v>
      </c>
      <c r="H874" s="65" t="str">
        <f t="shared" si="39"/>
        <v>No Change</v>
      </c>
      <c r="I874" s="65" t="str">
        <f t="shared" si="40"/>
        <v>231302</v>
      </c>
      <c r="J874" s="65" t="str">
        <f t="shared" si="41"/>
        <v>231302</v>
      </c>
    </row>
    <row r="875" spans="1:10" x14ac:dyDescent="0.3">
      <c r="A875" s="27" t="s">
        <v>3513</v>
      </c>
      <c r="B875" s="27" t="str">
        <f>"23.1303"</f>
        <v>23.1303</v>
      </c>
      <c r="C875" s="64" t="s">
        <v>3514</v>
      </c>
      <c r="D875" s="27" t="s">
        <v>2229</v>
      </c>
      <c r="E875" s="27" t="s">
        <v>2232</v>
      </c>
      <c r="F875" s="27" t="str">
        <f>"23.1303"</f>
        <v>23.1303</v>
      </c>
      <c r="G875" s="27" t="s">
        <v>3514</v>
      </c>
      <c r="H875" s="65" t="str">
        <f t="shared" si="39"/>
        <v>No Change</v>
      </c>
      <c r="I875" s="65" t="str">
        <f t="shared" si="40"/>
        <v>231303</v>
      </c>
      <c r="J875" s="65" t="str">
        <f t="shared" si="41"/>
        <v>231303</v>
      </c>
    </row>
    <row r="876" spans="1:10" x14ac:dyDescent="0.3">
      <c r="A876" s="27" t="s">
        <v>3515</v>
      </c>
      <c r="B876" s="27" t="str">
        <f>"23.1304"</f>
        <v>23.1304</v>
      </c>
      <c r="C876" s="64" t="s">
        <v>3516</v>
      </c>
      <c r="D876" s="27" t="s">
        <v>2229</v>
      </c>
      <c r="E876" s="27" t="s">
        <v>2232</v>
      </c>
      <c r="F876" s="27" t="str">
        <f>"23.1304"</f>
        <v>23.1304</v>
      </c>
      <c r="G876" s="27" t="s">
        <v>3516</v>
      </c>
      <c r="H876" s="65" t="str">
        <f t="shared" si="39"/>
        <v>No Change</v>
      </c>
      <c r="I876" s="65" t="str">
        <f t="shared" si="40"/>
        <v>231304</v>
      </c>
      <c r="J876" s="65" t="str">
        <f t="shared" si="41"/>
        <v>231304</v>
      </c>
    </row>
    <row r="877" spans="1:10" x14ac:dyDescent="0.3">
      <c r="A877" s="27" t="s">
        <v>3517</v>
      </c>
      <c r="B877" s="27" t="str">
        <f>"23.1399"</f>
        <v>23.1399</v>
      </c>
      <c r="C877" s="64" t="s">
        <v>3518</v>
      </c>
      <c r="D877" s="27" t="s">
        <v>2229</v>
      </c>
      <c r="E877" s="27" t="s">
        <v>2232</v>
      </c>
      <c r="F877" s="27" t="str">
        <f>"23.1399"</f>
        <v>23.1399</v>
      </c>
      <c r="G877" s="27" t="s">
        <v>3518</v>
      </c>
      <c r="H877" s="65" t="str">
        <f t="shared" si="39"/>
        <v>No Change</v>
      </c>
      <c r="I877" s="65" t="str">
        <f t="shared" si="40"/>
        <v>231399</v>
      </c>
      <c r="J877" s="65" t="str">
        <f t="shared" si="41"/>
        <v>231399</v>
      </c>
    </row>
    <row r="878" spans="1:10" x14ac:dyDescent="0.3">
      <c r="A878" s="27" t="s">
        <v>1869</v>
      </c>
      <c r="B878" s="27" t="str">
        <f>"23.14"</f>
        <v>23.14</v>
      </c>
      <c r="C878" s="64" t="s">
        <v>3519</v>
      </c>
      <c r="D878" s="27" t="s">
        <v>2229</v>
      </c>
      <c r="E878" s="27" t="s">
        <v>2232</v>
      </c>
      <c r="F878" s="27" t="str">
        <f>"23.14"</f>
        <v>23.14</v>
      </c>
      <c r="G878" s="27" t="s">
        <v>3519</v>
      </c>
      <c r="H878" s="65" t="str">
        <f t="shared" si="39"/>
        <v>No Change</v>
      </c>
      <c r="I878" s="65" t="str">
        <f t="shared" si="40"/>
        <v/>
      </c>
      <c r="J878" s="65" t="str">
        <f t="shared" si="41"/>
        <v/>
      </c>
    </row>
    <row r="879" spans="1:10" x14ac:dyDescent="0.3">
      <c r="A879" s="27" t="s">
        <v>3520</v>
      </c>
      <c r="B879" s="27" t="str">
        <f>"23.1401"</f>
        <v>23.1401</v>
      </c>
      <c r="C879" s="64" t="s">
        <v>3521</v>
      </c>
      <c r="D879" s="27" t="s">
        <v>2229</v>
      </c>
      <c r="E879" s="27" t="s">
        <v>2232</v>
      </c>
      <c r="F879" s="27" t="str">
        <f>"23.1401"</f>
        <v>23.1401</v>
      </c>
      <c r="G879" s="27" t="s">
        <v>3521</v>
      </c>
      <c r="H879" s="65" t="str">
        <f t="shared" si="39"/>
        <v>No Change</v>
      </c>
      <c r="I879" s="65" t="str">
        <f t="shared" si="40"/>
        <v>231401</v>
      </c>
      <c r="J879" s="65" t="str">
        <f t="shared" si="41"/>
        <v>231401</v>
      </c>
    </row>
    <row r="880" spans="1:10" x14ac:dyDescent="0.3">
      <c r="A880" s="27" t="s">
        <v>3522</v>
      </c>
      <c r="B880" s="27" t="str">
        <f>"23.1402"</f>
        <v>23.1402</v>
      </c>
      <c r="C880" s="64" t="s">
        <v>3523</v>
      </c>
      <c r="D880" s="27" t="s">
        <v>2229</v>
      </c>
      <c r="E880" s="27" t="s">
        <v>2232</v>
      </c>
      <c r="F880" s="27" t="str">
        <f>"23.1402"</f>
        <v>23.1402</v>
      </c>
      <c r="G880" s="27" t="s">
        <v>3523</v>
      </c>
      <c r="H880" s="65" t="str">
        <f t="shared" si="39"/>
        <v>No Change</v>
      </c>
      <c r="I880" s="65" t="str">
        <f t="shared" si="40"/>
        <v>231402</v>
      </c>
      <c r="J880" s="65" t="str">
        <f t="shared" si="41"/>
        <v>231402</v>
      </c>
    </row>
    <row r="881" spans="1:10" x14ac:dyDescent="0.3">
      <c r="A881" s="27" t="s">
        <v>3524</v>
      </c>
      <c r="B881" s="27" t="str">
        <f>"23.1403"</f>
        <v>23.1403</v>
      </c>
      <c r="C881" s="64" t="s">
        <v>3525</v>
      </c>
      <c r="D881" s="27" t="s">
        <v>2229</v>
      </c>
      <c r="E881" s="27" t="s">
        <v>2232</v>
      </c>
      <c r="F881" s="27" t="str">
        <f>"23.1403"</f>
        <v>23.1403</v>
      </c>
      <c r="G881" s="27" t="s">
        <v>3525</v>
      </c>
      <c r="H881" s="65" t="str">
        <f t="shared" si="39"/>
        <v>No Change</v>
      </c>
      <c r="I881" s="65" t="str">
        <f t="shared" si="40"/>
        <v>231403</v>
      </c>
      <c r="J881" s="65" t="str">
        <f t="shared" si="41"/>
        <v>231403</v>
      </c>
    </row>
    <row r="882" spans="1:10" x14ac:dyDescent="0.3">
      <c r="A882" s="27" t="s">
        <v>3526</v>
      </c>
      <c r="B882" s="27" t="str">
        <f>"23.1404"</f>
        <v>23.1404</v>
      </c>
      <c r="C882" s="64" t="s">
        <v>3527</v>
      </c>
      <c r="D882" s="27" t="s">
        <v>2229</v>
      </c>
      <c r="E882" s="27" t="s">
        <v>2232</v>
      </c>
      <c r="F882" s="27" t="str">
        <f>"23.1404"</f>
        <v>23.1404</v>
      </c>
      <c r="G882" s="27" t="s">
        <v>3527</v>
      </c>
      <c r="H882" s="65" t="str">
        <f t="shared" si="39"/>
        <v>No Change</v>
      </c>
      <c r="I882" s="65" t="str">
        <f t="shared" si="40"/>
        <v>231404</v>
      </c>
      <c r="J882" s="65" t="str">
        <f t="shared" si="41"/>
        <v>231404</v>
      </c>
    </row>
    <row r="883" spans="1:10" x14ac:dyDescent="0.3">
      <c r="A883" s="27" t="s">
        <v>3528</v>
      </c>
      <c r="B883" s="27" t="str">
        <f>"23.1405"</f>
        <v>23.1405</v>
      </c>
      <c r="C883" s="64" t="s">
        <v>3529</v>
      </c>
      <c r="D883" s="27" t="s">
        <v>2229</v>
      </c>
      <c r="E883" s="27" t="s">
        <v>2232</v>
      </c>
      <c r="F883" s="27" t="str">
        <f>"23.1405"</f>
        <v>23.1405</v>
      </c>
      <c r="G883" s="27" t="s">
        <v>3529</v>
      </c>
      <c r="H883" s="65" t="str">
        <f t="shared" si="39"/>
        <v>No Change</v>
      </c>
      <c r="I883" s="65" t="str">
        <f t="shared" si="40"/>
        <v>231405</v>
      </c>
      <c r="J883" s="65" t="str">
        <f t="shared" si="41"/>
        <v>231405</v>
      </c>
    </row>
    <row r="884" spans="1:10" x14ac:dyDescent="0.3">
      <c r="A884" s="27" t="s">
        <v>3530</v>
      </c>
      <c r="B884" s="27" t="str">
        <f>"23.1499"</f>
        <v>23.1499</v>
      </c>
      <c r="C884" s="64" t="s">
        <v>3531</v>
      </c>
      <c r="D884" s="27" t="s">
        <v>2229</v>
      </c>
      <c r="E884" s="27" t="s">
        <v>2232</v>
      </c>
      <c r="F884" s="27" t="str">
        <f>"23.1499"</f>
        <v>23.1499</v>
      </c>
      <c r="G884" s="27" t="s">
        <v>3531</v>
      </c>
      <c r="H884" s="65" t="str">
        <f t="shared" si="39"/>
        <v>No Change</v>
      </c>
      <c r="I884" s="65" t="str">
        <f t="shared" si="40"/>
        <v>231499</v>
      </c>
      <c r="J884" s="65" t="str">
        <f t="shared" si="41"/>
        <v>231499</v>
      </c>
    </row>
    <row r="885" spans="1:10" x14ac:dyDescent="0.3">
      <c r="A885" s="27" t="s">
        <v>1869</v>
      </c>
      <c r="B885" s="27" t="str">
        <f>"23.99"</f>
        <v>23.99</v>
      </c>
      <c r="C885" s="64" t="s">
        <v>3532</v>
      </c>
      <c r="D885" s="27" t="s">
        <v>2229</v>
      </c>
      <c r="E885" s="27" t="s">
        <v>2232</v>
      </c>
      <c r="F885" s="27" t="str">
        <f>"23.99"</f>
        <v>23.99</v>
      </c>
      <c r="G885" s="27" t="s">
        <v>3532</v>
      </c>
      <c r="H885" s="65" t="str">
        <f t="shared" si="39"/>
        <v>No Change</v>
      </c>
      <c r="I885" s="65" t="str">
        <f t="shared" si="40"/>
        <v/>
      </c>
      <c r="J885" s="65" t="str">
        <f t="shared" si="41"/>
        <v/>
      </c>
    </row>
    <row r="886" spans="1:10" x14ac:dyDescent="0.3">
      <c r="A886" s="27" t="s">
        <v>3533</v>
      </c>
      <c r="B886" s="27" t="str">
        <f>"23.9999"</f>
        <v>23.9999</v>
      </c>
      <c r="C886" s="64" t="s">
        <v>3532</v>
      </c>
      <c r="D886" s="27" t="s">
        <v>2229</v>
      </c>
      <c r="E886" s="27" t="s">
        <v>2232</v>
      </c>
      <c r="F886" s="27" t="str">
        <f>"23.9999"</f>
        <v>23.9999</v>
      </c>
      <c r="G886" s="27" t="s">
        <v>3532</v>
      </c>
      <c r="H886" s="65" t="str">
        <f t="shared" si="39"/>
        <v>No Change</v>
      </c>
      <c r="I886" s="65" t="str">
        <f t="shared" si="40"/>
        <v>239999</v>
      </c>
      <c r="J886" s="65" t="str">
        <f t="shared" si="41"/>
        <v>239999</v>
      </c>
    </row>
    <row r="887" spans="1:10" ht="28.8" x14ac:dyDescent="0.3">
      <c r="A887" s="27" t="s">
        <v>1869</v>
      </c>
      <c r="B887" s="27" t="str">
        <f>"24"</f>
        <v>24</v>
      </c>
      <c r="C887" s="64" t="s">
        <v>3534</v>
      </c>
      <c r="D887" s="27" t="s">
        <v>2229</v>
      </c>
      <c r="E887" s="27" t="s">
        <v>2232</v>
      </c>
      <c r="F887" s="27" t="str">
        <f>"24"</f>
        <v>24</v>
      </c>
      <c r="G887" s="27" t="s">
        <v>3534</v>
      </c>
      <c r="H887" s="65" t="str">
        <f t="shared" si="39"/>
        <v>No Change</v>
      </c>
      <c r="I887" s="65" t="str">
        <f t="shared" si="40"/>
        <v/>
      </c>
      <c r="J887" s="65" t="str">
        <f t="shared" si="41"/>
        <v/>
      </c>
    </row>
    <row r="888" spans="1:10" x14ac:dyDescent="0.3">
      <c r="A888" s="27" t="s">
        <v>1869</v>
      </c>
      <c r="B888" s="27" t="str">
        <f>"24.01"</f>
        <v>24.01</v>
      </c>
      <c r="C888" s="64" t="s">
        <v>3535</v>
      </c>
      <c r="D888" s="27" t="s">
        <v>2229</v>
      </c>
      <c r="E888" s="27" t="s">
        <v>2232</v>
      </c>
      <c r="F888" s="27" t="str">
        <f>"24.01"</f>
        <v>24.01</v>
      </c>
      <c r="G888" s="27" t="s">
        <v>3535</v>
      </c>
      <c r="H888" s="65" t="str">
        <f t="shared" si="39"/>
        <v>No Change</v>
      </c>
      <c r="I888" s="65" t="str">
        <f t="shared" si="40"/>
        <v/>
      </c>
      <c r="J888" s="65" t="str">
        <f t="shared" si="41"/>
        <v/>
      </c>
    </row>
    <row r="889" spans="1:10" x14ac:dyDescent="0.3">
      <c r="A889" s="27" t="s">
        <v>1810</v>
      </c>
      <c r="B889" s="27" t="str">
        <f>"24.0101"</f>
        <v>24.0101</v>
      </c>
      <c r="C889" s="64" t="s">
        <v>3536</v>
      </c>
      <c r="D889" s="27" t="s">
        <v>2229</v>
      </c>
      <c r="E889" s="27" t="s">
        <v>2232</v>
      </c>
      <c r="F889" s="27" t="str">
        <f>"24.0101"</f>
        <v>24.0101</v>
      </c>
      <c r="G889" s="27" t="s">
        <v>3536</v>
      </c>
      <c r="H889" s="65" t="str">
        <f t="shared" si="39"/>
        <v>No Change</v>
      </c>
      <c r="I889" s="65" t="str">
        <f t="shared" si="40"/>
        <v>240101</v>
      </c>
      <c r="J889" s="65" t="str">
        <f t="shared" si="41"/>
        <v>240101</v>
      </c>
    </row>
    <row r="890" spans="1:10" x14ac:dyDescent="0.3">
      <c r="A890" s="27" t="s">
        <v>3537</v>
      </c>
      <c r="B890" s="27" t="str">
        <f>"24.0102"</f>
        <v>24.0102</v>
      </c>
      <c r="C890" s="64" t="s">
        <v>3538</v>
      </c>
      <c r="D890" s="27" t="s">
        <v>2229</v>
      </c>
      <c r="E890" s="27" t="s">
        <v>2232</v>
      </c>
      <c r="F890" s="27" t="str">
        <f>"24.0102"</f>
        <v>24.0102</v>
      </c>
      <c r="G890" s="27" t="s">
        <v>3538</v>
      </c>
      <c r="H890" s="65" t="str">
        <f t="shared" si="39"/>
        <v>No Change</v>
      </c>
      <c r="I890" s="65" t="str">
        <f t="shared" si="40"/>
        <v>240102</v>
      </c>
      <c r="J890" s="65" t="str">
        <f t="shared" si="41"/>
        <v>240102</v>
      </c>
    </row>
    <row r="891" spans="1:10" x14ac:dyDescent="0.3">
      <c r="A891" s="27" t="s">
        <v>3539</v>
      </c>
      <c r="B891" s="27" t="str">
        <f>"24.0103"</f>
        <v>24.0103</v>
      </c>
      <c r="C891" s="64" t="s">
        <v>3540</v>
      </c>
      <c r="D891" s="27" t="s">
        <v>2229</v>
      </c>
      <c r="E891" s="27" t="s">
        <v>2232</v>
      </c>
      <c r="F891" s="27" t="str">
        <f>"24.0103"</f>
        <v>24.0103</v>
      </c>
      <c r="G891" s="27" t="s">
        <v>3540</v>
      </c>
      <c r="H891" s="65" t="str">
        <f t="shared" si="39"/>
        <v>No Change</v>
      </c>
      <c r="I891" s="65" t="str">
        <f t="shared" si="40"/>
        <v>240103</v>
      </c>
      <c r="J891" s="65" t="str">
        <f t="shared" si="41"/>
        <v>240103</v>
      </c>
    </row>
    <row r="892" spans="1:10" ht="28.8" x14ac:dyDescent="0.3">
      <c r="A892" s="27" t="s">
        <v>3541</v>
      </c>
      <c r="B892" s="27" t="str">
        <f>"24.0199"</f>
        <v>24.0199</v>
      </c>
      <c r="C892" s="64" t="s">
        <v>3542</v>
      </c>
      <c r="D892" s="27" t="s">
        <v>2229</v>
      </c>
      <c r="E892" s="27" t="s">
        <v>2232</v>
      </c>
      <c r="F892" s="27" t="str">
        <f>"24.0199"</f>
        <v>24.0199</v>
      </c>
      <c r="G892" s="27" t="s">
        <v>3542</v>
      </c>
      <c r="H892" s="65" t="str">
        <f t="shared" si="39"/>
        <v>No Change</v>
      </c>
      <c r="I892" s="65" t="str">
        <f t="shared" si="40"/>
        <v>240199</v>
      </c>
      <c r="J892" s="65" t="str">
        <f t="shared" si="41"/>
        <v>240199</v>
      </c>
    </row>
    <row r="893" spans="1:10" x14ac:dyDescent="0.3">
      <c r="A893" s="27" t="s">
        <v>1869</v>
      </c>
      <c r="B893" s="27" t="str">
        <f>"25"</f>
        <v>25</v>
      </c>
      <c r="C893" s="64" t="s">
        <v>3543</v>
      </c>
      <c r="D893" s="27" t="s">
        <v>2229</v>
      </c>
      <c r="E893" s="27" t="s">
        <v>2232</v>
      </c>
      <c r="F893" s="27" t="str">
        <f>"25"</f>
        <v>25</v>
      </c>
      <c r="G893" s="27" t="s">
        <v>3543</v>
      </c>
      <c r="H893" s="65" t="str">
        <f t="shared" si="39"/>
        <v>No Change</v>
      </c>
      <c r="I893" s="65" t="str">
        <f t="shared" si="40"/>
        <v/>
      </c>
      <c r="J893" s="65" t="str">
        <f t="shared" si="41"/>
        <v/>
      </c>
    </row>
    <row r="894" spans="1:10" x14ac:dyDescent="0.3">
      <c r="A894" s="27" t="s">
        <v>1869</v>
      </c>
      <c r="B894" s="27" t="str">
        <f>"25.01"</f>
        <v>25.01</v>
      </c>
      <c r="C894" s="64" t="s">
        <v>3544</v>
      </c>
      <c r="D894" s="27" t="s">
        <v>2229</v>
      </c>
      <c r="E894" s="27" t="s">
        <v>2232</v>
      </c>
      <c r="F894" s="27" t="str">
        <f>"25.01"</f>
        <v>25.01</v>
      </c>
      <c r="G894" s="27" t="s">
        <v>3544</v>
      </c>
      <c r="H894" s="65" t="str">
        <f t="shared" si="39"/>
        <v>No Change</v>
      </c>
      <c r="I894" s="65" t="str">
        <f t="shared" si="40"/>
        <v/>
      </c>
      <c r="J894" s="65" t="str">
        <f t="shared" si="41"/>
        <v/>
      </c>
    </row>
    <row r="895" spans="1:10" x14ac:dyDescent="0.3">
      <c r="A895" s="27" t="s">
        <v>3545</v>
      </c>
      <c r="B895" s="27" t="str">
        <f>"25.0101"</f>
        <v>25.0101</v>
      </c>
      <c r="C895" s="64" t="s">
        <v>3546</v>
      </c>
      <c r="D895" s="27" t="s">
        <v>2229</v>
      </c>
      <c r="E895" s="27" t="s">
        <v>2232</v>
      </c>
      <c r="F895" s="27" t="str">
        <f>"25.0101"</f>
        <v>25.0101</v>
      </c>
      <c r="G895" s="27" t="s">
        <v>3546</v>
      </c>
      <c r="H895" s="65" t="str">
        <f t="shared" si="39"/>
        <v>No Change</v>
      </c>
      <c r="I895" s="65" t="str">
        <f t="shared" si="40"/>
        <v>250101</v>
      </c>
      <c r="J895" s="65" t="str">
        <f t="shared" si="41"/>
        <v>250101</v>
      </c>
    </row>
    <row r="896" spans="1:10" x14ac:dyDescent="0.3">
      <c r="A896" s="27" t="s">
        <v>3547</v>
      </c>
      <c r="B896" s="27" t="str">
        <f>"25.0102"</f>
        <v>25.0102</v>
      </c>
      <c r="C896" s="64" t="s">
        <v>3548</v>
      </c>
      <c r="D896" s="27" t="s">
        <v>2229</v>
      </c>
      <c r="E896" s="27" t="s">
        <v>2232</v>
      </c>
      <c r="F896" s="27" t="str">
        <f>"25.0102"</f>
        <v>25.0102</v>
      </c>
      <c r="G896" s="27" t="s">
        <v>3548</v>
      </c>
      <c r="H896" s="65" t="str">
        <f t="shared" si="39"/>
        <v>No Change</v>
      </c>
      <c r="I896" s="65" t="str">
        <f t="shared" si="40"/>
        <v>250102</v>
      </c>
      <c r="J896" s="65" t="str">
        <f t="shared" si="41"/>
        <v>250102</v>
      </c>
    </row>
    <row r="897" spans="1:10" x14ac:dyDescent="0.3">
      <c r="A897" s="27" t="s">
        <v>3549</v>
      </c>
      <c r="B897" s="27" t="str">
        <f>"25.0103"</f>
        <v>25.0103</v>
      </c>
      <c r="C897" s="64" t="s">
        <v>3550</v>
      </c>
      <c r="D897" s="27" t="s">
        <v>2229</v>
      </c>
      <c r="E897" s="27" t="s">
        <v>2232</v>
      </c>
      <c r="F897" s="27" t="str">
        <f>"25.0103"</f>
        <v>25.0103</v>
      </c>
      <c r="G897" s="27" t="s">
        <v>3550</v>
      </c>
      <c r="H897" s="65" t="str">
        <f t="shared" si="39"/>
        <v>No Change</v>
      </c>
      <c r="I897" s="65" t="str">
        <f t="shared" si="40"/>
        <v>250103</v>
      </c>
      <c r="J897" s="65" t="str">
        <f t="shared" si="41"/>
        <v>250103</v>
      </c>
    </row>
    <row r="898" spans="1:10" x14ac:dyDescent="0.3">
      <c r="A898" s="27" t="s">
        <v>3551</v>
      </c>
      <c r="B898" s="27" t="str">
        <f>"25.0199"</f>
        <v>25.0199</v>
      </c>
      <c r="C898" s="64" t="s">
        <v>3552</v>
      </c>
      <c r="D898" s="27" t="s">
        <v>2229</v>
      </c>
      <c r="E898" s="27" t="s">
        <v>2232</v>
      </c>
      <c r="F898" s="27" t="str">
        <f>"25.0199"</f>
        <v>25.0199</v>
      </c>
      <c r="G898" s="27" t="s">
        <v>3552</v>
      </c>
      <c r="H898" s="65" t="str">
        <f t="shared" si="39"/>
        <v>No Change</v>
      </c>
      <c r="I898" s="65" t="str">
        <f t="shared" si="40"/>
        <v>250199</v>
      </c>
      <c r="J898" s="65" t="str">
        <f t="shared" si="41"/>
        <v>250199</v>
      </c>
    </row>
    <row r="899" spans="1:10" x14ac:dyDescent="0.3">
      <c r="A899" s="27" t="s">
        <v>1869</v>
      </c>
      <c r="B899" s="27" t="str">
        <f>"25.03"</f>
        <v>25.03</v>
      </c>
      <c r="C899" s="64" t="s">
        <v>3553</v>
      </c>
      <c r="D899" s="27" t="s">
        <v>2229</v>
      </c>
      <c r="E899" s="27" t="s">
        <v>2232</v>
      </c>
      <c r="F899" s="27" t="str">
        <f>"25.03"</f>
        <v>25.03</v>
      </c>
      <c r="G899" s="27" t="s">
        <v>3553</v>
      </c>
      <c r="H899" s="65" t="str">
        <f t="shared" ref="H899:H962" si="42">IF(I899=J899,"No Change","Other")</f>
        <v>No Change</v>
      </c>
      <c r="I899" s="65" t="str">
        <f t="shared" ref="I899:I962" si="43">SUBSTITUTE(IF(SUM(LEN(B899))&lt;7,"",B899),".","")</f>
        <v/>
      </c>
      <c r="J899" s="65" t="str">
        <f t="shared" ref="J899:J962" si="44">SUBSTITUTE(IF(SUM(LEN(F899))&lt;7,"",F899),".","")</f>
        <v/>
      </c>
    </row>
    <row r="900" spans="1:10" x14ac:dyDescent="0.3">
      <c r="A900" s="27" t="s">
        <v>3554</v>
      </c>
      <c r="B900" s="27" t="str">
        <f>"25.0301"</f>
        <v>25.0301</v>
      </c>
      <c r="C900" s="64" t="s">
        <v>3553</v>
      </c>
      <c r="D900" s="27" t="s">
        <v>2229</v>
      </c>
      <c r="E900" s="27" t="s">
        <v>2232</v>
      </c>
      <c r="F900" s="27" t="str">
        <f>"25.0301"</f>
        <v>25.0301</v>
      </c>
      <c r="G900" s="27" t="s">
        <v>3553</v>
      </c>
      <c r="H900" s="65" t="str">
        <f t="shared" si="42"/>
        <v>No Change</v>
      </c>
      <c r="I900" s="65" t="str">
        <f t="shared" si="43"/>
        <v>250301</v>
      </c>
      <c r="J900" s="65" t="str">
        <f t="shared" si="44"/>
        <v>250301</v>
      </c>
    </row>
    <row r="901" spans="1:10" x14ac:dyDescent="0.3">
      <c r="A901" s="27" t="s">
        <v>1869</v>
      </c>
      <c r="B901" s="27" t="str">
        <f>"25.99"</f>
        <v>25.99</v>
      </c>
      <c r="C901" s="64" t="s">
        <v>3555</v>
      </c>
      <c r="D901" s="27" t="s">
        <v>2229</v>
      </c>
      <c r="E901" s="27" t="s">
        <v>2232</v>
      </c>
      <c r="F901" s="27" t="str">
        <f>"25.99"</f>
        <v>25.99</v>
      </c>
      <c r="G901" s="27" t="s">
        <v>3555</v>
      </c>
      <c r="H901" s="65" t="str">
        <f t="shared" si="42"/>
        <v>No Change</v>
      </c>
      <c r="I901" s="65" t="str">
        <f t="shared" si="43"/>
        <v/>
      </c>
      <c r="J901" s="65" t="str">
        <f t="shared" si="44"/>
        <v/>
      </c>
    </row>
    <row r="902" spans="1:10" x14ac:dyDescent="0.3">
      <c r="A902" s="27" t="s">
        <v>3556</v>
      </c>
      <c r="B902" s="27" t="str">
        <f>"25.9999"</f>
        <v>25.9999</v>
      </c>
      <c r="C902" s="64" t="s">
        <v>3555</v>
      </c>
      <c r="D902" s="27" t="s">
        <v>2229</v>
      </c>
      <c r="E902" s="27" t="s">
        <v>2232</v>
      </c>
      <c r="F902" s="27" t="str">
        <f>"25.9999"</f>
        <v>25.9999</v>
      </c>
      <c r="G902" s="27" t="s">
        <v>3555</v>
      </c>
      <c r="H902" s="65" t="str">
        <f t="shared" si="42"/>
        <v>No Change</v>
      </c>
      <c r="I902" s="65" t="str">
        <f t="shared" si="43"/>
        <v>259999</v>
      </c>
      <c r="J902" s="65" t="str">
        <f t="shared" si="44"/>
        <v>259999</v>
      </c>
    </row>
    <row r="903" spans="1:10" x14ac:dyDescent="0.3">
      <c r="A903" s="27" t="s">
        <v>1869</v>
      </c>
      <c r="B903" s="27" t="str">
        <f>"26"</f>
        <v>26</v>
      </c>
      <c r="C903" s="64" t="s">
        <v>3557</v>
      </c>
      <c r="D903" s="27" t="s">
        <v>2229</v>
      </c>
      <c r="E903" s="27" t="s">
        <v>2232</v>
      </c>
      <c r="F903" s="27" t="str">
        <f>"26"</f>
        <v>26</v>
      </c>
      <c r="G903" s="27" t="s">
        <v>3557</v>
      </c>
      <c r="H903" s="65" t="str">
        <f t="shared" si="42"/>
        <v>No Change</v>
      </c>
      <c r="I903" s="65" t="str">
        <f t="shared" si="43"/>
        <v/>
      </c>
      <c r="J903" s="65" t="str">
        <f t="shared" si="44"/>
        <v/>
      </c>
    </row>
    <row r="904" spans="1:10" x14ac:dyDescent="0.3">
      <c r="A904" s="27" t="s">
        <v>1869</v>
      </c>
      <c r="B904" s="27" t="str">
        <f>"26.01"</f>
        <v>26.01</v>
      </c>
      <c r="C904" s="64" t="s">
        <v>3558</v>
      </c>
      <c r="D904" s="27" t="s">
        <v>2229</v>
      </c>
      <c r="E904" s="27" t="s">
        <v>2232</v>
      </c>
      <c r="F904" s="27" t="str">
        <f>"26.01"</f>
        <v>26.01</v>
      </c>
      <c r="G904" s="27" t="s">
        <v>3558</v>
      </c>
      <c r="H904" s="65" t="str">
        <f t="shared" si="42"/>
        <v>No Change</v>
      </c>
      <c r="I904" s="65" t="str">
        <f t="shared" si="43"/>
        <v/>
      </c>
      <c r="J904" s="65" t="str">
        <f t="shared" si="44"/>
        <v/>
      </c>
    </row>
    <row r="905" spans="1:10" x14ac:dyDescent="0.3">
      <c r="A905" s="27" t="s">
        <v>3559</v>
      </c>
      <c r="B905" s="27" t="str">
        <f>"26.0101"</f>
        <v>26.0101</v>
      </c>
      <c r="C905" s="64" t="s">
        <v>3560</v>
      </c>
      <c r="D905" s="27" t="s">
        <v>2229</v>
      </c>
      <c r="E905" s="27" t="s">
        <v>2232</v>
      </c>
      <c r="F905" s="27" t="str">
        <f>"26.0101"</f>
        <v>26.0101</v>
      </c>
      <c r="G905" s="27" t="s">
        <v>3560</v>
      </c>
      <c r="H905" s="65" t="str">
        <f t="shared" si="42"/>
        <v>No Change</v>
      </c>
      <c r="I905" s="65" t="str">
        <f t="shared" si="43"/>
        <v>260101</v>
      </c>
      <c r="J905" s="65" t="str">
        <f t="shared" si="44"/>
        <v>260101</v>
      </c>
    </row>
    <row r="906" spans="1:10" x14ac:dyDescent="0.3">
      <c r="A906" s="27" t="s">
        <v>3561</v>
      </c>
      <c r="B906" s="27" t="str">
        <f>"26.0102"</f>
        <v>26.0102</v>
      </c>
      <c r="C906" s="64" t="s">
        <v>3562</v>
      </c>
      <c r="D906" s="27" t="s">
        <v>2229</v>
      </c>
      <c r="E906" s="27" t="s">
        <v>2232</v>
      </c>
      <c r="F906" s="27" t="str">
        <f>"26.0102"</f>
        <v>26.0102</v>
      </c>
      <c r="G906" s="27" t="s">
        <v>3562</v>
      </c>
      <c r="H906" s="65" t="str">
        <f t="shared" si="42"/>
        <v>No Change</v>
      </c>
      <c r="I906" s="65" t="str">
        <f t="shared" si="43"/>
        <v>260102</v>
      </c>
      <c r="J906" s="65" t="str">
        <f t="shared" si="44"/>
        <v>260102</v>
      </c>
    </row>
    <row r="907" spans="1:10" x14ac:dyDescent="0.3">
      <c r="A907" s="27" t="s">
        <v>1869</v>
      </c>
      <c r="B907" s="27" t="str">
        <f>"26.02"</f>
        <v>26.02</v>
      </c>
      <c r="C907" s="64" t="s">
        <v>3563</v>
      </c>
      <c r="D907" s="27" t="s">
        <v>2229</v>
      </c>
      <c r="E907" s="27" t="s">
        <v>2232</v>
      </c>
      <c r="F907" s="27" t="str">
        <f>"26.02"</f>
        <v>26.02</v>
      </c>
      <c r="G907" s="27" t="s">
        <v>3563</v>
      </c>
      <c r="H907" s="65" t="str">
        <f t="shared" si="42"/>
        <v>No Change</v>
      </c>
      <c r="I907" s="65" t="str">
        <f t="shared" si="43"/>
        <v/>
      </c>
      <c r="J907" s="65" t="str">
        <f t="shared" si="44"/>
        <v/>
      </c>
    </row>
    <row r="908" spans="1:10" x14ac:dyDescent="0.3">
      <c r="A908" s="27" t="s">
        <v>3564</v>
      </c>
      <c r="B908" s="27" t="str">
        <f>"26.0202"</f>
        <v>26.0202</v>
      </c>
      <c r="C908" s="64" t="s">
        <v>3565</v>
      </c>
      <c r="D908" s="27" t="s">
        <v>2229</v>
      </c>
      <c r="E908" s="27" t="s">
        <v>2232</v>
      </c>
      <c r="F908" s="27" t="str">
        <f>"26.0202"</f>
        <v>26.0202</v>
      </c>
      <c r="G908" s="27" t="s">
        <v>3565</v>
      </c>
      <c r="H908" s="65" t="str">
        <f t="shared" si="42"/>
        <v>No Change</v>
      </c>
      <c r="I908" s="65" t="str">
        <f t="shared" si="43"/>
        <v>260202</v>
      </c>
      <c r="J908" s="65" t="str">
        <f t="shared" si="44"/>
        <v>260202</v>
      </c>
    </row>
    <row r="909" spans="1:10" x14ac:dyDescent="0.3">
      <c r="A909" s="27" t="s">
        <v>3566</v>
      </c>
      <c r="B909" s="27" t="str">
        <f>"26.0203"</f>
        <v>26.0203</v>
      </c>
      <c r="C909" s="64" t="s">
        <v>3567</v>
      </c>
      <c r="D909" s="27" t="s">
        <v>2229</v>
      </c>
      <c r="E909" s="27" t="s">
        <v>2232</v>
      </c>
      <c r="F909" s="27" t="str">
        <f>"26.0203"</f>
        <v>26.0203</v>
      </c>
      <c r="G909" s="27" t="s">
        <v>3567</v>
      </c>
      <c r="H909" s="65" t="str">
        <f t="shared" si="42"/>
        <v>No Change</v>
      </c>
      <c r="I909" s="65" t="str">
        <f t="shared" si="43"/>
        <v>260203</v>
      </c>
      <c r="J909" s="65" t="str">
        <f t="shared" si="44"/>
        <v>260203</v>
      </c>
    </row>
    <row r="910" spans="1:10" x14ac:dyDescent="0.3">
      <c r="A910" s="27" t="s">
        <v>3568</v>
      </c>
      <c r="B910" s="27" t="str">
        <f>"26.0204"</f>
        <v>26.0204</v>
      </c>
      <c r="C910" s="64" t="s">
        <v>3569</v>
      </c>
      <c r="D910" s="27" t="s">
        <v>2229</v>
      </c>
      <c r="E910" s="27" t="s">
        <v>2232</v>
      </c>
      <c r="F910" s="27" t="str">
        <f>"26.0204"</f>
        <v>26.0204</v>
      </c>
      <c r="G910" s="27" t="s">
        <v>3569</v>
      </c>
      <c r="H910" s="65" t="str">
        <f t="shared" si="42"/>
        <v>No Change</v>
      </c>
      <c r="I910" s="65" t="str">
        <f t="shared" si="43"/>
        <v>260204</v>
      </c>
      <c r="J910" s="65" t="str">
        <f t="shared" si="44"/>
        <v>260204</v>
      </c>
    </row>
    <row r="911" spans="1:10" x14ac:dyDescent="0.3">
      <c r="A911" s="27" t="s">
        <v>3570</v>
      </c>
      <c r="B911" s="27" t="str">
        <f>"26.0205"</f>
        <v>26.0205</v>
      </c>
      <c r="C911" s="64" t="s">
        <v>3571</v>
      </c>
      <c r="D911" s="27" t="s">
        <v>2229</v>
      </c>
      <c r="E911" s="27" t="s">
        <v>2232</v>
      </c>
      <c r="F911" s="27" t="str">
        <f>"26.0205"</f>
        <v>26.0205</v>
      </c>
      <c r="G911" s="27" t="s">
        <v>3571</v>
      </c>
      <c r="H911" s="65" t="str">
        <f t="shared" si="42"/>
        <v>No Change</v>
      </c>
      <c r="I911" s="65" t="str">
        <f t="shared" si="43"/>
        <v>260205</v>
      </c>
      <c r="J911" s="65" t="str">
        <f t="shared" si="44"/>
        <v>260205</v>
      </c>
    </row>
    <row r="912" spans="1:10" x14ac:dyDescent="0.3">
      <c r="A912" s="27" t="s">
        <v>3572</v>
      </c>
      <c r="B912" s="27" t="str">
        <f>"26.0206"</f>
        <v>26.0206</v>
      </c>
      <c r="C912" s="64" t="s">
        <v>3573</v>
      </c>
      <c r="D912" s="27" t="s">
        <v>2229</v>
      </c>
      <c r="E912" s="27" t="s">
        <v>2232</v>
      </c>
      <c r="F912" s="27" t="str">
        <f>"26.0206"</f>
        <v>26.0206</v>
      </c>
      <c r="G912" s="27" t="s">
        <v>3573</v>
      </c>
      <c r="H912" s="65" t="str">
        <f t="shared" si="42"/>
        <v>No Change</v>
      </c>
      <c r="I912" s="65" t="str">
        <f t="shared" si="43"/>
        <v>260206</v>
      </c>
      <c r="J912" s="65" t="str">
        <f t="shared" si="44"/>
        <v>260206</v>
      </c>
    </row>
    <row r="913" spans="1:10" x14ac:dyDescent="0.3">
      <c r="A913" s="27" t="s">
        <v>3574</v>
      </c>
      <c r="B913" s="27" t="str">
        <f>"26.0207"</f>
        <v>26.0207</v>
      </c>
      <c r="C913" s="64" t="s">
        <v>3575</v>
      </c>
      <c r="D913" s="27" t="s">
        <v>2229</v>
      </c>
      <c r="E913" s="27" t="s">
        <v>2232</v>
      </c>
      <c r="F913" s="27" t="str">
        <f>"26.0207"</f>
        <v>26.0207</v>
      </c>
      <c r="G913" s="27" t="s">
        <v>3575</v>
      </c>
      <c r="H913" s="65" t="str">
        <f t="shared" si="42"/>
        <v>No Change</v>
      </c>
      <c r="I913" s="65" t="str">
        <f t="shared" si="43"/>
        <v>260207</v>
      </c>
      <c r="J913" s="65" t="str">
        <f t="shared" si="44"/>
        <v>260207</v>
      </c>
    </row>
    <row r="914" spans="1:10" x14ac:dyDescent="0.3">
      <c r="A914" s="27" t="s">
        <v>3576</v>
      </c>
      <c r="B914" s="27" t="str">
        <f>"26.0208"</f>
        <v>26.0208</v>
      </c>
      <c r="C914" s="64" t="s">
        <v>3577</v>
      </c>
      <c r="D914" s="27" t="s">
        <v>2229</v>
      </c>
      <c r="E914" s="27" t="s">
        <v>2232</v>
      </c>
      <c r="F914" s="27" t="str">
        <f>"26.0208"</f>
        <v>26.0208</v>
      </c>
      <c r="G914" s="27" t="s">
        <v>3577</v>
      </c>
      <c r="H914" s="65" t="str">
        <f t="shared" si="42"/>
        <v>No Change</v>
      </c>
      <c r="I914" s="65" t="str">
        <f t="shared" si="43"/>
        <v>260208</v>
      </c>
      <c r="J914" s="65" t="str">
        <f t="shared" si="44"/>
        <v>260208</v>
      </c>
    </row>
    <row r="915" spans="1:10" x14ac:dyDescent="0.3">
      <c r="A915" s="27" t="s">
        <v>3578</v>
      </c>
      <c r="B915" s="27" t="str">
        <f>"26.0209"</f>
        <v>26.0209</v>
      </c>
      <c r="C915" s="64" t="s">
        <v>3579</v>
      </c>
      <c r="D915" s="27" t="s">
        <v>2229</v>
      </c>
      <c r="E915" s="27" t="s">
        <v>2232</v>
      </c>
      <c r="F915" s="27" t="str">
        <f>"26.0209"</f>
        <v>26.0209</v>
      </c>
      <c r="G915" s="27" t="s">
        <v>3579</v>
      </c>
      <c r="H915" s="65" t="str">
        <f t="shared" si="42"/>
        <v>No Change</v>
      </c>
      <c r="I915" s="65" t="str">
        <f t="shared" si="43"/>
        <v>260209</v>
      </c>
      <c r="J915" s="65" t="str">
        <f t="shared" si="44"/>
        <v>260209</v>
      </c>
    </row>
    <row r="916" spans="1:10" x14ac:dyDescent="0.3">
      <c r="A916" s="27" t="s">
        <v>3580</v>
      </c>
      <c r="B916" s="27" t="str">
        <f>"26.0210"</f>
        <v>26.0210</v>
      </c>
      <c r="C916" s="64" t="s">
        <v>3581</v>
      </c>
      <c r="D916" s="27" t="s">
        <v>2229</v>
      </c>
      <c r="E916" s="27" t="s">
        <v>2232</v>
      </c>
      <c r="F916" s="27" t="str">
        <f>"26.0210"</f>
        <v>26.0210</v>
      </c>
      <c r="G916" s="27" t="s">
        <v>3581</v>
      </c>
      <c r="H916" s="65" t="str">
        <f t="shared" si="42"/>
        <v>No Change</v>
      </c>
      <c r="I916" s="65" t="str">
        <f t="shared" si="43"/>
        <v>260210</v>
      </c>
      <c r="J916" s="65" t="str">
        <f t="shared" si="44"/>
        <v>260210</v>
      </c>
    </row>
    <row r="917" spans="1:10" x14ac:dyDescent="0.3">
      <c r="A917" s="27" t="s">
        <v>3582</v>
      </c>
      <c r="B917" s="27" t="str">
        <f>"26.0299"</f>
        <v>26.0299</v>
      </c>
      <c r="C917" s="64" t="s">
        <v>3583</v>
      </c>
      <c r="D917" s="27" t="s">
        <v>2229</v>
      </c>
      <c r="E917" s="27" t="s">
        <v>2232</v>
      </c>
      <c r="F917" s="27" t="str">
        <f>"26.0299"</f>
        <v>26.0299</v>
      </c>
      <c r="G917" s="27" t="s">
        <v>3583</v>
      </c>
      <c r="H917" s="65" t="str">
        <f t="shared" si="42"/>
        <v>No Change</v>
      </c>
      <c r="I917" s="65" t="str">
        <f t="shared" si="43"/>
        <v>260299</v>
      </c>
      <c r="J917" s="65" t="str">
        <f t="shared" si="44"/>
        <v>260299</v>
      </c>
    </row>
    <row r="918" spans="1:10" x14ac:dyDescent="0.3">
      <c r="A918" s="27" t="s">
        <v>1869</v>
      </c>
      <c r="B918" s="27" t="str">
        <f>"26.03"</f>
        <v>26.03</v>
      </c>
      <c r="C918" s="64" t="s">
        <v>3584</v>
      </c>
      <c r="D918" s="27" t="s">
        <v>2229</v>
      </c>
      <c r="E918" s="27" t="s">
        <v>2232</v>
      </c>
      <c r="F918" s="27" t="str">
        <f>"26.03"</f>
        <v>26.03</v>
      </c>
      <c r="G918" s="27" t="s">
        <v>3584</v>
      </c>
      <c r="H918" s="65" t="str">
        <f t="shared" si="42"/>
        <v>No Change</v>
      </c>
      <c r="I918" s="65" t="str">
        <f t="shared" si="43"/>
        <v/>
      </c>
      <c r="J918" s="65" t="str">
        <f t="shared" si="44"/>
        <v/>
      </c>
    </row>
    <row r="919" spans="1:10" x14ac:dyDescent="0.3">
      <c r="A919" s="27" t="s">
        <v>3585</v>
      </c>
      <c r="B919" s="27" t="str">
        <f>"26.0301"</f>
        <v>26.0301</v>
      </c>
      <c r="C919" s="64" t="s">
        <v>3584</v>
      </c>
      <c r="D919" s="27" t="s">
        <v>2229</v>
      </c>
      <c r="E919" s="27" t="s">
        <v>2232</v>
      </c>
      <c r="F919" s="27" t="str">
        <f>"26.0301"</f>
        <v>26.0301</v>
      </c>
      <c r="G919" s="27" t="s">
        <v>3584</v>
      </c>
      <c r="H919" s="65" t="str">
        <f t="shared" si="42"/>
        <v>No Change</v>
      </c>
      <c r="I919" s="65" t="str">
        <f t="shared" si="43"/>
        <v>260301</v>
      </c>
      <c r="J919" s="65" t="str">
        <f t="shared" si="44"/>
        <v>260301</v>
      </c>
    </row>
    <row r="920" spans="1:10" x14ac:dyDescent="0.3">
      <c r="A920" s="27" t="s">
        <v>3586</v>
      </c>
      <c r="B920" s="27" t="str">
        <f>"26.0305"</f>
        <v>26.0305</v>
      </c>
      <c r="C920" s="64" t="s">
        <v>3587</v>
      </c>
      <c r="D920" s="27" t="s">
        <v>2229</v>
      </c>
      <c r="E920" s="27" t="s">
        <v>2232</v>
      </c>
      <c r="F920" s="27" t="str">
        <f>"26.0305"</f>
        <v>26.0305</v>
      </c>
      <c r="G920" s="27" t="s">
        <v>3587</v>
      </c>
      <c r="H920" s="65" t="str">
        <f t="shared" si="42"/>
        <v>No Change</v>
      </c>
      <c r="I920" s="65" t="str">
        <f t="shared" si="43"/>
        <v>260305</v>
      </c>
      <c r="J920" s="65" t="str">
        <f t="shared" si="44"/>
        <v>260305</v>
      </c>
    </row>
    <row r="921" spans="1:10" x14ac:dyDescent="0.3">
      <c r="A921" s="27" t="s">
        <v>3588</v>
      </c>
      <c r="B921" s="27" t="str">
        <f>"26.0307"</f>
        <v>26.0307</v>
      </c>
      <c r="C921" s="64" t="s">
        <v>3589</v>
      </c>
      <c r="D921" s="27" t="s">
        <v>2229</v>
      </c>
      <c r="E921" s="27" t="s">
        <v>2232</v>
      </c>
      <c r="F921" s="27" t="str">
        <f>"26.0307"</f>
        <v>26.0307</v>
      </c>
      <c r="G921" s="27" t="s">
        <v>3589</v>
      </c>
      <c r="H921" s="65" t="str">
        <f t="shared" si="42"/>
        <v>No Change</v>
      </c>
      <c r="I921" s="65" t="str">
        <f t="shared" si="43"/>
        <v>260307</v>
      </c>
      <c r="J921" s="65" t="str">
        <f t="shared" si="44"/>
        <v>260307</v>
      </c>
    </row>
    <row r="922" spans="1:10" x14ac:dyDescent="0.3">
      <c r="A922" s="27" t="s">
        <v>3590</v>
      </c>
      <c r="B922" s="27" t="str">
        <f>"26.0308"</f>
        <v>26.0308</v>
      </c>
      <c r="C922" s="64" t="s">
        <v>3591</v>
      </c>
      <c r="D922" s="27" t="s">
        <v>2229</v>
      </c>
      <c r="E922" s="27" t="s">
        <v>2232</v>
      </c>
      <c r="F922" s="27" t="str">
        <f>"26.0308"</f>
        <v>26.0308</v>
      </c>
      <c r="G922" s="27" t="s">
        <v>3591</v>
      </c>
      <c r="H922" s="65" t="str">
        <f t="shared" si="42"/>
        <v>No Change</v>
      </c>
      <c r="I922" s="65" t="str">
        <f t="shared" si="43"/>
        <v>260308</v>
      </c>
      <c r="J922" s="65" t="str">
        <f t="shared" si="44"/>
        <v>260308</v>
      </c>
    </row>
    <row r="923" spans="1:10" x14ac:dyDescent="0.3">
      <c r="A923" s="27" t="s">
        <v>3592</v>
      </c>
      <c r="B923" s="27" t="str">
        <f>"26.0399"</f>
        <v>26.0399</v>
      </c>
      <c r="C923" s="64" t="s">
        <v>3593</v>
      </c>
      <c r="D923" s="27" t="s">
        <v>2229</v>
      </c>
      <c r="E923" s="27" t="s">
        <v>2232</v>
      </c>
      <c r="F923" s="27" t="str">
        <f>"26.0399"</f>
        <v>26.0399</v>
      </c>
      <c r="G923" s="27" t="s">
        <v>3593</v>
      </c>
      <c r="H923" s="65" t="str">
        <f t="shared" si="42"/>
        <v>No Change</v>
      </c>
      <c r="I923" s="65" t="str">
        <f t="shared" si="43"/>
        <v>260399</v>
      </c>
      <c r="J923" s="65" t="str">
        <f t="shared" si="44"/>
        <v>260399</v>
      </c>
    </row>
    <row r="924" spans="1:10" x14ac:dyDescent="0.3">
      <c r="A924" s="27" t="s">
        <v>1869</v>
      </c>
      <c r="B924" s="27" t="str">
        <f>"26.04"</f>
        <v>26.04</v>
      </c>
      <c r="C924" s="64" t="s">
        <v>3594</v>
      </c>
      <c r="D924" s="27" t="s">
        <v>2229</v>
      </c>
      <c r="E924" s="27" t="s">
        <v>2232</v>
      </c>
      <c r="F924" s="27" t="str">
        <f>"26.04"</f>
        <v>26.04</v>
      </c>
      <c r="G924" s="27" t="s">
        <v>3594</v>
      </c>
      <c r="H924" s="65" t="str">
        <f t="shared" si="42"/>
        <v>No Change</v>
      </c>
      <c r="I924" s="65" t="str">
        <f t="shared" si="43"/>
        <v/>
      </c>
      <c r="J924" s="65" t="str">
        <f t="shared" si="44"/>
        <v/>
      </c>
    </row>
    <row r="925" spans="1:10" x14ac:dyDescent="0.3">
      <c r="A925" s="27" t="s">
        <v>3595</v>
      </c>
      <c r="B925" s="27" t="str">
        <f>"26.0401"</f>
        <v>26.0401</v>
      </c>
      <c r="C925" s="64" t="s">
        <v>3596</v>
      </c>
      <c r="D925" s="27" t="s">
        <v>2229</v>
      </c>
      <c r="E925" s="27" t="s">
        <v>2232</v>
      </c>
      <c r="F925" s="27" t="str">
        <f>"26.0401"</f>
        <v>26.0401</v>
      </c>
      <c r="G925" s="27" t="s">
        <v>3596</v>
      </c>
      <c r="H925" s="65" t="str">
        <f t="shared" si="42"/>
        <v>No Change</v>
      </c>
      <c r="I925" s="65" t="str">
        <f t="shared" si="43"/>
        <v>260401</v>
      </c>
      <c r="J925" s="65" t="str">
        <f t="shared" si="44"/>
        <v>260401</v>
      </c>
    </row>
    <row r="926" spans="1:10" x14ac:dyDescent="0.3">
      <c r="A926" s="27" t="s">
        <v>3597</v>
      </c>
      <c r="B926" s="27" t="str">
        <f>"26.0403"</f>
        <v>26.0403</v>
      </c>
      <c r="C926" s="64" t="s">
        <v>3598</v>
      </c>
      <c r="D926" s="27" t="s">
        <v>2229</v>
      </c>
      <c r="E926" s="27" t="s">
        <v>2232</v>
      </c>
      <c r="F926" s="27" t="str">
        <f>"26.0403"</f>
        <v>26.0403</v>
      </c>
      <c r="G926" s="27" t="s">
        <v>3598</v>
      </c>
      <c r="H926" s="65" t="str">
        <f t="shared" si="42"/>
        <v>No Change</v>
      </c>
      <c r="I926" s="65" t="str">
        <f t="shared" si="43"/>
        <v>260403</v>
      </c>
      <c r="J926" s="65" t="str">
        <f t="shared" si="44"/>
        <v>260403</v>
      </c>
    </row>
    <row r="927" spans="1:10" x14ac:dyDescent="0.3">
      <c r="A927" s="27" t="s">
        <v>3599</v>
      </c>
      <c r="B927" s="27" t="str">
        <f>"26.0404"</f>
        <v>26.0404</v>
      </c>
      <c r="C927" s="64" t="s">
        <v>3600</v>
      </c>
      <c r="D927" s="27" t="s">
        <v>2229</v>
      </c>
      <c r="E927" s="27" t="s">
        <v>2232</v>
      </c>
      <c r="F927" s="27" t="str">
        <f>"26.0404"</f>
        <v>26.0404</v>
      </c>
      <c r="G927" s="27" t="s">
        <v>3600</v>
      </c>
      <c r="H927" s="65" t="str">
        <f t="shared" si="42"/>
        <v>No Change</v>
      </c>
      <c r="I927" s="65" t="str">
        <f t="shared" si="43"/>
        <v>260404</v>
      </c>
      <c r="J927" s="65" t="str">
        <f t="shared" si="44"/>
        <v>260404</v>
      </c>
    </row>
    <row r="928" spans="1:10" x14ac:dyDescent="0.3">
      <c r="A928" s="27" t="s">
        <v>3601</v>
      </c>
      <c r="B928" s="27" t="str">
        <f>"26.0406"</f>
        <v>26.0406</v>
      </c>
      <c r="C928" s="64" t="s">
        <v>3602</v>
      </c>
      <c r="D928" s="27" t="s">
        <v>2229</v>
      </c>
      <c r="E928" s="27" t="s">
        <v>2232</v>
      </c>
      <c r="F928" s="27" t="str">
        <f>"26.0406"</f>
        <v>26.0406</v>
      </c>
      <c r="G928" s="27" t="s">
        <v>3602</v>
      </c>
      <c r="H928" s="65" t="str">
        <f t="shared" si="42"/>
        <v>No Change</v>
      </c>
      <c r="I928" s="65" t="str">
        <f t="shared" si="43"/>
        <v>260406</v>
      </c>
      <c r="J928" s="65" t="str">
        <f t="shared" si="44"/>
        <v>260406</v>
      </c>
    </row>
    <row r="929" spans="1:10" x14ac:dyDescent="0.3">
      <c r="A929" s="27" t="s">
        <v>3603</v>
      </c>
      <c r="B929" s="27" t="str">
        <f>"26.0407"</f>
        <v>26.0407</v>
      </c>
      <c r="C929" s="64" t="s">
        <v>3604</v>
      </c>
      <c r="D929" s="27" t="s">
        <v>2229</v>
      </c>
      <c r="E929" s="27" t="s">
        <v>2232</v>
      </c>
      <c r="F929" s="27" t="str">
        <f>"26.0407"</f>
        <v>26.0407</v>
      </c>
      <c r="G929" s="27" t="s">
        <v>3604</v>
      </c>
      <c r="H929" s="65" t="str">
        <f t="shared" si="42"/>
        <v>No Change</v>
      </c>
      <c r="I929" s="65" t="str">
        <f t="shared" si="43"/>
        <v>260407</v>
      </c>
      <c r="J929" s="65" t="str">
        <f t="shared" si="44"/>
        <v>260407</v>
      </c>
    </row>
    <row r="930" spans="1:10" x14ac:dyDescent="0.3">
      <c r="A930" s="27" t="s">
        <v>3605</v>
      </c>
      <c r="B930" s="27" t="str">
        <f>"26.0499"</f>
        <v>26.0499</v>
      </c>
      <c r="C930" s="64" t="s">
        <v>3606</v>
      </c>
      <c r="D930" s="27" t="s">
        <v>2229</v>
      </c>
      <c r="E930" s="27" t="s">
        <v>2232</v>
      </c>
      <c r="F930" s="27" t="str">
        <f>"26.0499"</f>
        <v>26.0499</v>
      </c>
      <c r="G930" s="27" t="s">
        <v>3606</v>
      </c>
      <c r="H930" s="65" t="str">
        <f t="shared" si="42"/>
        <v>No Change</v>
      </c>
      <c r="I930" s="65" t="str">
        <f t="shared" si="43"/>
        <v>260499</v>
      </c>
      <c r="J930" s="65" t="str">
        <f t="shared" si="44"/>
        <v>260499</v>
      </c>
    </row>
    <row r="931" spans="1:10" x14ac:dyDescent="0.3">
      <c r="A931" s="27" t="s">
        <v>1869</v>
      </c>
      <c r="B931" s="27" t="str">
        <f>"26.05"</f>
        <v>26.05</v>
      </c>
      <c r="C931" s="64" t="s">
        <v>3607</v>
      </c>
      <c r="D931" s="27" t="s">
        <v>2229</v>
      </c>
      <c r="E931" s="27" t="s">
        <v>2232</v>
      </c>
      <c r="F931" s="27" t="str">
        <f>"26.05"</f>
        <v>26.05</v>
      </c>
      <c r="G931" s="27" t="s">
        <v>3607</v>
      </c>
      <c r="H931" s="65" t="str">
        <f t="shared" si="42"/>
        <v>No Change</v>
      </c>
      <c r="I931" s="65" t="str">
        <f t="shared" si="43"/>
        <v/>
      </c>
      <c r="J931" s="65" t="str">
        <f t="shared" si="44"/>
        <v/>
      </c>
    </row>
    <row r="932" spans="1:10" x14ac:dyDescent="0.3">
      <c r="A932" s="27" t="s">
        <v>3608</v>
      </c>
      <c r="B932" s="27" t="str">
        <f>"26.0502"</f>
        <v>26.0502</v>
      </c>
      <c r="C932" s="64" t="s">
        <v>3609</v>
      </c>
      <c r="D932" s="27" t="s">
        <v>2229</v>
      </c>
      <c r="E932" s="27" t="s">
        <v>2232</v>
      </c>
      <c r="F932" s="27" t="str">
        <f>"26.0502"</f>
        <v>26.0502</v>
      </c>
      <c r="G932" s="27" t="s">
        <v>3609</v>
      </c>
      <c r="H932" s="65" t="str">
        <f t="shared" si="42"/>
        <v>No Change</v>
      </c>
      <c r="I932" s="65" t="str">
        <f t="shared" si="43"/>
        <v>260502</v>
      </c>
      <c r="J932" s="65" t="str">
        <f t="shared" si="44"/>
        <v>260502</v>
      </c>
    </row>
    <row r="933" spans="1:10" x14ac:dyDescent="0.3">
      <c r="A933" s="27" t="s">
        <v>3610</v>
      </c>
      <c r="B933" s="27" t="str">
        <f>"26.0503"</f>
        <v>26.0503</v>
      </c>
      <c r="C933" s="64" t="s">
        <v>3611</v>
      </c>
      <c r="D933" s="27" t="s">
        <v>2229</v>
      </c>
      <c r="E933" s="27" t="s">
        <v>2232</v>
      </c>
      <c r="F933" s="27" t="str">
        <f>"26.0503"</f>
        <v>26.0503</v>
      </c>
      <c r="G933" s="27" t="s">
        <v>3611</v>
      </c>
      <c r="H933" s="65" t="str">
        <f t="shared" si="42"/>
        <v>No Change</v>
      </c>
      <c r="I933" s="65" t="str">
        <f t="shared" si="43"/>
        <v>260503</v>
      </c>
      <c r="J933" s="65" t="str">
        <f t="shared" si="44"/>
        <v>260503</v>
      </c>
    </row>
    <row r="934" spans="1:10" x14ac:dyDescent="0.3">
      <c r="A934" s="27" t="s">
        <v>3612</v>
      </c>
      <c r="B934" s="27" t="str">
        <f>"26.0504"</f>
        <v>26.0504</v>
      </c>
      <c r="C934" s="64" t="s">
        <v>3613</v>
      </c>
      <c r="D934" s="27" t="s">
        <v>2229</v>
      </c>
      <c r="E934" s="27" t="s">
        <v>2232</v>
      </c>
      <c r="F934" s="27" t="str">
        <f>"26.0504"</f>
        <v>26.0504</v>
      </c>
      <c r="G934" s="27" t="s">
        <v>3613</v>
      </c>
      <c r="H934" s="65" t="str">
        <f t="shared" si="42"/>
        <v>No Change</v>
      </c>
      <c r="I934" s="65" t="str">
        <f t="shared" si="43"/>
        <v>260504</v>
      </c>
      <c r="J934" s="65" t="str">
        <f t="shared" si="44"/>
        <v>260504</v>
      </c>
    </row>
    <row r="935" spans="1:10" x14ac:dyDescent="0.3">
      <c r="A935" s="27" t="s">
        <v>3614</v>
      </c>
      <c r="B935" s="27" t="str">
        <f>"26.0505"</f>
        <v>26.0505</v>
      </c>
      <c r="C935" s="64" t="s">
        <v>3615</v>
      </c>
      <c r="D935" s="27" t="s">
        <v>2229</v>
      </c>
      <c r="E935" s="27" t="s">
        <v>2232</v>
      </c>
      <c r="F935" s="27" t="str">
        <f>"26.0505"</f>
        <v>26.0505</v>
      </c>
      <c r="G935" s="27" t="s">
        <v>3615</v>
      </c>
      <c r="H935" s="65" t="str">
        <f t="shared" si="42"/>
        <v>No Change</v>
      </c>
      <c r="I935" s="65" t="str">
        <f t="shared" si="43"/>
        <v>260505</v>
      </c>
      <c r="J935" s="65" t="str">
        <f t="shared" si="44"/>
        <v>260505</v>
      </c>
    </row>
    <row r="936" spans="1:10" x14ac:dyDescent="0.3">
      <c r="A936" s="27" t="s">
        <v>3616</v>
      </c>
      <c r="B936" s="27" t="str">
        <f>"26.0506"</f>
        <v>26.0506</v>
      </c>
      <c r="C936" s="64" t="s">
        <v>3617</v>
      </c>
      <c r="D936" s="27" t="s">
        <v>2229</v>
      </c>
      <c r="E936" s="27" t="s">
        <v>2232</v>
      </c>
      <c r="F936" s="27" t="str">
        <f>"26.0506"</f>
        <v>26.0506</v>
      </c>
      <c r="G936" s="27" t="s">
        <v>3617</v>
      </c>
      <c r="H936" s="65" t="str">
        <f t="shared" si="42"/>
        <v>No Change</v>
      </c>
      <c r="I936" s="65" t="str">
        <f t="shared" si="43"/>
        <v>260506</v>
      </c>
      <c r="J936" s="65" t="str">
        <f t="shared" si="44"/>
        <v>260506</v>
      </c>
    </row>
    <row r="937" spans="1:10" x14ac:dyDescent="0.3">
      <c r="A937" s="27" t="s">
        <v>3618</v>
      </c>
      <c r="B937" s="27" t="str">
        <f>"26.0507"</f>
        <v>26.0507</v>
      </c>
      <c r="C937" s="64" t="s">
        <v>3619</v>
      </c>
      <c r="D937" s="27" t="s">
        <v>2229</v>
      </c>
      <c r="E937" s="27" t="s">
        <v>2232</v>
      </c>
      <c r="F937" s="27" t="str">
        <f>"26.0507"</f>
        <v>26.0507</v>
      </c>
      <c r="G937" s="27" t="s">
        <v>3619</v>
      </c>
      <c r="H937" s="65" t="str">
        <f t="shared" si="42"/>
        <v>No Change</v>
      </c>
      <c r="I937" s="65" t="str">
        <f t="shared" si="43"/>
        <v>260507</v>
      </c>
      <c r="J937" s="65" t="str">
        <f t="shared" si="44"/>
        <v>260507</v>
      </c>
    </row>
    <row r="938" spans="1:10" x14ac:dyDescent="0.3">
      <c r="A938" s="27" t="s">
        <v>3620</v>
      </c>
      <c r="B938" s="27" t="str">
        <f>"26.0508"</f>
        <v>26.0508</v>
      </c>
      <c r="C938" s="64" t="s">
        <v>3621</v>
      </c>
      <c r="D938" s="27" t="s">
        <v>2229</v>
      </c>
      <c r="E938" s="27" t="s">
        <v>2232</v>
      </c>
      <c r="F938" s="27" t="str">
        <f>"26.0508"</f>
        <v>26.0508</v>
      </c>
      <c r="G938" s="27" t="s">
        <v>3621</v>
      </c>
      <c r="H938" s="65" t="str">
        <f t="shared" si="42"/>
        <v>No Change</v>
      </c>
      <c r="I938" s="65" t="str">
        <f t="shared" si="43"/>
        <v>260508</v>
      </c>
      <c r="J938" s="65" t="str">
        <f t="shared" si="44"/>
        <v>260508</v>
      </c>
    </row>
    <row r="939" spans="1:10" x14ac:dyDescent="0.3">
      <c r="A939" s="27" t="s">
        <v>1869</v>
      </c>
      <c r="D939" s="27" t="s">
        <v>2255</v>
      </c>
      <c r="E939" s="27" t="s">
        <v>2232</v>
      </c>
      <c r="F939" s="27" t="str">
        <f>"26.0509"</f>
        <v>26.0509</v>
      </c>
      <c r="G939" s="27" t="s">
        <v>3622</v>
      </c>
      <c r="H939" s="65" t="str">
        <f t="shared" si="42"/>
        <v>Other</v>
      </c>
      <c r="I939" s="65" t="str">
        <f t="shared" si="43"/>
        <v/>
      </c>
      <c r="J939" s="65" t="str">
        <f t="shared" si="44"/>
        <v>260509</v>
      </c>
    </row>
    <row r="940" spans="1:10" x14ac:dyDescent="0.3">
      <c r="A940" s="27" t="s">
        <v>3623</v>
      </c>
      <c r="B940" s="27" t="str">
        <f>"26.0599"</f>
        <v>26.0599</v>
      </c>
      <c r="C940" s="64" t="s">
        <v>3624</v>
      </c>
      <c r="D940" s="27" t="s">
        <v>2229</v>
      </c>
      <c r="E940" s="27" t="s">
        <v>2232</v>
      </c>
      <c r="F940" s="27" t="str">
        <f>"26.0599"</f>
        <v>26.0599</v>
      </c>
      <c r="G940" s="27" t="s">
        <v>3624</v>
      </c>
      <c r="H940" s="65" t="str">
        <f t="shared" si="42"/>
        <v>No Change</v>
      </c>
      <c r="I940" s="65" t="str">
        <f t="shared" si="43"/>
        <v>260599</v>
      </c>
      <c r="J940" s="65" t="str">
        <f t="shared" si="44"/>
        <v>260599</v>
      </c>
    </row>
    <row r="941" spans="1:10" x14ac:dyDescent="0.3">
      <c r="A941" s="27" t="s">
        <v>1869</v>
      </c>
      <c r="B941" s="27" t="str">
        <f>"26.07"</f>
        <v>26.07</v>
      </c>
      <c r="C941" s="64" t="s">
        <v>3625</v>
      </c>
      <c r="D941" s="27" t="s">
        <v>2229</v>
      </c>
      <c r="E941" s="27" t="s">
        <v>2232</v>
      </c>
      <c r="F941" s="27" t="str">
        <f>"26.07"</f>
        <v>26.07</v>
      </c>
      <c r="G941" s="27" t="s">
        <v>3625</v>
      </c>
      <c r="H941" s="65" t="str">
        <f t="shared" si="42"/>
        <v>No Change</v>
      </c>
      <c r="I941" s="65" t="str">
        <f t="shared" si="43"/>
        <v/>
      </c>
      <c r="J941" s="65" t="str">
        <f t="shared" si="44"/>
        <v/>
      </c>
    </row>
    <row r="942" spans="1:10" x14ac:dyDescent="0.3">
      <c r="A942" s="27" t="s">
        <v>3626</v>
      </c>
      <c r="B942" s="27" t="str">
        <f>"26.0701"</f>
        <v>26.0701</v>
      </c>
      <c r="C942" s="64" t="s">
        <v>3625</v>
      </c>
      <c r="D942" s="27" t="s">
        <v>2229</v>
      </c>
      <c r="E942" s="27" t="s">
        <v>2232</v>
      </c>
      <c r="F942" s="27" t="str">
        <f>"26.0701"</f>
        <v>26.0701</v>
      </c>
      <c r="G942" s="27" t="s">
        <v>3625</v>
      </c>
      <c r="H942" s="65" t="str">
        <f t="shared" si="42"/>
        <v>No Change</v>
      </c>
      <c r="I942" s="65" t="str">
        <f t="shared" si="43"/>
        <v>260701</v>
      </c>
      <c r="J942" s="65" t="str">
        <f t="shared" si="44"/>
        <v>260701</v>
      </c>
    </row>
    <row r="943" spans="1:10" x14ac:dyDescent="0.3">
      <c r="A943" s="27" t="s">
        <v>3627</v>
      </c>
      <c r="B943" s="27" t="str">
        <f>"26.0702"</f>
        <v>26.0702</v>
      </c>
      <c r="C943" s="64" t="s">
        <v>3628</v>
      </c>
      <c r="D943" s="27" t="s">
        <v>2229</v>
      </c>
      <c r="E943" s="27" t="s">
        <v>2232</v>
      </c>
      <c r="F943" s="27" t="str">
        <f>"26.0702"</f>
        <v>26.0702</v>
      </c>
      <c r="G943" s="27" t="s">
        <v>3628</v>
      </c>
      <c r="H943" s="65" t="str">
        <f t="shared" si="42"/>
        <v>No Change</v>
      </c>
      <c r="I943" s="65" t="str">
        <f t="shared" si="43"/>
        <v>260702</v>
      </c>
      <c r="J943" s="65" t="str">
        <f t="shared" si="44"/>
        <v>260702</v>
      </c>
    </row>
    <row r="944" spans="1:10" x14ac:dyDescent="0.3">
      <c r="A944" s="27" t="s">
        <v>3629</v>
      </c>
      <c r="B944" s="27" t="str">
        <f>"26.0707"</f>
        <v>26.0707</v>
      </c>
      <c r="C944" s="64" t="s">
        <v>3630</v>
      </c>
      <c r="D944" s="27" t="s">
        <v>2229</v>
      </c>
      <c r="E944" s="27" t="s">
        <v>2232</v>
      </c>
      <c r="F944" s="27" t="str">
        <f>"26.0707"</f>
        <v>26.0707</v>
      </c>
      <c r="G944" s="27" t="s">
        <v>3630</v>
      </c>
      <c r="H944" s="65" t="str">
        <f t="shared" si="42"/>
        <v>No Change</v>
      </c>
      <c r="I944" s="65" t="str">
        <f t="shared" si="43"/>
        <v>260707</v>
      </c>
      <c r="J944" s="65" t="str">
        <f t="shared" si="44"/>
        <v>260707</v>
      </c>
    </row>
    <row r="945" spans="1:10" x14ac:dyDescent="0.3">
      <c r="A945" s="27" t="s">
        <v>3631</v>
      </c>
      <c r="B945" s="27" t="str">
        <f>"26.0708"</f>
        <v>26.0708</v>
      </c>
      <c r="C945" s="64" t="s">
        <v>3632</v>
      </c>
      <c r="D945" s="27" t="s">
        <v>2229</v>
      </c>
      <c r="E945" s="27" t="s">
        <v>2232</v>
      </c>
      <c r="F945" s="27" t="str">
        <f>"26.0708"</f>
        <v>26.0708</v>
      </c>
      <c r="G945" s="27" t="s">
        <v>3632</v>
      </c>
      <c r="H945" s="65" t="str">
        <f t="shared" si="42"/>
        <v>No Change</v>
      </c>
      <c r="I945" s="65" t="str">
        <f t="shared" si="43"/>
        <v>260708</v>
      </c>
      <c r="J945" s="65" t="str">
        <f t="shared" si="44"/>
        <v>260708</v>
      </c>
    </row>
    <row r="946" spans="1:10" x14ac:dyDescent="0.3">
      <c r="A946" s="27" t="s">
        <v>3633</v>
      </c>
      <c r="B946" s="27" t="str">
        <f>"26.0709"</f>
        <v>26.0709</v>
      </c>
      <c r="C946" s="64" t="s">
        <v>3634</v>
      </c>
      <c r="D946" s="27" t="s">
        <v>2229</v>
      </c>
      <c r="E946" s="27" t="s">
        <v>2232</v>
      </c>
      <c r="F946" s="27" t="str">
        <f>"26.0709"</f>
        <v>26.0709</v>
      </c>
      <c r="G946" s="27" t="s">
        <v>3634</v>
      </c>
      <c r="H946" s="65" t="str">
        <f t="shared" si="42"/>
        <v>No Change</v>
      </c>
      <c r="I946" s="65" t="str">
        <f t="shared" si="43"/>
        <v>260709</v>
      </c>
      <c r="J946" s="65" t="str">
        <f t="shared" si="44"/>
        <v>260709</v>
      </c>
    </row>
    <row r="947" spans="1:10" x14ac:dyDescent="0.3">
      <c r="A947" s="27" t="s">
        <v>3635</v>
      </c>
      <c r="B947" s="27" t="str">
        <f>"26.0799"</f>
        <v>26.0799</v>
      </c>
      <c r="C947" s="64" t="s">
        <v>3636</v>
      </c>
      <c r="D947" s="27" t="s">
        <v>2229</v>
      </c>
      <c r="E947" s="27" t="s">
        <v>2232</v>
      </c>
      <c r="F947" s="27" t="str">
        <f>"26.0799"</f>
        <v>26.0799</v>
      </c>
      <c r="G947" s="27" t="s">
        <v>3636</v>
      </c>
      <c r="H947" s="65" t="str">
        <f t="shared" si="42"/>
        <v>No Change</v>
      </c>
      <c r="I947" s="65" t="str">
        <f t="shared" si="43"/>
        <v>260799</v>
      </c>
      <c r="J947" s="65" t="str">
        <f t="shared" si="44"/>
        <v>260799</v>
      </c>
    </row>
    <row r="948" spans="1:10" x14ac:dyDescent="0.3">
      <c r="A948" s="27" t="s">
        <v>1869</v>
      </c>
      <c r="B948" s="27" t="str">
        <f>"26.08"</f>
        <v>26.08</v>
      </c>
      <c r="C948" s="64" t="s">
        <v>3637</v>
      </c>
      <c r="D948" s="27" t="s">
        <v>2229</v>
      </c>
      <c r="E948" s="27" t="s">
        <v>2232</v>
      </c>
      <c r="F948" s="27" t="str">
        <f>"26.08"</f>
        <v>26.08</v>
      </c>
      <c r="G948" s="27" t="s">
        <v>3637</v>
      </c>
      <c r="H948" s="65" t="str">
        <f t="shared" si="42"/>
        <v>No Change</v>
      </c>
      <c r="I948" s="65" t="str">
        <f t="shared" si="43"/>
        <v/>
      </c>
      <c r="J948" s="65" t="str">
        <f t="shared" si="44"/>
        <v/>
      </c>
    </row>
    <row r="949" spans="1:10" x14ac:dyDescent="0.3">
      <c r="A949" s="27" t="s">
        <v>3638</v>
      </c>
      <c r="B949" s="27" t="str">
        <f>"26.0801"</f>
        <v>26.0801</v>
      </c>
      <c r="C949" s="64" t="s">
        <v>3639</v>
      </c>
      <c r="D949" s="27" t="s">
        <v>2229</v>
      </c>
      <c r="E949" s="27" t="s">
        <v>2232</v>
      </c>
      <c r="F949" s="27" t="str">
        <f>"26.0801"</f>
        <v>26.0801</v>
      </c>
      <c r="G949" s="27" t="s">
        <v>3639</v>
      </c>
      <c r="H949" s="65" t="str">
        <f t="shared" si="42"/>
        <v>No Change</v>
      </c>
      <c r="I949" s="65" t="str">
        <f t="shared" si="43"/>
        <v>260801</v>
      </c>
      <c r="J949" s="65" t="str">
        <f t="shared" si="44"/>
        <v>260801</v>
      </c>
    </row>
    <row r="950" spans="1:10" x14ac:dyDescent="0.3">
      <c r="A950" s="27" t="s">
        <v>3640</v>
      </c>
      <c r="B950" s="27" t="str">
        <f>"26.0802"</f>
        <v>26.0802</v>
      </c>
      <c r="C950" s="64" t="s">
        <v>3641</v>
      </c>
      <c r="D950" s="27" t="s">
        <v>2229</v>
      </c>
      <c r="E950" s="27" t="s">
        <v>2232</v>
      </c>
      <c r="F950" s="27" t="str">
        <f>"26.0802"</f>
        <v>26.0802</v>
      </c>
      <c r="G950" s="27" t="s">
        <v>3641</v>
      </c>
      <c r="H950" s="65" t="str">
        <f t="shared" si="42"/>
        <v>No Change</v>
      </c>
      <c r="I950" s="65" t="str">
        <f t="shared" si="43"/>
        <v>260802</v>
      </c>
      <c r="J950" s="65" t="str">
        <f t="shared" si="44"/>
        <v>260802</v>
      </c>
    </row>
    <row r="951" spans="1:10" x14ac:dyDescent="0.3">
      <c r="A951" s="27" t="s">
        <v>3642</v>
      </c>
      <c r="B951" s="27" t="str">
        <f>"26.0803"</f>
        <v>26.0803</v>
      </c>
      <c r="C951" s="64" t="s">
        <v>3643</v>
      </c>
      <c r="D951" s="27" t="s">
        <v>2229</v>
      </c>
      <c r="E951" s="27" t="s">
        <v>2232</v>
      </c>
      <c r="F951" s="27" t="str">
        <f>"26.0803"</f>
        <v>26.0803</v>
      </c>
      <c r="G951" s="27" t="s">
        <v>3643</v>
      </c>
      <c r="H951" s="65" t="str">
        <f t="shared" si="42"/>
        <v>No Change</v>
      </c>
      <c r="I951" s="65" t="str">
        <f t="shared" si="43"/>
        <v>260803</v>
      </c>
      <c r="J951" s="65" t="str">
        <f t="shared" si="44"/>
        <v>260803</v>
      </c>
    </row>
    <row r="952" spans="1:10" x14ac:dyDescent="0.3">
      <c r="A952" s="27" t="s">
        <v>3644</v>
      </c>
      <c r="B952" s="27" t="str">
        <f>"26.0804"</f>
        <v>26.0804</v>
      </c>
      <c r="C952" s="64" t="s">
        <v>3645</v>
      </c>
      <c r="D952" s="27" t="s">
        <v>2229</v>
      </c>
      <c r="E952" s="27" t="s">
        <v>2232</v>
      </c>
      <c r="F952" s="27" t="str">
        <f>"26.0804"</f>
        <v>26.0804</v>
      </c>
      <c r="G952" s="27" t="s">
        <v>3645</v>
      </c>
      <c r="H952" s="65" t="str">
        <f t="shared" si="42"/>
        <v>No Change</v>
      </c>
      <c r="I952" s="65" t="str">
        <f t="shared" si="43"/>
        <v>260804</v>
      </c>
      <c r="J952" s="65" t="str">
        <f t="shared" si="44"/>
        <v>260804</v>
      </c>
    </row>
    <row r="953" spans="1:10" x14ac:dyDescent="0.3">
      <c r="A953" s="27" t="s">
        <v>3646</v>
      </c>
      <c r="B953" s="27" t="str">
        <f>"26.0805"</f>
        <v>26.0805</v>
      </c>
      <c r="C953" s="64" t="s">
        <v>3647</v>
      </c>
      <c r="D953" s="27" t="s">
        <v>2229</v>
      </c>
      <c r="E953" s="27" t="s">
        <v>2232</v>
      </c>
      <c r="F953" s="27" t="str">
        <f>"26.0805"</f>
        <v>26.0805</v>
      </c>
      <c r="G953" s="27" t="s">
        <v>3647</v>
      </c>
      <c r="H953" s="65" t="str">
        <f t="shared" si="42"/>
        <v>No Change</v>
      </c>
      <c r="I953" s="65" t="str">
        <f t="shared" si="43"/>
        <v>260805</v>
      </c>
      <c r="J953" s="65" t="str">
        <f t="shared" si="44"/>
        <v>260805</v>
      </c>
    </row>
    <row r="954" spans="1:10" x14ac:dyDescent="0.3">
      <c r="A954" s="27" t="s">
        <v>3648</v>
      </c>
      <c r="B954" s="27" t="str">
        <f>"26.0806"</f>
        <v>26.0806</v>
      </c>
      <c r="C954" s="64" t="s">
        <v>3649</v>
      </c>
      <c r="D954" s="27" t="s">
        <v>2229</v>
      </c>
      <c r="E954" s="27" t="s">
        <v>2232</v>
      </c>
      <c r="F954" s="27" t="str">
        <f>"26.0806"</f>
        <v>26.0806</v>
      </c>
      <c r="G954" s="27" t="s">
        <v>3649</v>
      </c>
      <c r="H954" s="65" t="str">
        <f t="shared" si="42"/>
        <v>No Change</v>
      </c>
      <c r="I954" s="65" t="str">
        <f t="shared" si="43"/>
        <v>260806</v>
      </c>
      <c r="J954" s="65" t="str">
        <f t="shared" si="44"/>
        <v>260806</v>
      </c>
    </row>
    <row r="955" spans="1:10" x14ac:dyDescent="0.3">
      <c r="A955" s="27" t="s">
        <v>3650</v>
      </c>
      <c r="B955" s="27" t="str">
        <f>"26.0807"</f>
        <v>26.0807</v>
      </c>
      <c r="C955" s="64" t="s">
        <v>3651</v>
      </c>
      <c r="D955" s="27" t="s">
        <v>2229</v>
      </c>
      <c r="E955" s="27" t="s">
        <v>2232</v>
      </c>
      <c r="F955" s="27" t="str">
        <f>"26.0807"</f>
        <v>26.0807</v>
      </c>
      <c r="G955" s="27" t="s">
        <v>3651</v>
      </c>
      <c r="H955" s="65" t="str">
        <f t="shared" si="42"/>
        <v>No Change</v>
      </c>
      <c r="I955" s="65" t="str">
        <f t="shared" si="43"/>
        <v>260807</v>
      </c>
      <c r="J955" s="65" t="str">
        <f t="shared" si="44"/>
        <v>260807</v>
      </c>
    </row>
    <row r="956" spans="1:10" x14ac:dyDescent="0.3">
      <c r="A956" s="27" t="s">
        <v>3652</v>
      </c>
      <c r="B956" s="27" t="str">
        <f>"26.0899"</f>
        <v>26.0899</v>
      </c>
      <c r="C956" s="64" t="s">
        <v>3653</v>
      </c>
      <c r="D956" s="27" t="s">
        <v>2229</v>
      </c>
      <c r="E956" s="27" t="s">
        <v>2232</v>
      </c>
      <c r="F956" s="27" t="str">
        <f>"26.0899"</f>
        <v>26.0899</v>
      </c>
      <c r="G956" s="27" t="s">
        <v>3653</v>
      </c>
      <c r="H956" s="65" t="str">
        <f t="shared" si="42"/>
        <v>No Change</v>
      </c>
      <c r="I956" s="65" t="str">
        <f t="shared" si="43"/>
        <v>260899</v>
      </c>
      <c r="J956" s="65" t="str">
        <f t="shared" si="44"/>
        <v>260899</v>
      </c>
    </row>
    <row r="957" spans="1:10" x14ac:dyDescent="0.3">
      <c r="A957" s="27" t="s">
        <v>1869</v>
      </c>
      <c r="B957" s="27" t="str">
        <f>"26.09"</f>
        <v>26.09</v>
      </c>
      <c r="C957" s="64" t="s">
        <v>3654</v>
      </c>
      <c r="D957" s="27" t="s">
        <v>2229</v>
      </c>
      <c r="E957" s="27" t="s">
        <v>2232</v>
      </c>
      <c r="F957" s="27" t="str">
        <f>"26.09"</f>
        <v>26.09</v>
      </c>
      <c r="G957" s="27" t="s">
        <v>3654</v>
      </c>
      <c r="H957" s="65" t="str">
        <f t="shared" si="42"/>
        <v>No Change</v>
      </c>
      <c r="I957" s="65" t="str">
        <f t="shared" si="43"/>
        <v/>
      </c>
      <c r="J957" s="65" t="str">
        <f t="shared" si="44"/>
        <v/>
      </c>
    </row>
    <row r="958" spans="1:10" x14ac:dyDescent="0.3">
      <c r="A958" s="27" t="s">
        <v>3655</v>
      </c>
      <c r="B958" s="27" t="str">
        <f>"26.0901"</f>
        <v>26.0901</v>
      </c>
      <c r="C958" s="64" t="s">
        <v>3656</v>
      </c>
      <c r="D958" s="27" t="s">
        <v>2229</v>
      </c>
      <c r="E958" s="27" t="s">
        <v>2232</v>
      </c>
      <c r="F958" s="27" t="str">
        <f>"26.0901"</f>
        <v>26.0901</v>
      </c>
      <c r="G958" s="27" t="s">
        <v>3656</v>
      </c>
      <c r="H958" s="65" t="str">
        <f t="shared" si="42"/>
        <v>No Change</v>
      </c>
      <c r="I958" s="65" t="str">
        <f t="shared" si="43"/>
        <v>260901</v>
      </c>
      <c r="J958" s="65" t="str">
        <f t="shared" si="44"/>
        <v>260901</v>
      </c>
    </row>
    <row r="959" spans="1:10" x14ac:dyDescent="0.3">
      <c r="A959" s="27" t="s">
        <v>3657</v>
      </c>
      <c r="B959" s="27" t="str">
        <f>"26.0902"</f>
        <v>26.0902</v>
      </c>
      <c r="C959" s="64" t="s">
        <v>3658</v>
      </c>
      <c r="D959" s="27" t="s">
        <v>2229</v>
      </c>
      <c r="E959" s="27" t="s">
        <v>2232</v>
      </c>
      <c r="F959" s="27" t="str">
        <f>"26.0902"</f>
        <v>26.0902</v>
      </c>
      <c r="G959" s="27" t="s">
        <v>3658</v>
      </c>
      <c r="H959" s="65" t="str">
        <f t="shared" si="42"/>
        <v>No Change</v>
      </c>
      <c r="I959" s="65" t="str">
        <f t="shared" si="43"/>
        <v>260902</v>
      </c>
      <c r="J959" s="65" t="str">
        <f t="shared" si="44"/>
        <v>260902</v>
      </c>
    </row>
    <row r="960" spans="1:10" x14ac:dyDescent="0.3">
      <c r="A960" s="27" t="s">
        <v>3659</v>
      </c>
      <c r="B960" s="27" t="str">
        <f>"26.0903"</f>
        <v>26.0903</v>
      </c>
      <c r="C960" s="64" t="s">
        <v>3660</v>
      </c>
      <c r="D960" s="27" t="s">
        <v>2229</v>
      </c>
      <c r="E960" s="27" t="s">
        <v>2232</v>
      </c>
      <c r="F960" s="27" t="str">
        <f>"26.0903"</f>
        <v>26.0903</v>
      </c>
      <c r="G960" s="27" t="s">
        <v>3660</v>
      </c>
      <c r="H960" s="65" t="str">
        <f t="shared" si="42"/>
        <v>No Change</v>
      </c>
      <c r="I960" s="65" t="str">
        <f t="shared" si="43"/>
        <v>260903</v>
      </c>
      <c r="J960" s="65" t="str">
        <f t="shared" si="44"/>
        <v>260903</v>
      </c>
    </row>
    <row r="961" spans="1:10" x14ac:dyDescent="0.3">
      <c r="A961" s="27" t="s">
        <v>3661</v>
      </c>
      <c r="B961" s="27" t="str">
        <f>"26.0904"</f>
        <v>26.0904</v>
      </c>
      <c r="C961" s="64" t="s">
        <v>3662</v>
      </c>
      <c r="D961" s="27" t="s">
        <v>2229</v>
      </c>
      <c r="E961" s="27" t="s">
        <v>2232</v>
      </c>
      <c r="F961" s="27" t="str">
        <f>"26.0904"</f>
        <v>26.0904</v>
      </c>
      <c r="G961" s="27" t="s">
        <v>3662</v>
      </c>
      <c r="H961" s="65" t="str">
        <f t="shared" si="42"/>
        <v>No Change</v>
      </c>
      <c r="I961" s="65" t="str">
        <f t="shared" si="43"/>
        <v>260904</v>
      </c>
      <c r="J961" s="65" t="str">
        <f t="shared" si="44"/>
        <v>260904</v>
      </c>
    </row>
    <row r="962" spans="1:10" x14ac:dyDescent="0.3">
      <c r="A962" s="27" t="s">
        <v>3663</v>
      </c>
      <c r="B962" s="27" t="str">
        <f>"26.0905"</f>
        <v>26.0905</v>
      </c>
      <c r="C962" s="64" t="s">
        <v>3664</v>
      </c>
      <c r="D962" s="27" t="s">
        <v>2229</v>
      </c>
      <c r="E962" s="27" t="s">
        <v>2232</v>
      </c>
      <c r="F962" s="27" t="str">
        <f>"26.0905"</f>
        <v>26.0905</v>
      </c>
      <c r="G962" s="27" t="s">
        <v>3664</v>
      </c>
      <c r="H962" s="65" t="str">
        <f t="shared" si="42"/>
        <v>No Change</v>
      </c>
      <c r="I962" s="65" t="str">
        <f t="shared" si="43"/>
        <v>260905</v>
      </c>
      <c r="J962" s="65" t="str">
        <f t="shared" si="44"/>
        <v>260905</v>
      </c>
    </row>
    <row r="963" spans="1:10" x14ac:dyDescent="0.3">
      <c r="A963" s="27" t="s">
        <v>3665</v>
      </c>
      <c r="B963" s="27" t="str">
        <f>"26.0907"</f>
        <v>26.0907</v>
      </c>
      <c r="C963" s="64" t="s">
        <v>3666</v>
      </c>
      <c r="D963" s="27" t="s">
        <v>2229</v>
      </c>
      <c r="E963" s="27" t="s">
        <v>2232</v>
      </c>
      <c r="F963" s="27" t="str">
        <f>"26.0907"</f>
        <v>26.0907</v>
      </c>
      <c r="G963" s="27" t="s">
        <v>3666</v>
      </c>
      <c r="H963" s="65" t="str">
        <f t="shared" ref="H963:H1026" si="45">IF(I963=J963,"No Change","Other")</f>
        <v>No Change</v>
      </c>
      <c r="I963" s="65" t="str">
        <f t="shared" ref="I963:I1026" si="46">SUBSTITUTE(IF(SUM(LEN(B963))&lt;7,"",B963),".","")</f>
        <v>260907</v>
      </c>
      <c r="J963" s="65" t="str">
        <f t="shared" ref="J963:J1026" si="47">SUBSTITUTE(IF(SUM(LEN(F963))&lt;7,"",F963),".","")</f>
        <v>260907</v>
      </c>
    </row>
    <row r="964" spans="1:10" x14ac:dyDescent="0.3">
      <c r="A964" s="27" t="s">
        <v>3667</v>
      </c>
      <c r="B964" s="27" t="str">
        <f>"26.0908"</f>
        <v>26.0908</v>
      </c>
      <c r="C964" s="64" t="s">
        <v>3668</v>
      </c>
      <c r="D964" s="27" t="s">
        <v>2229</v>
      </c>
      <c r="E964" s="27" t="s">
        <v>2230</v>
      </c>
      <c r="F964" s="27" t="str">
        <f>"26.0908"</f>
        <v>26.0908</v>
      </c>
      <c r="G964" s="27" t="s">
        <v>3669</v>
      </c>
      <c r="H964" s="65" t="str">
        <f t="shared" si="45"/>
        <v>No Change</v>
      </c>
      <c r="I964" s="65" t="str">
        <f t="shared" si="46"/>
        <v>260908</v>
      </c>
      <c r="J964" s="65" t="str">
        <f t="shared" si="47"/>
        <v>260908</v>
      </c>
    </row>
    <row r="965" spans="1:10" x14ac:dyDescent="0.3">
      <c r="A965" s="27" t="s">
        <v>3670</v>
      </c>
      <c r="B965" s="27" t="str">
        <f>"26.0909"</f>
        <v>26.0909</v>
      </c>
      <c r="C965" s="64" t="s">
        <v>3671</v>
      </c>
      <c r="D965" s="27" t="s">
        <v>2229</v>
      </c>
      <c r="E965" s="27" t="s">
        <v>2232</v>
      </c>
      <c r="F965" s="27" t="str">
        <f>"26.0909"</f>
        <v>26.0909</v>
      </c>
      <c r="G965" s="27" t="s">
        <v>3671</v>
      </c>
      <c r="H965" s="65" t="str">
        <f t="shared" si="45"/>
        <v>No Change</v>
      </c>
      <c r="I965" s="65" t="str">
        <f t="shared" si="46"/>
        <v>260909</v>
      </c>
      <c r="J965" s="65" t="str">
        <f t="shared" si="47"/>
        <v>260909</v>
      </c>
    </row>
    <row r="966" spans="1:10" x14ac:dyDescent="0.3">
      <c r="A966" s="27" t="s">
        <v>3672</v>
      </c>
      <c r="B966" s="27" t="str">
        <f>"26.0910"</f>
        <v>26.0910</v>
      </c>
      <c r="C966" s="64" t="s">
        <v>3673</v>
      </c>
      <c r="D966" s="27" t="s">
        <v>2229</v>
      </c>
      <c r="E966" s="27" t="s">
        <v>2232</v>
      </c>
      <c r="F966" s="27" t="str">
        <f>"26.0910"</f>
        <v>26.0910</v>
      </c>
      <c r="G966" s="27" t="s">
        <v>3673</v>
      </c>
      <c r="H966" s="65" t="str">
        <f t="shared" si="45"/>
        <v>No Change</v>
      </c>
      <c r="I966" s="65" t="str">
        <f t="shared" si="46"/>
        <v>260910</v>
      </c>
      <c r="J966" s="65" t="str">
        <f t="shared" si="47"/>
        <v>260910</v>
      </c>
    </row>
    <row r="967" spans="1:10" x14ac:dyDescent="0.3">
      <c r="A967" s="27" t="s">
        <v>3674</v>
      </c>
      <c r="B967" s="27" t="str">
        <f>"26.0911"</f>
        <v>26.0911</v>
      </c>
      <c r="C967" s="64" t="s">
        <v>3675</v>
      </c>
      <c r="D967" s="27" t="s">
        <v>2229</v>
      </c>
      <c r="E967" s="27" t="s">
        <v>2232</v>
      </c>
      <c r="F967" s="27" t="str">
        <f>"26.0911"</f>
        <v>26.0911</v>
      </c>
      <c r="G967" s="27" t="s">
        <v>3675</v>
      </c>
      <c r="H967" s="65" t="str">
        <f t="shared" si="45"/>
        <v>No Change</v>
      </c>
      <c r="I967" s="65" t="str">
        <f t="shared" si="46"/>
        <v>260911</v>
      </c>
      <c r="J967" s="65" t="str">
        <f t="shared" si="47"/>
        <v>260911</v>
      </c>
    </row>
    <row r="968" spans="1:10" x14ac:dyDescent="0.3">
      <c r="A968" s="27" t="s">
        <v>3676</v>
      </c>
      <c r="B968" s="27" t="str">
        <f>"26.0912"</f>
        <v>26.0912</v>
      </c>
      <c r="C968" s="64" t="s">
        <v>3677</v>
      </c>
      <c r="D968" s="27" t="s">
        <v>2229</v>
      </c>
      <c r="E968" s="27" t="s">
        <v>2232</v>
      </c>
      <c r="F968" s="27" t="str">
        <f>"26.0912"</f>
        <v>26.0912</v>
      </c>
      <c r="G968" s="27" t="s">
        <v>3677</v>
      </c>
      <c r="H968" s="65" t="str">
        <f t="shared" si="45"/>
        <v>No Change</v>
      </c>
      <c r="I968" s="65" t="str">
        <f t="shared" si="46"/>
        <v>260912</v>
      </c>
      <c r="J968" s="65" t="str">
        <f t="shared" si="47"/>
        <v>260912</v>
      </c>
    </row>
    <row r="969" spans="1:10" x14ac:dyDescent="0.3">
      <c r="A969" s="27" t="s">
        <v>1869</v>
      </c>
      <c r="D969" s="27" t="s">
        <v>2255</v>
      </c>
      <c r="E969" s="27" t="s">
        <v>2232</v>
      </c>
      <c r="F969" s="27" t="str">
        <f>"26.0913"</f>
        <v>26.0913</v>
      </c>
      <c r="G969" s="27" t="s">
        <v>3678</v>
      </c>
      <c r="H969" s="65" t="str">
        <f t="shared" si="45"/>
        <v>Other</v>
      </c>
      <c r="I969" s="65" t="str">
        <f t="shared" si="46"/>
        <v/>
      </c>
      <c r="J969" s="65" t="str">
        <f t="shared" si="47"/>
        <v>260913</v>
      </c>
    </row>
    <row r="970" spans="1:10" x14ac:dyDescent="0.3">
      <c r="A970" s="27" t="s">
        <v>3679</v>
      </c>
      <c r="B970" s="27" t="str">
        <f>"26.0999"</f>
        <v>26.0999</v>
      </c>
      <c r="C970" s="64" t="s">
        <v>3680</v>
      </c>
      <c r="D970" s="27" t="s">
        <v>2229</v>
      </c>
      <c r="E970" s="27" t="s">
        <v>2232</v>
      </c>
      <c r="F970" s="27" t="str">
        <f>"26.0999"</f>
        <v>26.0999</v>
      </c>
      <c r="G970" s="27" t="s">
        <v>3680</v>
      </c>
      <c r="H970" s="65" t="str">
        <f t="shared" si="45"/>
        <v>No Change</v>
      </c>
      <c r="I970" s="65" t="str">
        <f t="shared" si="46"/>
        <v>260999</v>
      </c>
      <c r="J970" s="65" t="str">
        <f t="shared" si="47"/>
        <v>260999</v>
      </c>
    </row>
    <row r="971" spans="1:10" x14ac:dyDescent="0.3">
      <c r="A971" s="27" t="s">
        <v>1869</v>
      </c>
      <c r="B971" s="27" t="str">
        <f>"26.10"</f>
        <v>26.10</v>
      </c>
      <c r="C971" s="64" t="s">
        <v>3681</v>
      </c>
      <c r="D971" s="27" t="s">
        <v>2229</v>
      </c>
      <c r="E971" s="27" t="s">
        <v>2232</v>
      </c>
      <c r="F971" s="27" t="str">
        <f>"26.10"</f>
        <v>26.10</v>
      </c>
      <c r="G971" s="27" t="s">
        <v>3681</v>
      </c>
      <c r="H971" s="65" t="str">
        <f t="shared" si="45"/>
        <v>No Change</v>
      </c>
      <c r="I971" s="65" t="str">
        <f t="shared" si="46"/>
        <v/>
      </c>
      <c r="J971" s="65" t="str">
        <f t="shared" si="47"/>
        <v/>
      </c>
    </row>
    <row r="972" spans="1:10" x14ac:dyDescent="0.3">
      <c r="A972" s="27" t="s">
        <v>3682</v>
      </c>
      <c r="B972" s="27" t="str">
        <f>"26.1001"</f>
        <v>26.1001</v>
      </c>
      <c r="C972" s="64" t="s">
        <v>3683</v>
      </c>
      <c r="D972" s="27" t="s">
        <v>2229</v>
      </c>
      <c r="E972" s="27" t="s">
        <v>2232</v>
      </c>
      <c r="F972" s="27" t="str">
        <f>"26.1001"</f>
        <v>26.1001</v>
      </c>
      <c r="G972" s="27" t="s">
        <v>3683</v>
      </c>
      <c r="H972" s="65" t="str">
        <f t="shared" si="45"/>
        <v>No Change</v>
      </c>
      <c r="I972" s="65" t="str">
        <f t="shared" si="46"/>
        <v>261001</v>
      </c>
      <c r="J972" s="65" t="str">
        <f t="shared" si="47"/>
        <v>261001</v>
      </c>
    </row>
    <row r="973" spans="1:10" x14ac:dyDescent="0.3">
      <c r="A973" s="27" t="s">
        <v>3684</v>
      </c>
      <c r="B973" s="27" t="str">
        <f>"26.1002"</f>
        <v>26.1002</v>
      </c>
      <c r="C973" s="64" t="s">
        <v>3685</v>
      </c>
      <c r="D973" s="27" t="s">
        <v>2229</v>
      </c>
      <c r="E973" s="27" t="s">
        <v>2232</v>
      </c>
      <c r="F973" s="27" t="str">
        <f>"26.1002"</f>
        <v>26.1002</v>
      </c>
      <c r="G973" s="27" t="s">
        <v>3685</v>
      </c>
      <c r="H973" s="65" t="str">
        <f t="shared" si="45"/>
        <v>No Change</v>
      </c>
      <c r="I973" s="65" t="str">
        <f t="shared" si="46"/>
        <v>261002</v>
      </c>
      <c r="J973" s="65" t="str">
        <f t="shared" si="47"/>
        <v>261002</v>
      </c>
    </row>
    <row r="974" spans="1:10" x14ac:dyDescent="0.3">
      <c r="A974" s="27" t="s">
        <v>3686</v>
      </c>
      <c r="B974" s="27" t="str">
        <f>"26.1003"</f>
        <v>26.1003</v>
      </c>
      <c r="C974" s="64" t="s">
        <v>3687</v>
      </c>
      <c r="D974" s="27" t="s">
        <v>2229</v>
      </c>
      <c r="E974" s="27" t="s">
        <v>2232</v>
      </c>
      <c r="F974" s="27" t="str">
        <f>"26.1003"</f>
        <v>26.1003</v>
      </c>
      <c r="G974" s="27" t="s">
        <v>3687</v>
      </c>
      <c r="H974" s="65" t="str">
        <f t="shared" si="45"/>
        <v>No Change</v>
      </c>
      <c r="I974" s="65" t="str">
        <f t="shared" si="46"/>
        <v>261003</v>
      </c>
      <c r="J974" s="65" t="str">
        <f t="shared" si="47"/>
        <v>261003</v>
      </c>
    </row>
    <row r="975" spans="1:10" x14ac:dyDescent="0.3">
      <c r="A975" s="27" t="s">
        <v>3688</v>
      </c>
      <c r="B975" s="27" t="str">
        <f>"26.1004"</f>
        <v>26.1004</v>
      </c>
      <c r="C975" s="64" t="s">
        <v>3689</v>
      </c>
      <c r="D975" s="27" t="s">
        <v>2229</v>
      </c>
      <c r="E975" s="27" t="s">
        <v>2232</v>
      </c>
      <c r="F975" s="27" t="str">
        <f>"26.1004"</f>
        <v>26.1004</v>
      </c>
      <c r="G975" s="27" t="s">
        <v>3689</v>
      </c>
      <c r="H975" s="65" t="str">
        <f t="shared" si="45"/>
        <v>No Change</v>
      </c>
      <c r="I975" s="65" t="str">
        <f t="shared" si="46"/>
        <v>261004</v>
      </c>
      <c r="J975" s="65" t="str">
        <f t="shared" si="47"/>
        <v>261004</v>
      </c>
    </row>
    <row r="976" spans="1:10" x14ac:dyDescent="0.3">
      <c r="A976" s="27" t="s">
        <v>3690</v>
      </c>
      <c r="B976" s="27" t="str">
        <f>"26.1005"</f>
        <v>26.1005</v>
      </c>
      <c r="C976" s="64" t="s">
        <v>3691</v>
      </c>
      <c r="D976" s="27" t="s">
        <v>2229</v>
      </c>
      <c r="E976" s="27" t="s">
        <v>2232</v>
      </c>
      <c r="F976" s="27" t="str">
        <f>"26.1005"</f>
        <v>26.1005</v>
      </c>
      <c r="G976" s="27" t="s">
        <v>3691</v>
      </c>
      <c r="H976" s="65" t="str">
        <f t="shared" si="45"/>
        <v>No Change</v>
      </c>
      <c r="I976" s="65" t="str">
        <f t="shared" si="46"/>
        <v>261005</v>
      </c>
      <c r="J976" s="65" t="str">
        <f t="shared" si="47"/>
        <v>261005</v>
      </c>
    </row>
    <row r="977" spans="1:10" x14ac:dyDescent="0.3">
      <c r="A977" s="27" t="s">
        <v>3692</v>
      </c>
      <c r="B977" s="27" t="str">
        <f>"26.1006"</f>
        <v>26.1006</v>
      </c>
      <c r="C977" s="64" t="s">
        <v>3693</v>
      </c>
      <c r="D977" s="27" t="s">
        <v>2229</v>
      </c>
      <c r="E977" s="27" t="s">
        <v>2232</v>
      </c>
      <c r="F977" s="27" t="str">
        <f>"26.1006"</f>
        <v>26.1006</v>
      </c>
      <c r="G977" s="27" t="s">
        <v>3693</v>
      </c>
      <c r="H977" s="65" t="str">
        <f t="shared" si="45"/>
        <v>No Change</v>
      </c>
      <c r="I977" s="65" t="str">
        <f t="shared" si="46"/>
        <v>261006</v>
      </c>
      <c r="J977" s="65" t="str">
        <f t="shared" si="47"/>
        <v>261006</v>
      </c>
    </row>
    <row r="978" spans="1:10" x14ac:dyDescent="0.3">
      <c r="A978" s="27" t="s">
        <v>3694</v>
      </c>
      <c r="B978" s="27" t="str">
        <f>"26.1007"</f>
        <v>26.1007</v>
      </c>
      <c r="C978" s="64" t="s">
        <v>3681</v>
      </c>
      <c r="D978" s="27" t="s">
        <v>2229</v>
      </c>
      <c r="E978" s="27" t="s">
        <v>2232</v>
      </c>
      <c r="F978" s="27" t="str">
        <f>"26.1007"</f>
        <v>26.1007</v>
      </c>
      <c r="G978" s="27" t="s">
        <v>3681</v>
      </c>
      <c r="H978" s="65" t="str">
        <f t="shared" si="45"/>
        <v>No Change</v>
      </c>
      <c r="I978" s="65" t="str">
        <f t="shared" si="46"/>
        <v>261007</v>
      </c>
      <c r="J978" s="65" t="str">
        <f t="shared" si="47"/>
        <v>261007</v>
      </c>
    </row>
    <row r="979" spans="1:10" x14ac:dyDescent="0.3">
      <c r="A979" s="27" t="s">
        <v>3695</v>
      </c>
      <c r="B979" s="27" t="str">
        <f>"26.1099"</f>
        <v>26.1099</v>
      </c>
      <c r="C979" s="64" t="s">
        <v>3696</v>
      </c>
      <c r="D979" s="27" t="s">
        <v>2229</v>
      </c>
      <c r="E979" s="27" t="s">
        <v>2232</v>
      </c>
      <c r="F979" s="27" t="str">
        <f>"26.1099"</f>
        <v>26.1099</v>
      </c>
      <c r="G979" s="27" t="s">
        <v>3696</v>
      </c>
      <c r="H979" s="65" t="str">
        <f t="shared" si="45"/>
        <v>No Change</v>
      </c>
      <c r="I979" s="65" t="str">
        <f t="shared" si="46"/>
        <v>261099</v>
      </c>
      <c r="J979" s="65" t="str">
        <f t="shared" si="47"/>
        <v>261099</v>
      </c>
    </row>
    <row r="980" spans="1:10" x14ac:dyDescent="0.3">
      <c r="A980" s="27" t="s">
        <v>1869</v>
      </c>
      <c r="B980" s="27" t="str">
        <f>"26.11"</f>
        <v>26.11</v>
      </c>
      <c r="C980" s="64" t="s">
        <v>3697</v>
      </c>
      <c r="D980" s="27" t="s">
        <v>2229</v>
      </c>
      <c r="E980" s="27" t="s">
        <v>2232</v>
      </c>
      <c r="F980" s="27" t="str">
        <f>"26.11"</f>
        <v>26.11</v>
      </c>
      <c r="G980" s="27" t="s">
        <v>3697</v>
      </c>
      <c r="H980" s="65" t="str">
        <f t="shared" si="45"/>
        <v>No Change</v>
      </c>
      <c r="I980" s="65" t="str">
        <f t="shared" si="46"/>
        <v/>
      </c>
      <c r="J980" s="65" t="str">
        <f t="shared" si="47"/>
        <v/>
      </c>
    </row>
    <row r="981" spans="1:10" x14ac:dyDescent="0.3">
      <c r="A981" s="27" t="s">
        <v>3698</v>
      </c>
      <c r="B981" s="27" t="str">
        <f>"26.1101"</f>
        <v>26.1101</v>
      </c>
      <c r="C981" s="64" t="s">
        <v>3699</v>
      </c>
      <c r="D981" s="27" t="s">
        <v>2229</v>
      </c>
      <c r="E981" s="27" t="s">
        <v>2232</v>
      </c>
      <c r="F981" s="27" t="str">
        <f>"26.1101"</f>
        <v>26.1101</v>
      </c>
      <c r="G981" s="27" t="s">
        <v>3699</v>
      </c>
      <c r="H981" s="65" t="str">
        <f t="shared" si="45"/>
        <v>No Change</v>
      </c>
      <c r="I981" s="65" t="str">
        <f t="shared" si="46"/>
        <v>261101</v>
      </c>
      <c r="J981" s="65" t="str">
        <f t="shared" si="47"/>
        <v>261101</v>
      </c>
    </row>
    <row r="982" spans="1:10" x14ac:dyDescent="0.3">
      <c r="A982" s="27" t="s">
        <v>3700</v>
      </c>
      <c r="B982" s="27" t="str">
        <f>"26.1102"</f>
        <v>26.1102</v>
      </c>
      <c r="C982" s="64" t="s">
        <v>3701</v>
      </c>
      <c r="D982" s="27" t="s">
        <v>2229</v>
      </c>
      <c r="E982" s="27" t="s">
        <v>2232</v>
      </c>
      <c r="F982" s="27" t="str">
        <f>"26.1102"</f>
        <v>26.1102</v>
      </c>
      <c r="G982" s="27" t="s">
        <v>3701</v>
      </c>
      <c r="H982" s="65" t="str">
        <f t="shared" si="45"/>
        <v>No Change</v>
      </c>
      <c r="I982" s="65" t="str">
        <f t="shared" si="46"/>
        <v>261102</v>
      </c>
      <c r="J982" s="65" t="str">
        <f t="shared" si="47"/>
        <v>261102</v>
      </c>
    </row>
    <row r="983" spans="1:10" x14ac:dyDescent="0.3">
      <c r="A983" s="27" t="s">
        <v>3702</v>
      </c>
      <c r="B983" s="27" t="str">
        <f>"26.1103"</f>
        <v>26.1103</v>
      </c>
      <c r="C983" s="64" t="s">
        <v>3703</v>
      </c>
      <c r="D983" s="27" t="s">
        <v>2229</v>
      </c>
      <c r="E983" s="27" t="s">
        <v>2232</v>
      </c>
      <c r="F983" s="27" t="str">
        <f>"26.1103"</f>
        <v>26.1103</v>
      </c>
      <c r="G983" s="27" t="s">
        <v>3703</v>
      </c>
      <c r="H983" s="65" t="str">
        <f t="shared" si="45"/>
        <v>No Change</v>
      </c>
      <c r="I983" s="65" t="str">
        <f t="shared" si="46"/>
        <v>261103</v>
      </c>
      <c r="J983" s="65" t="str">
        <f t="shared" si="47"/>
        <v>261103</v>
      </c>
    </row>
    <row r="984" spans="1:10" x14ac:dyDescent="0.3">
      <c r="A984" s="27" t="s">
        <v>3704</v>
      </c>
      <c r="B984" s="27" t="str">
        <f>"26.1104"</f>
        <v>26.1104</v>
      </c>
      <c r="C984" s="64" t="s">
        <v>3705</v>
      </c>
      <c r="D984" s="27" t="s">
        <v>2229</v>
      </c>
      <c r="E984" s="27" t="s">
        <v>2232</v>
      </c>
      <c r="F984" s="27" t="str">
        <f>"26.1104"</f>
        <v>26.1104</v>
      </c>
      <c r="G984" s="27" t="s">
        <v>3705</v>
      </c>
      <c r="H984" s="65" t="str">
        <f t="shared" si="45"/>
        <v>No Change</v>
      </c>
      <c r="I984" s="65" t="str">
        <f t="shared" si="46"/>
        <v>261104</v>
      </c>
      <c r="J984" s="65" t="str">
        <f t="shared" si="47"/>
        <v>261104</v>
      </c>
    </row>
    <row r="985" spans="1:10" ht="28.8" x14ac:dyDescent="0.3">
      <c r="A985" s="27" t="s">
        <v>3706</v>
      </c>
      <c r="B985" s="27" t="str">
        <f>"26.1199"</f>
        <v>26.1199</v>
      </c>
      <c r="C985" s="64" t="s">
        <v>3707</v>
      </c>
      <c r="D985" s="27" t="s">
        <v>2229</v>
      </c>
      <c r="E985" s="27" t="s">
        <v>2232</v>
      </c>
      <c r="F985" s="27" t="str">
        <f>"26.1199"</f>
        <v>26.1199</v>
      </c>
      <c r="G985" s="27" t="s">
        <v>3707</v>
      </c>
      <c r="H985" s="65" t="str">
        <f t="shared" si="45"/>
        <v>No Change</v>
      </c>
      <c r="I985" s="65" t="str">
        <f t="shared" si="46"/>
        <v>261199</v>
      </c>
      <c r="J985" s="65" t="str">
        <f t="shared" si="47"/>
        <v>261199</v>
      </c>
    </row>
    <row r="986" spans="1:10" x14ac:dyDescent="0.3">
      <c r="A986" s="27" t="s">
        <v>1869</v>
      </c>
      <c r="B986" s="27" t="str">
        <f>"26.12"</f>
        <v>26.12</v>
      </c>
      <c r="C986" s="64" t="s">
        <v>267</v>
      </c>
      <c r="D986" s="27" t="s">
        <v>2229</v>
      </c>
      <c r="E986" s="27" t="s">
        <v>2232</v>
      </c>
      <c r="F986" s="27" t="str">
        <f>"26.12"</f>
        <v>26.12</v>
      </c>
      <c r="G986" s="27" t="s">
        <v>267</v>
      </c>
      <c r="H986" s="65" t="str">
        <f t="shared" si="45"/>
        <v>No Change</v>
      </c>
      <c r="I986" s="65" t="str">
        <f t="shared" si="46"/>
        <v/>
      </c>
      <c r="J986" s="65" t="str">
        <f t="shared" si="47"/>
        <v/>
      </c>
    </row>
    <row r="987" spans="1:10" x14ac:dyDescent="0.3">
      <c r="A987" s="27" t="s">
        <v>266</v>
      </c>
      <c r="B987" s="27" t="str">
        <f>"26.1201"</f>
        <v>26.1201</v>
      </c>
      <c r="C987" s="64" t="s">
        <v>267</v>
      </c>
      <c r="D987" s="27" t="s">
        <v>2229</v>
      </c>
      <c r="E987" s="27" t="s">
        <v>2232</v>
      </c>
      <c r="F987" s="27" t="str">
        <f>"26.1201"</f>
        <v>26.1201</v>
      </c>
      <c r="G987" s="27" t="s">
        <v>267</v>
      </c>
      <c r="H987" s="65" t="str">
        <f t="shared" si="45"/>
        <v>No Change</v>
      </c>
      <c r="I987" s="65" t="str">
        <f t="shared" si="46"/>
        <v>261201</v>
      </c>
      <c r="J987" s="65" t="str">
        <f t="shared" si="47"/>
        <v>261201</v>
      </c>
    </row>
    <row r="988" spans="1:10" x14ac:dyDescent="0.3">
      <c r="A988" s="27" t="s">
        <v>1869</v>
      </c>
      <c r="B988" s="27" t="str">
        <f>"26.13"</f>
        <v>26.13</v>
      </c>
      <c r="C988" s="64" t="s">
        <v>3708</v>
      </c>
      <c r="D988" s="27" t="s">
        <v>2229</v>
      </c>
      <c r="E988" s="27" t="s">
        <v>2232</v>
      </c>
      <c r="F988" s="27" t="str">
        <f>"26.13"</f>
        <v>26.13</v>
      </c>
      <c r="G988" s="27" t="s">
        <v>3708</v>
      </c>
      <c r="H988" s="65" t="str">
        <f t="shared" si="45"/>
        <v>No Change</v>
      </c>
      <c r="I988" s="65" t="str">
        <f t="shared" si="46"/>
        <v/>
      </c>
      <c r="J988" s="65" t="str">
        <f t="shared" si="47"/>
        <v/>
      </c>
    </row>
    <row r="989" spans="1:10" x14ac:dyDescent="0.3">
      <c r="A989" s="27" t="s">
        <v>3709</v>
      </c>
      <c r="B989" s="27" t="str">
        <f>"26.1301"</f>
        <v>26.1301</v>
      </c>
      <c r="C989" s="64" t="s">
        <v>3710</v>
      </c>
      <c r="D989" s="27" t="s">
        <v>2229</v>
      </c>
      <c r="E989" s="27" t="s">
        <v>2232</v>
      </c>
      <c r="F989" s="27" t="str">
        <f>"26.1301"</f>
        <v>26.1301</v>
      </c>
      <c r="G989" s="27" t="s">
        <v>3710</v>
      </c>
      <c r="H989" s="65" t="str">
        <f t="shared" si="45"/>
        <v>No Change</v>
      </c>
      <c r="I989" s="65" t="str">
        <f t="shared" si="46"/>
        <v>261301</v>
      </c>
      <c r="J989" s="65" t="str">
        <f t="shared" si="47"/>
        <v>261301</v>
      </c>
    </row>
    <row r="990" spans="1:10" x14ac:dyDescent="0.3">
      <c r="A990" s="27" t="s">
        <v>3711</v>
      </c>
      <c r="B990" s="27" t="str">
        <f>"26.1302"</f>
        <v>26.1302</v>
      </c>
      <c r="C990" s="64" t="s">
        <v>3712</v>
      </c>
      <c r="D990" s="27" t="s">
        <v>2229</v>
      </c>
      <c r="E990" s="27" t="s">
        <v>2232</v>
      </c>
      <c r="F990" s="27" t="str">
        <f>"26.1302"</f>
        <v>26.1302</v>
      </c>
      <c r="G990" s="27" t="s">
        <v>3712</v>
      </c>
      <c r="H990" s="65" t="str">
        <f t="shared" si="45"/>
        <v>No Change</v>
      </c>
      <c r="I990" s="65" t="str">
        <f t="shared" si="46"/>
        <v>261302</v>
      </c>
      <c r="J990" s="65" t="str">
        <f t="shared" si="47"/>
        <v>261302</v>
      </c>
    </row>
    <row r="991" spans="1:10" x14ac:dyDescent="0.3">
      <c r="A991" s="27" t="s">
        <v>3713</v>
      </c>
      <c r="B991" s="27" t="str">
        <f>"26.1303"</f>
        <v>26.1303</v>
      </c>
      <c r="C991" s="64" t="s">
        <v>3714</v>
      </c>
      <c r="D991" s="27" t="s">
        <v>2229</v>
      </c>
      <c r="E991" s="27" t="s">
        <v>2232</v>
      </c>
      <c r="F991" s="27" t="str">
        <f>"26.1303"</f>
        <v>26.1303</v>
      </c>
      <c r="G991" s="27" t="s">
        <v>3714</v>
      </c>
      <c r="H991" s="65" t="str">
        <f t="shared" si="45"/>
        <v>No Change</v>
      </c>
      <c r="I991" s="65" t="str">
        <f t="shared" si="46"/>
        <v>261303</v>
      </c>
      <c r="J991" s="65" t="str">
        <f t="shared" si="47"/>
        <v>261303</v>
      </c>
    </row>
    <row r="992" spans="1:10" x14ac:dyDescent="0.3">
      <c r="A992" s="27" t="s">
        <v>3715</v>
      </c>
      <c r="B992" s="27" t="str">
        <f>"26.1304"</f>
        <v>26.1304</v>
      </c>
      <c r="C992" s="64" t="s">
        <v>3716</v>
      </c>
      <c r="D992" s="27" t="s">
        <v>2229</v>
      </c>
      <c r="E992" s="27" t="s">
        <v>2232</v>
      </c>
      <c r="F992" s="27" t="str">
        <f>"26.1304"</f>
        <v>26.1304</v>
      </c>
      <c r="G992" s="27" t="s">
        <v>3716</v>
      </c>
      <c r="H992" s="65" t="str">
        <f t="shared" si="45"/>
        <v>No Change</v>
      </c>
      <c r="I992" s="65" t="str">
        <f t="shared" si="46"/>
        <v>261304</v>
      </c>
      <c r="J992" s="65" t="str">
        <f t="shared" si="47"/>
        <v>261304</v>
      </c>
    </row>
    <row r="993" spans="1:10" x14ac:dyDescent="0.3">
      <c r="A993" s="27" t="s">
        <v>3717</v>
      </c>
      <c r="B993" s="27" t="str">
        <f>"26.1305"</f>
        <v>26.1305</v>
      </c>
      <c r="C993" s="64" t="s">
        <v>3718</v>
      </c>
      <c r="D993" s="27" t="s">
        <v>2229</v>
      </c>
      <c r="E993" s="27" t="s">
        <v>2232</v>
      </c>
      <c r="F993" s="27" t="str">
        <f>"26.1305"</f>
        <v>26.1305</v>
      </c>
      <c r="G993" s="27" t="s">
        <v>3718</v>
      </c>
      <c r="H993" s="65" t="str">
        <f t="shared" si="45"/>
        <v>No Change</v>
      </c>
      <c r="I993" s="65" t="str">
        <f t="shared" si="46"/>
        <v>261305</v>
      </c>
      <c r="J993" s="65" t="str">
        <f t="shared" si="47"/>
        <v>261305</v>
      </c>
    </row>
    <row r="994" spans="1:10" x14ac:dyDescent="0.3">
      <c r="A994" s="27" t="s">
        <v>3719</v>
      </c>
      <c r="B994" s="27" t="str">
        <f>"26.1306"</f>
        <v>26.1306</v>
      </c>
      <c r="C994" s="64" t="s">
        <v>3720</v>
      </c>
      <c r="D994" s="27" t="s">
        <v>2229</v>
      </c>
      <c r="E994" s="27" t="s">
        <v>2232</v>
      </c>
      <c r="F994" s="27" t="str">
        <f>"26.1306"</f>
        <v>26.1306</v>
      </c>
      <c r="G994" s="27" t="s">
        <v>3720</v>
      </c>
      <c r="H994" s="65" t="str">
        <f t="shared" si="45"/>
        <v>No Change</v>
      </c>
      <c r="I994" s="65" t="str">
        <f t="shared" si="46"/>
        <v>261306</v>
      </c>
      <c r="J994" s="65" t="str">
        <f t="shared" si="47"/>
        <v>261306</v>
      </c>
    </row>
    <row r="995" spans="1:10" x14ac:dyDescent="0.3">
      <c r="A995" s="27" t="s">
        <v>3721</v>
      </c>
      <c r="B995" s="27" t="str">
        <f>"26.1307"</f>
        <v>26.1307</v>
      </c>
      <c r="C995" s="64" t="s">
        <v>3722</v>
      </c>
      <c r="D995" s="27" t="s">
        <v>2229</v>
      </c>
      <c r="E995" s="27" t="s">
        <v>2232</v>
      </c>
      <c r="F995" s="27" t="str">
        <f>"26.1307"</f>
        <v>26.1307</v>
      </c>
      <c r="G995" s="27" t="s">
        <v>3722</v>
      </c>
      <c r="H995" s="65" t="str">
        <f t="shared" si="45"/>
        <v>No Change</v>
      </c>
      <c r="I995" s="65" t="str">
        <f t="shared" si="46"/>
        <v>261307</v>
      </c>
      <c r="J995" s="65" t="str">
        <f t="shared" si="47"/>
        <v>261307</v>
      </c>
    </row>
    <row r="996" spans="1:10" x14ac:dyDescent="0.3">
      <c r="A996" s="27" t="s">
        <v>3723</v>
      </c>
      <c r="B996" s="27" t="str">
        <f>"26.1308"</f>
        <v>26.1308</v>
      </c>
      <c r="C996" s="64" t="s">
        <v>3724</v>
      </c>
      <c r="D996" s="27" t="s">
        <v>2229</v>
      </c>
      <c r="E996" s="27" t="s">
        <v>2232</v>
      </c>
      <c r="F996" s="27" t="str">
        <f>"26.1308"</f>
        <v>26.1308</v>
      </c>
      <c r="G996" s="27" t="s">
        <v>3724</v>
      </c>
      <c r="H996" s="65" t="str">
        <f t="shared" si="45"/>
        <v>No Change</v>
      </c>
      <c r="I996" s="65" t="str">
        <f t="shared" si="46"/>
        <v>261308</v>
      </c>
      <c r="J996" s="65" t="str">
        <f t="shared" si="47"/>
        <v>261308</v>
      </c>
    </row>
    <row r="997" spans="1:10" x14ac:dyDescent="0.3">
      <c r="A997" s="27" t="s">
        <v>3725</v>
      </c>
      <c r="B997" s="27" t="str">
        <f>"26.1309"</f>
        <v>26.1309</v>
      </c>
      <c r="C997" s="64" t="s">
        <v>3726</v>
      </c>
      <c r="D997" s="27" t="s">
        <v>2229</v>
      </c>
      <c r="E997" s="27" t="s">
        <v>2232</v>
      </c>
      <c r="F997" s="27" t="str">
        <f>"26.1309"</f>
        <v>26.1309</v>
      </c>
      <c r="G997" s="27" t="s">
        <v>3726</v>
      </c>
      <c r="H997" s="65" t="str">
        <f t="shared" si="45"/>
        <v>No Change</v>
      </c>
      <c r="I997" s="65" t="str">
        <f t="shared" si="46"/>
        <v>261309</v>
      </c>
      <c r="J997" s="65" t="str">
        <f t="shared" si="47"/>
        <v>261309</v>
      </c>
    </row>
    <row r="998" spans="1:10" x14ac:dyDescent="0.3">
      <c r="A998" s="27" t="s">
        <v>3727</v>
      </c>
      <c r="B998" s="27" t="str">
        <f>"26.1310"</f>
        <v>26.1310</v>
      </c>
      <c r="C998" s="64" t="s">
        <v>3728</v>
      </c>
      <c r="D998" s="27" t="s">
        <v>2229</v>
      </c>
      <c r="E998" s="27" t="s">
        <v>2232</v>
      </c>
      <c r="F998" s="27" t="str">
        <f>"26.1310"</f>
        <v>26.1310</v>
      </c>
      <c r="G998" s="27" t="s">
        <v>3728</v>
      </c>
      <c r="H998" s="65" t="str">
        <f t="shared" si="45"/>
        <v>No Change</v>
      </c>
      <c r="I998" s="65" t="str">
        <f t="shared" si="46"/>
        <v>261310</v>
      </c>
      <c r="J998" s="65" t="str">
        <f t="shared" si="47"/>
        <v>261310</v>
      </c>
    </row>
    <row r="999" spans="1:10" x14ac:dyDescent="0.3">
      <c r="A999" s="27" t="s">
        <v>1869</v>
      </c>
      <c r="D999" s="27" t="s">
        <v>2255</v>
      </c>
      <c r="E999" s="27" t="s">
        <v>2232</v>
      </c>
      <c r="F999" s="27" t="str">
        <f>"26.1311"</f>
        <v>26.1311</v>
      </c>
      <c r="G999" s="27" t="s">
        <v>3729</v>
      </c>
      <c r="H999" s="65" t="str">
        <f t="shared" si="45"/>
        <v>Other</v>
      </c>
      <c r="I999" s="65" t="str">
        <f t="shared" si="46"/>
        <v/>
      </c>
      <c r="J999" s="65" t="str">
        <f t="shared" si="47"/>
        <v>261311</v>
      </c>
    </row>
    <row r="1000" spans="1:10" x14ac:dyDescent="0.3">
      <c r="A1000" s="27" t="s">
        <v>3730</v>
      </c>
      <c r="B1000" s="27" t="str">
        <f>"26.1399"</f>
        <v>26.1399</v>
      </c>
      <c r="C1000" s="64" t="s">
        <v>3731</v>
      </c>
      <c r="D1000" s="27" t="s">
        <v>2229</v>
      </c>
      <c r="E1000" s="27" t="s">
        <v>2232</v>
      </c>
      <c r="F1000" s="27" t="str">
        <f>"26.1399"</f>
        <v>26.1399</v>
      </c>
      <c r="G1000" s="27" t="s">
        <v>3731</v>
      </c>
      <c r="H1000" s="65" t="str">
        <f t="shared" si="45"/>
        <v>No Change</v>
      </c>
      <c r="I1000" s="65" t="str">
        <f t="shared" si="46"/>
        <v>261399</v>
      </c>
      <c r="J1000" s="65" t="str">
        <f t="shared" si="47"/>
        <v>261399</v>
      </c>
    </row>
    <row r="1001" spans="1:10" x14ac:dyDescent="0.3">
      <c r="A1001" s="27" t="s">
        <v>1869</v>
      </c>
      <c r="B1001" s="27" t="str">
        <f>"26.14"</f>
        <v>26.14</v>
      </c>
      <c r="C1001" s="64" t="s">
        <v>3732</v>
      </c>
      <c r="D1001" s="27" t="s">
        <v>2229</v>
      </c>
      <c r="E1001" s="27" t="s">
        <v>2232</v>
      </c>
      <c r="F1001" s="27" t="str">
        <f>"26.14"</f>
        <v>26.14</v>
      </c>
      <c r="G1001" s="27" t="s">
        <v>3732</v>
      </c>
      <c r="H1001" s="65" t="str">
        <f t="shared" si="45"/>
        <v>No Change</v>
      </c>
      <c r="I1001" s="65" t="str">
        <f t="shared" si="46"/>
        <v/>
      </c>
      <c r="J1001" s="65" t="str">
        <f t="shared" si="47"/>
        <v/>
      </c>
    </row>
    <row r="1002" spans="1:10" x14ac:dyDescent="0.3">
      <c r="A1002" s="27" t="s">
        <v>3733</v>
      </c>
      <c r="B1002" s="27" t="str">
        <f>"26.1401"</f>
        <v>26.1401</v>
      </c>
      <c r="C1002" s="64" t="s">
        <v>3732</v>
      </c>
      <c r="D1002" s="27" t="s">
        <v>2229</v>
      </c>
      <c r="E1002" s="27" t="s">
        <v>2232</v>
      </c>
      <c r="F1002" s="27" t="str">
        <f>"26.1401"</f>
        <v>26.1401</v>
      </c>
      <c r="G1002" s="27" t="s">
        <v>3732</v>
      </c>
      <c r="H1002" s="65" t="str">
        <f t="shared" si="45"/>
        <v>No Change</v>
      </c>
      <c r="I1002" s="65" t="str">
        <f t="shared" si="46"/>
        <v>261401</v>
      </c>
      <c r="J1002" s="65" t="str">
        <f t="shared" si="47"/>
        <v>261401</v>
      </c>
    </row>
    <row r="1003" spans="1:10" x14ac:dyDescent="0.3">
      <c r="A1003" s="27" t="s">
        <v>1869</v>
      </c>
      <c r="B1003" s="27" t="str">
        <f>"26.15"</f>
        <v>26.15</v>
      </c>
      <c r="C1003" s="64" t="s">
        <v>3734</v>
      </c>
      <c r="D1003" s="27" t="s">
        <v>2229</v>
      </c>
      <c r="E1003" s="27" t="s">
        <v>2232</v>
      </c>
      <c r="F1003" s="27" t="str">
        <f>"26.15"</f>
        <v>26.15</v>
      </c>
      <c r="G1003" s="27" t="s">
        <v>3734</v>
      </c>
      <c r="H1003" s="65" t="str">
        <f t="shared" si="45"/>
        <v>No Change</v>
      </c>
      <c r="I1003" s="65" t="str">
        <f t="shared" si="46"/>
        <v/>
      </c>
      <c r="J1003" s="65" t="str">
        <f t="shared" si="47"/>
        <v/>
      </c>
    </row>
    <row r="1004" spans="1:10" x14ac:dyDescent="0.3">
      <c r="A1004" s="27" t="s">
        <v>3735</v>
      </c>
      <c r="B1004" s="27" t="str">
        <f>"26.1501"</f>
        <v>26.1501</v>
      </c>
      <c r="C1004" s="64" t="s">
        <v>3736</v>
      </c>
      <c r="D1004" s="27" t="s">
        <v>2229</v>
      </c>
      <c r="E1004" s="27" t="s">
        <v>2232</v>
      </c>
      <c r="F1004" s="27" t="str">
        <f>"26.1501"</f>
        <v>26.1501</v>
      </c>
      <c r="G1004" s="27" t="s">
        <v>3736</v>
      </c>
      <c r="H1004" s="65" t="str">
        <f t="shared" si="45"/>
        <v>No Change</v>
      </c>
      <c r="I1004" s="65" t="str">
        <f t="shared" si="46"/>
        <v>261501</v>
      </c>
      <c r="J1004" s="65" t="str">
        <f t="shared" si="47"/>
        <v>261501</v>
      </c>
    </row>
    <row r="1005" spans="1:10" x14ac:dyDescent="0.3">
      <c r="A1005" s="27" t="s">
        <v>3737</v>
      </c>
      <c r="B1005" s="27" t="str">
        <f>"26.1502"</f>
        <v>26.1502</v>
      </c>
      <c r="C1005" s="64" t="s">
        <v>3738</v>
      </c>
      <c r="D1005" s="27" t="s">
        <v>2229</v>
      </c>
      <c r="E1005" s="27" t="s">
        <v>2232</v>
      </c>
      <c r="F1005" s="27" t="str">
        <f>"26.1502"</f>
        <v>26.1502</v>
      </c>
      <c r="G1005" s="27" t="s">
        <v>3738</v>
      </c>
      <c r="H1005" s="65" t="str">
        <f t="shared" si="45"/>
        <v>No Change</v>
      </c>
      <c r="I1005" s="65" t="str">
        <f t="shared" si="46"/>
        <v>261502</v>
      </c>
      <c r="J1005" s="65" t="str">
        <f t="shared" si="47"/>
        <v>261502</v>
      </c>
    </row>
    <row r="1006" spans="1:10" x14ac:dyDescent="0.3">
      <c r="A1006" s="27" t="s">
        <v>3739</v>
      </c>
      <c r="B1006" s="27" t="str">
        <f>"26.1503"</f>
        <v>26.1503</v>
      </c>
      <c r="C1006" s="64" t="s">
        <v>3740</v>
      </c>
      <c r="D1006" s="27" t="s">
        <v>2229</v>
      </c>
      <c r="E1006" s="27" t="s">
        <v>2232</v>
      </c>
      <c r="F1006" s="27" t="str">
        <f>"26.1503"</f>
        <v>26.1503</v>
      </c>
      <c r="G1006" s="27" t="s">
        <v>3740</v>
      </c>
      <c r="H1006" s="65" t="str">
        <f t="shared" si="45"/>
        <v>No Change</v>
      </c>
      <c r="I1006" s="65" t="str">
        <f t="shared" si="46"/>
        <v>261503</v>
      </c>
      <c r="J1006" s="65" t="str">
        <f t="shared" si="47"/>
        <v>261503</v>
      </c>
    </row>
    <row r="1007" spans="1:10" x14ac:dyDescent="0.3">
      <c r="A1007" s="27" t="s">
        <v>3741</v>
      </c>
      <c r="B1007" s="27" t="str">
        <f>"26.1504"</f>
        <v>26.1504</v>
      </c>
      <c r="C1007" s="64" t="s">
        <v>3742</v>
      </c>
      <c r="D1007" s="27" t="s">
        <v>2229</v>
      </c>
      <c r="E1007" s="27" t="s">
        <v>2232</v>
      </c>
      <c r="F1007" s="27" t="str">
        <f>"26.1504"</f>
        <v>26.1504</v>
      </c>
      <c r="G1007" s="27" t="s">
        <v>3742</v>
      </c>
      <c r="H1007" s="65" t="str">
        <f t="shared" si="45"/>
        <v>No Change</v>
      </c>
      <c r="I1007" s="65" t="str">
        <f t="shared" si="46"/>
        <v>261504</v>
      </c>
      <c r="J1007" s="65" t="str">
        <f t="shared" si="47"/>
        <v>261504</v>
      </c>
    </row>
    <row r="1008" spans="1:10" x14ac:dyDescent="0.3">
      <c r="A1008" s="27" t="s">
        <v>3743</v>
      </c>
      <c r="B1008" s="27" t="str">
        <f>"26.1599"</f>
        <v>26.1599</v>
      </c>
      <c r="C1008" s="64" t="s">
        <v>3744</v>
      </c>
      <c r="D1008" s="27" t="s">
        <v>2229</v>
      </c>
      <c r="E1008" s="27" t="s">
        <v>2232</v>
      </c>
      <c r="F1008" s="27" t="str">
        <f>"26.1599"</f>
        <v>26.1599</v>
      </c>
      <c r="G1008" s="27" t="s">
        <v>3744</v>
      </c>
      <c r="H1008" s="65" t="str">
        <f t="shared" si="45"/>
        <v>No Change</v>
      </c>
      <c r="I1008" s="65" t="str">
        <f t="shared" si="46"/>
        <v>261599</v>
      </c>
      <c r="J1008" s="65" t="str">
        <f t="shared" si="47"/>
        <v>261599</v>
      </c>
    </row>
    <row r="1009" spans="1:10" x14ac:dyDescent="0.3">
      <c r="A1009" s="27" t="s">
        <v>1869</v>
      </c>
      <c r="B1009" s="27" t="str">
        <f>"26.99"</f>
        <v>26.99</v>
      </c>
      <c r="C1009" s="64" t="s">
        <v>3745</v>
      </c>
      <c r="D1009" s="27" t="s">
        <v>2229</v>
      </c>
      <c r="E1009" s="27" t="s">
        <v>2232</v>
      </c>
      <c r="F1009" s="27" t="str">
        <f>"26.99"</f>
        <v>26.99</v>
      </c>
      <c r="G1009" s="27" t="s">
        <v>3745</v>
      </c>
      <c r="H1009" s="65" t="str">
        <f t="shared" si="45"/>
        <v>No Change</v>
      </c>
      <c r="I1009" s="65" t="str">
        <f t="shared" si="46"/>
        <v/>
      </c>
      <c r="J1009" s="65" t="str">
        <f t="shared" si="47"/>
        <v/>
      </c>
    </row>
    <row r="1010" spans="1:10" x14ac:dyDescent="0.3">
      <c r="A1010" s="27" t="s">
        <v>3746</v>
      </c>
      <c r="B1010" s="27" t="str">
        <f>"26.9999"</f>
        <v>26.9999</v>
      </c>
      <c r="C1010" s="64" t="s">
        <v>3745</v>
      </c>
      <c r="D1010" s="27" t="s">
        <v>2229</v>
      </c>
      <c r="E1010" s="27" t="s">
        <v>2232</v>
      </c>
      <c r="F1010" s="27" t="str">
        <f>"26.9999"</f>
        <v>26.9999</v>
      </c>
      <c r="G1010" s="27" t="s">
        <v>3745</v>
      </c>
      <c r="H1010" s="65" t="str">
        <f t="shared" si="45"/>
        <v>No Change</v>
      </c>
      <c r="I1010" s="65" t="str">
        <f t="shared" si="46"/>
        <v>269999</v>
      </c>
      <c r="J1010" s="65" t="str">
        <f t="shared" si="47"/>
        <v>269999</v>
      </c>
    </row>
    <row r="1011" spans="1:10" x14ac:dyDescent="0.3">
      <c r="A1011" s="27" t="s">
        <v>1869</v>
      </c>
      <c r="B1011" s="27" t="str">
        <f>"27"</f>
        <v>27</v>
      </c>
      <c r="C1011" s="64" t="s">
        <v>3747</v>
      </c>
      <c r="D1011" s="27" t="s">
        <v>2229</v>
      </c>
      <c r="E1011" s="27" t="s">
        <v>2232</v>
      </c>
      <c r="F1011" s="27" t="str">
        <f>"27"</f>
        <v>27</v>
      </c>
      <c r="G1011" s="27" t="s">
        <v>3747</v>
      </c>
      <c r="H1011" s="65" t="str">
        <f t="shared" si="45"/>
        <v>No Change</v>
      </c>
      <c r="I1011" s="65" t="str">
        <f t="shared" si="46"/>
        <v/>
      </c>
      <c r="J1011" s="65" t="str">
        <f t="shared" si="47"/>
        <v/>
      </c>
    </row>
    <row r="1012" spans="1:10" x14ac:dyDescent="0.3">
      <c r="A1012" s="27" t="s">
        <v>1869</v>
      </c>
      <c r="B1012" s="27" t="str">
        <f>"27.01"</f>
        <v>27.01</v>
      </c>
      <c r="C1012" s="64" t="s">
        <v>3748</v>
      </c>
      <c r="D1012" s="27" t="s">
        <v>2229</v>
      </c>
      <c r="E1012" s="27" t="s">
        <v>2232</v>
      </c>
      <c r="F1012" s="27" t="str">
        <f>"27.01"</f>
        <v>27.01</v>
      </c>
      <c r="G1012" s="27" t="s">
        <v>3748</v>
      </c>
      <c r="H1012" s="65" t="str">
        <f t="shared" si="45"/>
        <v>No Change</v>
      </c>
      <c r="I1012" s="65" t="str">
        <f t="shared" si="46"/>
        <v/>
      </c>
      <c r="J1012" s="65" t="str">
        <f t="shared" si="47"/>
        <v/>
      </c>
    </row>
    <row r="1013" spans="1:10" x14ac:dyDescent="0.3">
      <c r="A1013" s="27" t="s">
        <v>3749</v>
      </c>
      <c r="B1013" s="27" t="str">
        <f>"27.0101"</f>
        <v>27.0101</v>
      </c>
      <c r="C1013" s="64" t="s">
        <v>3750</v>
      </c>
      <c r="D1013" s="27" t="s">
        <v>2229</v>
      </c>
      <c r="E1013" s="27" t="s">
        <v>2232</v>
      </c>
      <c r="F1013" s="27" t="str">
        <f>"27.0101"</f>
        <v>27.0101</v>
      </c>
      <c r="G1013" s="27" t="s">
        <v>3750</v>
      </c>
      <c r="H1013" s="65" t="str">
        <f t="shared" si="45"/>
        <v>No Change</v>
      </c>
      <c r="I1013" s="65" t="str">
        <f t="shared" si="46"/>
        <v>270101</v>
      </c>
      <c r="J1013" s="65" t="str">
        <f t="shared" si="47"/>
        <v>270101</v>
      </c>
    </row>
    <row r="1014" spans="1:10" x14ac:dyDescent="0.3">
      <c r="A1014" s="27" t="s">
        <v>3751</v>
      </c>
      <c r="B1014" s="27" t="str">
        <f>"27.0102"</f>
        <v>27.0102</v>
      </c>
      <c r="C1014" s="64" t="s">
        <v>3752</v>
      </c>
      <c r="D1014" s="27" t="s">
        <v>2229</v>
      </c>
      <c r="E1014" s="27" t="s">
        <v>2232</v>
      </c>
      <c r="F1014" s="27" t="str">
        <f>"27.0102"</f>
        <v>27.0102</v>
      </c>
      <c r="G1014" s="27" t="s">
        <v>3752</v>
      </c>
      <c r="H1014" s="65" t="str">
        <f t="shared" si="45"/>
        <v>No Change</v>
      </c>
      <c r="I1014" s="65" t="str">
        <f t="shared" si="46"/>
        <v>270102</v>
      </c>
      <c r="J1014" s="65" t="str">
        <f t="shared" si="47"/>
        <v>270102</v>
      </c>
    </row>
    <row r="1015" spans="1:10" x14ac:dyDescent="0.3">
      <c r="A1015" s="27" t="s">
        <v>3753</v>
      </c>
      <c r="B1015" s="27" t="str">
        <f>"27.0103"</f>
        <v>27.0103</v>
      </c>
      <c r="C1015" s="64" t="s">
        <v>3754</v>
      </c>
      <c r="D1015" s="27" t="s">
        <v>2229</v>
      </c>
      <c r="E1015" s="27" t="s">
        <v>2232</v>
      </c>
      <c r="F1015" s="27" t="str">
        <f>"27.0103"</f>
        <v>27.0103</v>
      </c>
      <c r="G1015" s="27" t="s">
        <v>3754</v>
      </c>
      <c r="H1015" s="65" t="str">
        <f t="shared" si="45"/>
        <v>No Change</v>
      </c>
      <c r="I1015" s="65" t="str">
        <f t="shared" si="46"/>
        <v>270103</v>
      </c>
      <c r="J1015" s="65" t="str">
        <f t="shared" si="47"/>
        <v>270103</v>
      </c>
    </row>
    <row r="1016" spans="1:10" x14ac:dyDescent="0.3">
      <c r="A1016" s="27" t="s">
        <v>3755</v>
      </c>
      <c r="B1016" s="27" t="str">
        <f>"27.0104"</f>
        <v>27.0104</v>
      </c>
      <c r="C1016" s="64" t="s">
        <v>3756</v>
      </c>
      <c r="D1016" s="27" t="s">
        <v>2229</v>
      </c>
      <c r="E1016" s="27" t="s">
        <v>2232</v>
      </c>
      <c r="F1016" s="27" t="str">
        <f>"27.0104"</f>
        <v>27.0104</v>
      </c>
      <c r="G1016" s="27" t="s">
        <v>3756</v>
      </c>
      <c r="H1016" s="65" t="str">
        <f t="shared" si="45"/>
        <v>No Change</v>
      </c>
      <c r="I1016" s="65" t="str">
        <f t="shared" si="46"/>
        <v>270104</v>
      </c>
      <c r="J1016" s="65" t="str">
        <f t="shared" si="47"/>
        <v>270104</v>
      </c>
    </row>
    <row r="1017" spans="1:10" x14ac:dyDescent="0.3">
      <c r="A1017" s="27" t="s">
        <v>3757</v>
      </c>
      <c r="B1017" s="27" t="str">
        <f>"27.0105"</f>
        <v>27.0105</v>
      </c>
      <c r="C1017" s="64" t="s">
        <v>3758</v>
      </c>
      <c r="D1017" s="27" t="s">
        <v>2229</v>
      </c>
      <c r="E1017" s="27" t="s">
        <v>2232</v>
      </c>
      <c r="F1017" s="27" t="str">
        <f>"27.0105"</f>
        <v>27.0105</v>
      </c>
      <c r="G1017" s="27" t="s">
        <v>3758</v>
      </c>
      <c r="H1017" s="65" t="str">
        <f t="shared" si="45"/>
        <v>No Change</v>
      </c>
      <c r="I1017" s="65" t="str">
        <f t="shared" si="46"/>
        <v>270105</v>
      </c>
      <c r="J1017" s="65" t="str">
        <f t="shared" si="47"/>
        <v>270105</v>
      </c>
    </row>
    <row r="1018" spans="1:10" x14ac:dyDescent="0.3">
      <c r="A1018" s="27" t="s">
        <v>3759</v>
      </c>
      <c r="B1018" s="27" t="str">
        <f>"27.0199"</f>
        <v>27.0199</v>
      </c>
      <c r="C1018" s="64" t="s">
        <v>3760</v>
      </c>
      <c r="D1018" s="27" t="s">
        <v>2229</v>
      </c>
      <c r="E1018" s="27" t="s">
        <v>2232</v>
      </c>
      <c r="F1018" s="27" t="str">
        <f>"27.0199"</f>
        <v>27.0199</v>
      </c>
      <c r="G1018" s="27" t="s">
        <v>3760</v>
      </c>
      <c r="H1018" s="65" t="str">
        <f t="shared" si="45"/>
        <v>No Change</v>
      </c>
      <c r="I1018" s="65" t="str">
        <f t="shared" si="46"/>
        <v>270199</v>
      </c>
      <c r="J1018" s="65" t="str">
        <f t="shared" si="47"/>
        <v>270199</v>
      </c>
    </row>
    <row r="1019" spans="1:10" x14ac:dyDescent="0.3">
      <c r="A1019" s="27" t="s">
        <v>1869</v>
      </c>
      <c r="B1019" s="27" t="str">
        <f>"27.03"</f>
        <v>27.03</v>
      </c>
      <c r="C1019" s="64" t="s">
        <v>3761</v>
      </c>
      <c r="D1019" s="27" t="s">
        <v>2229</v>
      </c>
      <c r="E1019" s="27" t="s">
        <v>2232</v>
      </c>
      <c r="F1019" s="27" t="str">
        <f>"27.03"</f>
        <v>27.03</v>
      </c>
      <c r="G1019" s="27" t="s">
        <v>3761</v>
      </c>
      <c r="H1019" s="65" t="str">
        <f t="shared" si="45"/>
        <v>No Change</v>
      </c>
      <c r="I1019" s="65" t="str">
        <f t="shared" si="46"/>
        <v/>
      </c>
      <c r="J1019" s="65" t="str">
        <f t="shared" si="47"/>
        <v/>
      </c>
    </row>
    <row r="1020" spans="1:10" x14ac:dyDescent="0.3">
      <c r="A1020" s="27" t="s">
        <v>3762</v>
      </c>
      <c r="B1020" s="27" t="str">
        <f>"27.0301"</f>
        <v>27.0301</v>
      </c>
      <c r="C1020" s="64" t="s">
        <v>3763</v>
      </c>
      <c r="D1020" s="27" t="s">
        <v>2229</v>
      </c>
      <c r="E1020" s="27" t="s">
        <v>2230</v>
      </c>
      <c r="F1020" s="27" t="str">
        <f>"27.0301"</f>
        <v>27.0301</v>
      </c>
      <c r="G1020" s="27" t="s">
        <v>3763</v>
      </c>
      <c r="H1020" s="65" t="str">
        <f t="shared" si="45"/>
        <v>No Change</v>
      </c>
      <c r="I1020" s="65" t="str">
        <f t="shared" si="46"/>
        <v>270301</v>
      </c>
      <c r="J1020" s="65" t="str">
        <f t="shared" si="47"/>
        <v>270301</v>
      </c>
    </row>
    <row r="1021" spans="1:10" x14ac:dyDescent="0.3">
      <c r="A1021" s="27" t="s">
        <v>3764</v>
      </c>
      <c r="B1021" s="27" t="str">
        <f>"27.0303"</f>
        <v>27.0303</v>
      </c>
      <c r="C1021" s="64" t="s">
        <v>3765</v>
      </c>
      <c r="D1021" s="27" t="s">
        <v>2229</v>
      </c>
      <c r="E1021" s="27" t="s">
        <v>2232</v>
      </c>
      <c r="F1021" s="27" t="str">
        <f>"27.0303"</f>
        <v>27.0303</v>
      </c>
      <c r="G1021" s="27" t="s">
        <v>3765</v>
      </c>
      <c r="H1021" s="65" t="str">
        <f t="shared" si="45"/>
        <v>No Change</v>
      </c>
      <c r="I1021" s="65" t="str">
        <f t="shared" si="46"/>
        <v>270303</v>
      </c>
      <c r="J1021" s="65" t="str">
        <f t="shared" si="47"/>
        <v>270303</v>
      </c>
    </row>
    <row r="1022" spans="1:10" x14ac:dyDescent="0.3">
      <c r="A1022" s="27" t="s">
        <v>3766</v>
      </c>
      <c r="B1022" s="27" t="str">
        <f>"27.0304"</f>
        <v>27.0304</v>
      </c>
      <c r="C1022" s="64" t="s">
        <v>3767</v>
      </c>
      <c r="D1022" s="27" t="s">
        <v>2229</v>
      </c>
      <c r="E1022" s="27" t="s">
        <v>2232</v>
      </c>
      <c r="F1022" s="27" t="str">
        <f>"27.0304"</f>
        <v>27.0304</v>
      </c>
      <c r="G1022" s="27" t="s">
        <v>3767</v>
      </c>
      <c r="H1022" s="65" t="str">
        <f t="shared" si="45"/>
        <v>No Change</v>
      </c>
      <c r="I1022" s="65" t="str">
        <f t="shared" si="46"/>
        <v>270304</v>
      </c>
      <c r="J1022" s="65" t="str">
        <f t="shared" si="47"/>
        <v>270304</v>
      </c>
    </row>
    <row r="1023" spans="1:10" x14ac:dyDescent="0.3">
      <c r="A1023" s="27" t="s">
        <v>3768</v>
      </c>
      <c r="B1023" s="27" t="str">
        <f>"27.0305"</f>
        <v>27.0305</v>
      </c>
      <c r="C1023" s="64" t="s">
        <v>3769</v>
      </c>
      <c r="D1023" s="27" t="s">
        <v>2229</v>
      </c>
      <c r="E1023" s="27" t="s">
        <v>2232</v>
      </c>
      <c r="F1023" s="27" t="str">
        <f>"27.0305"</f>
        <v>27.0305</v>
      </c>
      <c r="G1023" s="27" t="s">
        <v>3769</v>
      </c>
      <c r="H1023" s="65" t="str">
        <f t="shared" si="45"/>
        <v>No Change</v>
      </c>
      <c r="I1023" s="65" t="str">
        <f t="shared" si="46"/>
        <v>270305</v>
      </c>
      <c r="J1023" s="65" t="str">
        <f t="shared" si="47"/>
        <v>270305</v>
      </c>
    </row>
    <row r="1024" spans="1:10" x14ac:dyDescent="0.3">
      <c r="A1024" s="27" t="s">
        <v>3770</v>
      </c>
      <c r="B1024" s="27" t="str">
        <f>"27.0306"</f>
        <v>27.0306</v>
      </c>
      <c r="C1024" s="64" t="s">
        <v>3771</v>
      </c>
      <c r="D1024" s="27" t="s">
        <v>2229</v>
      </c>
      <c r="E1024" s="27" t="s">
        <v>2232</v>
      </c>
      <c r="F1024" s="27" t="str">
        <f>"27.0306"</f>
        <v>27.0306</v>
      </c>
      <c r="G1024" s="27" t="s">
        <v>3771</v>
      </c>
      <c r="H1024" s="65" t="str">
        <f t="shared" si="45"/>
        <v>No Change</v>
      </c>
      <c r="I1024" s="65" t="str">
        <f t="shared" si="46"/>
        <v>270306</v>
      </c>
      <c r="J1024" s="65" t="str">
        <f t="shared" si="47"/>
        <v>270306</v>
      </c>
    </row>
    <row r="1025" spans="1:10" x14ac:dyDescent="0.3">
      <c r="A1025" s="27" t="s">
        <v>3772</v>
      </c>
      <c r="B1025" s="27" t="str">
        <f>"27.0399"</f>
        <v>27.0399</v>
      </c>
      <c r="C1025" s="64" t="s">
        <v>3773</v>
      </c>
      <c r="D1025" s="27" t="s">
        <v>2229</v>
      </c>
      <c r="E1025" s="27" t="s">
        <v>2232</v>
      </c>
      <c r="F1025" s="27" t="str">
        <f>"27.0399"</f>
        <v>27.0399</v>
      </c>
      <c r="G1025" s="27" t="s">
        <v>3773</v>
      </c>
      <c r="H1025" s="65" t="str">
        <f t="shared" si="45"/>
        <v>No Change</v>
      </c>
      <c r="I1025" s="65" t="str">
        <f t="shared" si="46"/>
        <v>270399</v>
      </c>
      <c r="J1025" s="65" t="str">
        <f t="shared" si="47"/>
        <v>270399</v>
      </c>
    </row>
    <row r="1026" spans="1:10" x14ac:dyDescent="0.3">
      <c r="A1026" s="27" t="s">
        <v>1869</v>
      </c>
      <c r="B1026" s="27" t="str">
        <f>"27.05"</f>
        <v>27.05</v>
      </c>
      <c r="C1026" s="64" t="s">
        <v>3774</v>
      </c>
      <c r="D1026" s="27" t="s">
        <v>2229</v>
      </c>
      <c r="E1026" s="27" t="s">
        <v>2232</v>
      </c>
      <c r="F1026" s="27" t="str">
        <f>"27.05"</f>
        <v>27.05</v>
      </c>
      <c r="G1026" s="27" t="s">
        <v>3774</v>
      </c>
      <c r="H1026" s="65" t="str">
        <f t="shared" si="45"/>
        <v>No Change</v>
      </c>
      <c r="I1026" s="65" t="str">
        <f t="shared" si="46"/>
        <v/>
      </c>
      <c r="J1026" s="65" t="str">
        <f t="shared" si="47"/>
        <v/>
      </c>
    </row>
    <row r="1027" spans="1:10" x14ac:dyDescent="0.3">
      <c r="A1027" s="27" t="s">
        <v>3775</v>
      </c>
      <c r="B1027" s="27" t="str">
        <f>"27.0501"</f>
        <v>27.0501</v>
      </c>
      <c r="C1027" s="64" t="s">
        <v>3776</v>
      </c>
      <c r="D1027" s="27" t="s">
        <v>2229</v>
      </c>
      <c r="E1027" s="27" t="s">
        <v>2232</v>
      </c>
      <c r="F1027" s="27" t="str">
        <f>"27.0501"</f>
        <v>27.0501</v>
      </c>
      <c r="G1027" s="27" t="s">
        <v>3776</v>
      </c>
      <c r="H1027" s="65" t="str">
        <f t="shared" ref="H1027:H1090" si="48">IF(I1027=J1027,"No Change","Other")</f>
        <v>No Change</v>
      </c>
      <c r="I1027" s="65" t="str">
        <f t="shared" ref="I1027:I1090" si="49">SUBSTITUTE(IF(SUM(LEN(B1027))&lt;7,"",B1027),".","")</f>
        <v>270501</v>
      </c>
      <c r="J1027" s="65" t="str">
        <f t="shared" ref="J1027:J1090" si="50">SUBSTITUTE(IF(SUM(LEN(F1027))&lt;7,"",F1027),".","")</f>
        <v>270501</v>
      </c>
    </row>
    <row r="1028" spans="1:10" x14ac:dyDescent="0.3">
      <c r="A1028" s="27" t="s">
        <v>3777</v>
      </c>
      <c r="B1028" s="27" t="str">
        <f>"27.0502"</f>
        <v>27.0502</v>
      </c>
      <c r="C1028" s="64" t="s">
        <v>3778</v>
      </c>
      <c r="D1028" s="27" t="s">
        <v>2229</v>
      </c>
      <c r="E1028" s="27" t="s">
        <v>2232</v>
      </c>
      <c r="F1028" s="27" t="str">
        <f>"27.0502"</f>
        <v>27.0502</v>
      </c>
      <c r="G1028" s="27" t="s">
        <v>3778</v>
      </c>
      <c r="H1028" s="65" t="str">
        <f t="shared" si="48"/>
        <v>No Change</v>
      </c>
      <c r="I1028" s="65" t="str">
        <f t="shared" si="49"/>
        <v>270502</v>
      </c>
      <c r="J1028" s="65" t="str">
        <f t="shared" si="50"/>
        <v>270502</v>
      </c>
    </row>
    <row r="1029" spans="1:10" x14ac:dyDescent="0.3">
      <c r="A1029" s="27" t="s">
        <v>3779</v>
      </c>
      <c r="B1029" s="27" t="str">
        <f>"27.0503"</f>
        <v>27.0503</v>
      </c>
      <c r="C1029" s="64" t="s">
        <v>3780</v>
      </c>
      <c r="D1029" s="27" t="s">
        <v>2229</v>
      </c>
      <c r="E1029" s="27" t="s">
        <v>2232</v>
      </c>
      <c r="F1029" s="27" t="str">
        <f>"27.0503"</f>
        <v>27.0503</v>
      </c>
      <c r="G1029" s="27" t="s">
        <v>3780</v>
      </c>
      <c r="H1029" s="65" t="str">
        <f t="shared" si="48"/>
        <v>No Change</v>
      </c>
      <c r="I1029" s="65" t="str">
        <f t="shared" si="49"/>
        <v>270503</v>
      </c>
      <c r="J1029" s="65" t="str">
        <f t="shared" si="50"/>
        <v>270503</v>
      </c>
    </row>
    <row r="1030" spans="1:10" x14ac:dyDescent="0.3">
      <c r="A1030" s="27" t="s">
        <v>3781</v>
      </c>
      <c r="B1030" s="27" t="str">
        <f>"27.0599"</f>
        <v>27.0599</v>
      </c>
      <c r="C1030" s="64" t="s">
        <v>3782</v>
      </c>
      <c r="D1030" s="27" t="s">
        <v>2229</v>
      </c>
      <c r="E1030" s="27" t="s">
        <v>2232</v>
      </c>
      <c r="F1030" s="27" t="str">
        <f>"27.0599"</f>
        <v>27.0599</v>
      </c>
      <c r="G1030" s="27" t="s">
        <v>3782</v>
      </c>
      <c r="H1030" s="65" t="str">
        <f t="shared" si="48"/>
        <v>No Change</v>
      </c>
      <c r="I1030" s="65" t="str">
        <f t="shared" si="49"/>
        <v>270599</v>
      </c>
      <c r="J1030" s="65" t="str">
        <f t="shared" si="50"/>
        <v>270599</v>
      </c>
    </row>
    <row r="1031" spans="1:10" x14ac:dyDescent="0.3">
      <c r="A1031" s="27" t="s">
        <v>1869</v>
      </c>
      <c r="D1031" s="27" t="s">
        <v>2255</v>
      </c>
      <c r="E1031" s="27" t="s">
        <v>2232</v>
      </c>
      <c r="F1031" s="27" t="str">
        <f>"27.06"</f>
        <v>27.06</v>
      </c>
      <c r="G1031" s="27" t="s">
        <v>3783</v>
      </c>
      <c r="H1031" s="65" t="str">
        <f t="shared" si="48"/>
        <v>No Change</v>
      </c>
      <c r="I1031" s="65" t="str">
        <f t="shared" si="49"/>
        <v/>
      </c>
      <c r="J1031" s="65" t="str">
        <f t="shared" si="50"/>
        <v/>
      </c>
    </row>
    <row r="1032" spans="1:10" x14ac:dyDescent="0.3">
      <c r="A1032" s="27" t="s">
        <v>1869</v>
      </c>
      <c r="D1032" s="27" t="s">
        <v>2255</v>
      </c>
      <c r="E1032" s="27" t="s">
        <v>2232</v>
      </c>
      <c r="F1032" s="27" t="str">
        <f>"27.0601"</f>
        <v>27.0601</v>
      </c>
      <c r="G1032" s="27" t="s">
        <v>3784</v>
      </c>
      <c r="H1032" s="65" t="str">
        <f t="shared" si="48"/>
        <v>Other</v>
      </c>
      <c r="I1032" s="65" t="str">
        <f t="shared" si="49"/>
        <v/>
      </c>
      <c r="J1032" s="65" t="str">
        <f t="shared" si="50"/>
        <v>270601</v>
      </c>
    </row>
    <row r="1033" spans="1:10" x14ac:dyDescent="0.3">
      <c r="A1033" s="27" t="s">
        <v>1869</v>
      </c>
      <c r="B1033" s="27" t="str">
        <f>"27.99"</f>
        <v>27.99</v>
      </c>
      <c r="C1033" s="64" t="s">
        <v>3785</v>
      </c>
      <c r="D1033" s="27" t="s">
        <v>2229</v>
      </c>
      <c r="E1033" s="27" t="s">
        <v>2232</v>
      </c>
      <c r="F1033" s="27" t="str">
        <f>"27.99"</f>
        <v>27.99</v>
      </c>
      <c r="G1033" s="27" t="s">
        <v>3785</v>
      </c>
      <c r="H1033" s="65" t="str">
        <f t="shared" si="48"/>
        <v>No Change</v>
      </c>
      <c r="I1033" s="65" t="str">
        <f t="shared" si="49"/>
        <v/>
      </c>
      <c r="J1033" s="65" t="str">
        <f t="shared" si="50"/>
        <v/>
      </c>
    </row>
    <row r="1034" spans="1:10" x14ac:dyDescent="0.3">
      <c r="A1034" s="27" t="s">
        <v>3786</v>
      </c>
      <c r="B1034" s="27" t="str">
        <f>"27.9999"</f>
        <v>27.9999</v>
      </c>
      <c r="C1034" s="64" t="s">
        <v>3785</v>
      </c>
      <c r="D1034" s="27" t="s">
        <v>2229</v>
      </c>
      <c r="E1034" s="27" t="s">
        <v>2232</v>
      </c>
      <c r="F1034" s="27" t="str">
        <f>"27.9999"</f>
        <v>27.9999</v>
      </c>
      <c r="G1034" s="27" t="s">
        <v>3785</v>
      </c>
      <c r="H1034" s="65" t="str">
        <f t="shared" si="48"/>
        <v>No Change</v>
      </c>
      <c r="I1034" s="65" t="str">
        <f t="shared" si="49"/>
        <v>279999</v>
      </c>
      <c r="J1034" s="65" t="str">
        <f t="shared" si="50"/>
        <v>279999</v>
      </c>
    </row>
    <row r="1035" spans="1:10" x14ac:dyDescent="0.3">
      <c r="A1035" s="27" t="s">
        <v>1869</v>
      </c>
      <c r="B1035" s="27" t="str">
        <f>"28"</f>
        <v>28</v>
      </c>
      <c r="C1035" s="64" t="s">
        <v>3787</v>
      </c>
      <c r="D1035" s="27" t="s">
        <v>2229</v>
      </c>
      <c r="E1035" s="27" t="s">
        <v>2232</v>
      </c>
      <c r="F1035" s="27" t="str">
        <f>"28"</f>
        <v>28</v>
      </c>
      <c r="G1035" s="27" t="s">
        <v>3787</v>
      </c>
      <c r="H1035" s="65" t="str">
        <f t="shared" si="48"/>
        <v>No Change</v>
      </c>
      <c r="I1035" s="65" t="str">
        <f t="shared" si="49"/>
        <v/>
      </c>
      <c r="J1035" s="65" t="str">
        <f t="shared" si="50"/>
        <v/>
      </c>
    </row>
    <row r="1036" spans="1:10" x14ac:dyDescent="0.3">
      <c r="A1036" s="27" t="s">
        <v>1869</v>
      </c>
      <c r="B1036" s="27" t="str">
        <f>"28.01"</f>
        <v>28.01</v>
      </c>
      <c r="C1036" s="64" t="s">
        <v>3788</v>
      </c>
      <c r="D1036" s="27" t="s">
        <v>2229</v>
      </c>
      <c r="E1036" s="27" t="s">
        <v>2232</v>
      </c>
      <c r="F1036" s="27" t="str">
        <f>"28.01"</f>
        <v>28.01</v>
      </c>
      <c r="G1036" s="27" t="s">
        <v>3788</v>
      </c>
      <c r="H1036" s="65" t="str">
        <f t="shared" si="48"/>
        <v>No Change</v>
      </c>
      <c r="I1036" s="65" t="str">
        <f t="shared" si="49"/>
        <v/>
      </c>
      <c r="J1036" s="65" t="str">
        <f t="shared" si="50"/>
        <v/>
      </c>
    </row>
    <row r="1037" spans="1:10" x14ac:dyDescent="0.3">
      <c r="A1037" s="27" t="s">
        <v>3789</v>
      </c>
      <c r="B1037" s="27" t="str">
        <f>"28.0101"</f>
        <v>28.0101</v>
      </c>
      <c r="C1037" s="64" t="s">
        <v>3790</v>
      </c>
      <c r="D1037" s="27" t="s">
        <v>2229</v>
      </c>
      <c r="E1037" s="27" t="s">
        <v>2232</v>
      </c>
      <c r="F1037" s="27" t="str">
        <f>"28.0101"</f>
        <v>28.0101</v>
      </c>
      <c r="G1037" s="27" t="s">
        <v>3790</v>
      </c>
      <c r="H1037" s="65" t="str">
        <f t="shared" si="48"/>
        <v>No Change</v>
      </c>
      <c r="I1037" s="65" t="str">
        <f t="shared" si="49"/>
        <v>280101</v>
      </c>
      <c r="J1037" s="65" t="str">
        <f t="shared" si="50"/>
        <v>280101</v>
      </c>
    </row>
    <row r="1038" spans="1:10" x14ac:dyDescent="0.3">
      <c r="A1038" s="27" t="s">
        <v>3791</v>
      </c>
      <c r="B1038" s="27" t="str">
        <f>"28.0199"</f>
        <v>28.0199</v>
      </c>
      <c r="C1038" s="64" t="s">
        <v>3792</v>
      </c>
      <c r="D1038" s="27" t="s">
        <v>2229</v>
      </c>
      <c r="E1038" s="27" t="s">
        <v>2232</v>
      </c>
      <c r="F1038" s="27" t="str">
        <f>"28.0199"</f>
        <v>28.0199</v>
      </c>
      <c r="G1038" s="27" t="s">
        <v>3792</v>
      </c>
      <c r="H1038" s="65" t="str">
        <f t="shared" si="48"/>
        <v>No Change</v>
      </c>
      <c r="I1038" s="65" t="str">
        <f t="shared" si="49"/>
        <v>280199</v>
      </c>
      <c r="J1038" s="65" t="str">
        <f t="shared" si="50"/>
        <v>280199</v>
      </c>
    </row>
    <row r="1039" spans="1:10" x14ac:dyDescent="0.3">
      <c r="A1039" s="27" t="s">
        <v>1869</v>
      </c>
      <c r="B1039" s="27" t="str">
        <f>"28.03"</f>
        <v>28.03</v>
      </c>
      <c r="C1039" s="64" t="s">
        <v>3793</v>
      </c>
      <c r="D1039" s="27" t="s">
        <v>2229</v>
      </c>
      <c r="E1039" s="27" t="s">
        <v>2232</v>
      </c>
      <c r="F1039" s="27" t="str">
        <f>"28.03"</f>
        <v>28.03</v>
      </c>
      <c r="G1039" s="27" t="s">
        <v>3793</v>
      </c>
      <c r="H1039" s="65" t="str">
        <f t="shared" si="48"/>
        <v>No Change</v>
      </c>
      <c r="I1039" s="65" t="str">
        <f t="shared" si="49"/>
        <v/>
      </c>
      <c r="J1039" s="65" t="str">
        <f t="shared" si="50"/>
        <v/>
      </c>
    </row>
    <row r="1040" spans="1:10" x14ac:dyDescent="0.3">
      <c r="A1040" s="27" t="s">
        <v>3794</v>
      </c>
      <c r="B1040" s="27" t="str">
        <f>"28.0301"</f>
        <v>28.0301</v>
      </c>
      <c r="C1040" s="64" t="s">
        <v>3795</v>
      </c>
      <c r="D1040" s="27" t="s">
        <v>2229</v>
      </c>
      <c r="E1040" s="27" t="s">
        <v>2232</v>
      </c>
      <c r="F1040" s="27" t="str">
        <f>"28.0301"</f>
        <v>28.0301</v>
      </c>
      <c r="G1040" s="27" t="s">
        <v>3795</v>
      </c>
      <c r="H1040" s="65" t="str">
        <f t="shared" si="48"/>
        <v>No Change</v>
      </c>
      <c r="I1040" s="65" t="str">
        <f t="shared" si="49"/>
        <v>280301</v>
      </c>
      <c r="J1040" s="65" t="str">
        <f t="shared" si="50"/>
        <v>280301</v>
      </c>
    </row>
    <row r="1041" spans="1:10" x14ac:dyDescent="0.3">
      <c r="A1041" s="27" t="s">
        <v>3796</v>
      </c>
      <c r="B1041" s="27" t="str">
        <f>"28.0399"</f>
        <v>28.0399</v>
      </c>
      <c r="C1041" s="64" t="s">
        <v>3797</v>
      </c>
      <c r="D1041" s="27" t="s">
        <v>2229</v>
      </c>
      <c r="E1041" s="27" t="s">
        <v>2232</v>
      </c>
      <c r="F1041" s="27" t="str">
        <f>"28.0399"</f>
        <v>28.0399</v>
      </c>
      <c r="G1041" s="27" t="s">
        <v>3797</v>
      </c>
      <c r="H1041" s="65" t="str">
        <f t="shared" si="48"/>
        <v>No Change</v>
      </c>
      <c r="I1041" s="65" t="str">
        <f t="shared" si="49"/>
        <v>280399</v>
      </c>
      <c r="J1041" s="65" t="str">
        <f t="shared" si="50"/>
        <v>280399</v>
      </c>
    </row>
    <row r="1042" spans="1:10" x14ac:dyDescent="0.3">
      <c r="A1042" s="27" t="s">
        <v>1869</v>
      </c>
      <c r="B1042" s="27" t="str">
        <f>"28.04"</f>
        <v>28.04</v>
      </c>
      <c r="C1042" s="64" t="s">
        <v>3798</v>
      </c>
      <c r="D1042" s="27" t="s">
        <v>2229</v>
      </c>
      <c r="E1042" s="27" t="s">
        <v>2232</v>
      </c>
      <c r="F1042" s="27" t="str">
        <f>"28.04"</f>
        <v>28.04</v>
      </c>
      <c r="G1042" s="27" t="s">
        <v>3798</v>
      </c>
      <c r="H1042" s="65" t="str">
        <f t="shared" si="48"/>
        <v>No Change</v>
      </c>
      <c r="I1042" s="65" t="str">
        <f t="shared" si="49"/>
        <v/>
      </c>
      <c r="J1042" s="65" t="str">
        <f t="shared" si="50"/>
        <v/>
      </c>
    </row>
    <row r="1043" spans="1:10" x14ac:dyDescent="0.3">
      <c r="A1043" s="27" t="s">
        <v>3799</v>
      </c>
      <c r="B1043" s="27" t="str">
        <f>"28.0401"</f>
        <v>28.0401</v>
      </c>
      <c r="C1043" s="64" t="s">
        <v>3800</v>
      </c>
      <c r="D1043" s="27" t="s">
        <v>2229</v>
      </c>
      <c r="E1043" s="27" t="s">
        <v>2232</v>
      </c>
      <c r="F1043" s="27" t="str">
        <f>"28.0401"</f>
        <v>28.0401</v>
      </c>
      <c r="G1043" s="27" t="s">
        <v>3800</v>
      </c>
      <c r="H1043" s="65" t="str">
        <f t="shared" si="48"/>
        <v>No Change</v>
      </c>
      <c r="I1043" s="65" t="str">
        <f t="shared" si="49"/>
        <v>280401</v>
      </c>
      <c r="J1043" s="65" t="str">
        <f t="shared" si="50"/>
        <v>280401</v>
      </c>
    </row>
    <row r="1044" spans="1:10" ht="28.8" x14ac:dyDescent="0.3">
      <c r="A1044" s="27" t="s">
        <v>3801</v>
      </c>
      <c r="B1044" s="27" t="str">
        <f>"28.0499"</f>
        <v>28.0499</v>
      </c>
      <c r="C1044" s="64" t="s">
        <v>3802</v>
      </c>
      <c r="D1044" s="27" t="s">
        <v>2229</v>
      </c>
      <c r="E1044" s="27" t="s">
        <v>2232</v>
      </c>
      <c r="F1044" s="27" t="str">
        <f>"28.0499"</f>
        <v>28.0499</v>
      </c>
      <c r="G1044" s="27" t="s">
        <v>3802</v>
      </c>
      <c r="H1044" s="65" t="str">
        <f t="shared" si="48"/>
        <v>No Change</v>
      </c>
      <c r="I1044" s="65" t="str">
        <f t="shared" si="49"/>
        <v>280499</v>
      </c>
      <c r="J1044" s="65" t="str">
        <f t="shared" si="50"/>
        <v>280499</v>
      </c>
    </row>
    <row r="1045" spans="1:10" x14ac:dyDescent="0.3">
      <c r="A1045" s="27" t="s">
        <v>1869</v>
      </c>
      <c r="B1045" s="27" t="str">
        <f>"28.05"</f>
        <v>28.05</v>
      </c>
      <c r="C1045" s="64" t="s">
        <v>3803</v>
      </c>
      <c r="D1045" s="27" t="s">
        <v>2229</v>
      </c>
      <c r="E1045" s="27" t="s">
        <v>2232</v>
      </c>
      <c r="F1045" s="27" t="str">
        <f>"28.05"</f>
        <v>28.05</v>
      </c>
      <c r="G1045" s="27" t="s">
        <v>3803</v>
      </c>
      <c r="H1045" s="65" t="str">
        <f t="shared" si="48"/>
        <v>No Change</v>
      </c>
      <c r="I1045" s="65" t="str">
        <f t="shared" si="49"/>
        <v/>
      </c>
      <c r="J1045" s="65" t="str">
        <f t="shared" si="50"/>
        <v/>
      </c>
    </row>
    <row r="1046" spans="1:10" x14ac:dyDescent="0.3">
      <c r="A1046" s="27" t="s">
        <v>3804</v>
      </c>
      <c r="B1046" s="27" t="str">
        <f>"28.0501"</f>
        <v>28.0501</v>
      </c>
      <c r="C1046" s="64" t="s">
        <v>3805</v>
      </c>
      <c r="D1046" s="27" t="s">
        <v>2229</v>
      </c>
      <c r="E1046" s="27" t="s">
        <v>2232</v>
      </c>
      <c r="F1046" s="27" t="str">
        <f>"28.0501"</f>
        <v>28.0501</v>
      </c>
      <c r="G1046" s="27" t="s">
        <v>3805</v>
      </c>
      <c r="H1046" s="65" t="str">
        <f t="shared" si="48"/>
        <v>No Change</v>
      </c>
      <c r="I1046" s="65" t="str">
        <f t="shared" si="49"/>
        <v>280501</v>
      </c>
      <c r="J1046" s="65" t="str">
        <f t="shared" si="50"/>
        <v>280501</v>
      </c>
    </row>
    <row r="1047" spans="1:10" x14ac:dyDescent="0.3">
      <c r="A1047" s="27" t="s">
        <v>3806</v>
      </c>
      <c r="B1047" s="27" t="str">
        <f>"28.0502"</f>
        <v>28.0502</v>
      </c>
      <c r="C1047" s="64" t="s">
        <v>3807</v>
      </c>
      <c r="D1047" s="27" t="s">
        <v>2229</v>
      </c>
      <c r="E1047" s="27" t="s">
        <v>2232</v>
      </c>
      <c r="F1047" s="27" t="str">
        <f>"28.0502"</f>
        <v>28.0502</v>
      </c>
      <c r="G1047" s="27" t="s">
        <v>3807</v>
      </c>
      <c r="H1047" s="65" t="str">
        <f t="shared" si="48"/>
        <v>No Change</v>
      </c>
      <c r="I1047" s="65" t="str">
        <f t="shared" si="49"/>
        <v>280502</v>
      </c>
      <c r="J1047" s="65" t="str">
        <f t="shared" si="50"/>
        <v>280502</v>
      </c>
    </row>
    <row r="1048" spans="1:10" x14ac:dyDescent="0.3">
      <c r="A1048" s="27" t="s">
        <v>3808</v>
      </c>
      <c r="B1048" s="27" t="str">
        <f>"28.0503"</f>
        <v>28.0503</v>
      </c>
      <c r="C1048" s="64" t="s">
        <v>3809</v>
      </c>
      <c r="D1048" s="27" t="s">
        <v>2229</v>
      </c>
      <c r="E1048" s="27" t="s">
        <v>2232</v>
      </c>
      <c r="F1048" s="27" t="str">
        <f>"28.0503"</f>
        <v>28.0503</v>
      </c>
      <c r="G1048" s="27" t="s">
        <v>3809</v>
      </c>
      <c r="H1048" s="65" t="str">
        <f t="shared" si="48"/>
        <v>No Change</v>
      </c>
      <c r="I1048" s="65" t="str">
        <f t="shared" si="49"/>
        <v>280503</v>
      </c>
      <c r="J1048" s="65" t="str">
        <f t="shared" si="50"/>
        <v>280503</v>
      </c>
    </row>
    <row r="1049" spans="1:10" x14ac:dyDescent="0.3">
      <c r="A1049" s="27" t="s">
        <v>3810</v>
      </c>
      <c r="B1049" s="27" t="str">
        <f>"28.0504"</f>
        <v>28.0504</v>
      </c>
      <c r="C1049" s="64" t="s">
        <v>3811</v>
      </c>
      <c r="D1049" s="27" t="s">
        <v>2229</v>
      </c>
      <c r="E1049" s="27" t="s">
        <v>2232</v>
      </c>
      <c r="F1049" s="27" t="str">
        <f>"28.0504"</f>
        <v>28.0504</v>
      </c>
      <c r="G1049" s="27" t="s">
        <v>3811</v>
      </c>
      <c r="H1049" s="65" t="str">
        <f t="shared" si="48"/>
        <v>No Change</v>
      </c>
      <c r="I1049" s="65" t="str">
        <f t="shared" si="49"/>
        <v>280504</v>
      </c>
      <c r="J1049" s="65" t="str">
        <f t="shared" si="50"/>
        <v>280504</v>
      </c>
    </row>
    <row r="1050" spans="1:10" x14ac:dyDescent="0.3">
      <c r="A1050" s="27" t="s">
        <v>3812</v>
      </c>
      <c r="B1050" s="27" t="str">
        <f>"28.0505"</f>
        <v>28.0505</v>
      </c>
      <c r="C1050" s="64" t="s">
        <v>3813</v>
      </c>
      <c r="D1050" s="27" t="s">
        <v>2229</v>
      </c>
      <c r="E1050" s="27" t="s">
        <v>2232</v>
      </c>
      <c r="F1050" s="27" t="str">
        <f>"28.0505"</f>
        <v>28.0505</v>
      </c>
      <c r="G1050" s="27" t="s">
        <v>3813</v>
      </c>
      <c r="H1050" s="65" t="str">
        <f t="shared" si="48"/>
        <v>No Change</v>
      </c>
      <c r="I1050" s="65" t="str">
        <f t="shared" si="49"/>
        <v>280505</v>
      </c>
      <c r="J1050" s="65" t="str">
        <f t="shared" si="50"/>
        <v>280505</v>
      </c>
    </row>
    <row r="1051" spans="1:10" x14ac:dyDescent="0.3">
      <c r="A1051" s="27" t="s">
        <v>3814</v>
      </c>
      <c r="B1051" s="27" t="str">
        <f>"28.0506"</f>
        <v>28.0506</v>
      </c>
      <c r="C1051" s="64" t="s">
        <v>3815</v>
      </c>
      <c r="D1051" s="27" t="s">
        <v>2229</v>
      </c>
      <c r="E1051" s="27" t="s">
        <v>2232</v>
      </c>
      <c r="F1051" s="27" t="str">
        <f>"28.0506"</f>
        <v>28.0506</v>
      </c>
      <c r="G1051" s="27" t="s">
        <v>3815</v>
      </c>
      <c r="H1051" s="65" t="str">
        <f t="shared" si="48"/>
        <v>No Change</v>
      </c>
      <c r="I1051" s="65" t="str">
        <f t="shared" si="49"/>
        <v>280506</v>
      </c>
      <c r="J1051" s="65" t="str">
        <f t="shared" si="50"/>
        <v>280506</v>
      </c>
    </row>
    <row r="1052" spans="1:10" x14ac:dyDescent="0.3">
      <c r="A1052" s="27" t="s">
        <v>3816</v>
      </c>
      <c r="B1052" s="27" t="str">
        <f>"28.0599"</f>
        <v>28.0599</v>
      </c>
      <c r="C1052" s="64" t="s">
        <v>3817</v>
      </c>
      <c r="D1052" s="27" t="s">
        <v>2229</v>
      </c>
      <c r="E1052" s="27" t="s">
        <v>2232</v>
      </c>
      <c r="F1052" s="27" t="str">
        <f>"28.0599"</f>
        <v>28.0599</v>
      </c>
      <c r="G1052" s="27" t="s">
        <v>3817</v>
      </c>
      <c r="H1052" s="65" t="str">
        <f t="shared" si="48"/>
        <v>No Change</v>
      </c>
      <c r="I1052" s="65" t="str">
        <f t="shared" si="49"/>
        <v>280599</v>
      </c>
      <c r="J1052" s="65" t="str">
        <f t="shared" si="50"/>
        <v>280599</v>
      </c>
    </row>
    <row r="1053" spans="1:10" x14ac:dyDescent="0.3">
      <c r="A1053" s="27" t="s">
        <v>1869</v>
      </c>
      <c r="B1053" s="27" t="str">
        <f>"28.06"</f>
        <v>28.06</v>
      </c>
      <c r="C1053" s="64" t="s">
        <v>3818</v>
      </c>
      <c r="D1053" s="27" t="s">
        <v>2229</v>
      </c>
      <c r="E1053" s="27" t="s">
        <v>2232</v>
      </c>
      <c r="F1053" s="27" t="str">
        <f>"28.06"</f>
        <v>28.06</v>
      </c>
      <c r="G1053" s="27" t="s">
        <v>3818</v>
      </c>
      <c r="H1053" s="65" t="str">
        <f t="shared" si="48"/>
        <v>No Change</v>
      </c>
      <c r="I1053" s="65" t="str">
        <f t="shared" si="49"/>
        <v/>
      </c>
      <c r="J1053" s="65" t="str">
        <f t="shared" si="50"/>
        <v/>
      </c>
    </row>
    <row r="1054" spans="1:10" x14ac:dyDescent="0.3">
      <c r="A1054" s="27" t="s">
        <v>3819</v>
      </c>
      <c r="B1054" s="27" t="str">
        <f>"28.0601"</f>
        <v>28.0601</v>
      </c>
      <c r="C1054" s="64" t="s">
        <v>3820</v>
      </c>
      <c r="D1054" s="27" t="s">
        <v>2229</v>
      </c>
      <c r="E1054" s="27" t="s">
        <v>2232</v>
      </c>
      <c r="F1054" s="27" t="str">
        <f>"28.0601"</f>
        <v>28.0601</v>
      </c>
      <c r="G1054" s="27" t="s">
        <v>3820</v>
      </c>
      <c r="H1054" s="65" t="str">
        <f t="shared" si="48"/>
        <v>No Change</v>
      </c>
      <c r="I1054" s="65" t="str">
        <f t="shared" si="49"/>
        <v>280601</v>
      </c>
      <c r="J1054" s="65" t="str">
        <f t="shared" si="50"/>
        <v>280601</v>
      </c>
    </row>
    <row r="1055" spans="1:10" x14ac:dyDescent="0.3">
      <c r="A1055" s="27" t="s">
        <v>3821</v>
      </c>
      <c r="B1055" s="27" t="str">
        <f>"28.0602"</f>
        <v>28.0602</v>
      </c>
      <c r="C1055" s="64" t="s">
        <v>3822</v>
      </c>
      <c r="D1055" s="27" t="s">
        <v>2229</v>
      </c>
      <c r="E1055" s="27" t="s">
        <v>2232</v>
      </c>
      <c r="F1055" s="27" t="str">
        <f>"28.0602"</f>
        <v>28.0602</v>
      </c>
      <c r="G1055" s="27" t="s">
        <v>3822</v>
      </c>
      <c r="H1055" s="65" t="str">
        <f t="shared" si="48"/>
        <v>No Change</v>
      </c>
      <c r="I1055" s="65" t="str">
        <f t="shared" si="49"/>
        <v>280602</v>
      </c>
      <c r="J1055" s="65" t="str">
        <f t="shared" si="50"/>
        <v>280602</v>
      </c>
    </row>
    <row r="1056" spans="1:10" x14ac:dyDescent="0.3">
      <c r="A1056" s="27" t="s">
        <v>3823</v>
      </c>
      <c r="B1056" s="27" t="str">
        <f>"28.0603"</f>
        <v>28.0603</v>
      </c>
      <c r="C1056" s="64" t="s">
        <v>3824</v>
      </c>
      <c r="D1056" s="27" t="s">
        <v>2229</v>
      </c>
      <c r="E1056" s="27" t="s">
        <v>2232</v>
      </c>
      <c r="F1056" s="27" t="str">
        <f>"28.0603"</f>
        <v>28.0603</v>
      </c>
      <c r="G1056" s="27" t="s">
        <v>3824</v>
      </c>
      <c r="H1056" s="65" t="str">
        <f t="shared" si="48"/>
        <v>No Change</v>
      </c>
      <c r="I1056" s="65" t="str">
        <f t="shared" si="49"/>
        <v>280603</v>
      </c>
      <c r="J1056" s="65" t="str">
        <f t="shared" si="50"/>
        <v>280603</v>
      </c>
    </row>
    <row r="1057" spans="1:10" x14ac:dyDescent="0.3">
      <c r="A1057" s="27" t="s">
        <v>3825</v>
      </c>
      <c r="B1057" s="27" t="str">
        <f>"28.0604"</f>
        <v>28.0604</v>
      </c>
      <c r="C1057" s="64" t="s">
        <v>3826</v>
      </c>
      <c r="D1057" s="27" t="s">
        <v>2229</v>
      </c>
      <c r="E1057" s="27" t="s">
        <v>2232</v>
      </c>
      <c r="F1057" s="27" t="str">
        <f>"28.0604"</f>
        <v>28.0604</v>
      </c>
      <c r="G1057" s="27" t="s">
        <v>3826</v>
      </c>
      <c r="H1057" s="65" t="str">
        <f t="shared" si="48"/>
        <v>No Change</v>
      </c>
      <c r="I1057" s="65" t="str">
        <f t="shared" si="49"/>
        <v>280604</v>
      </c>
      <c r="J1057" s="65" t="str">
        <f t="shared" si="50"/>
        <v>280604</v>
      </c>
    </row>
    <row r="1058" spans="1:10" x14ac:dyDescent="0.3">
      <c r="A1058" s="27" t="s">
        <v>3827</v>
      </c>
      <c r="B1058" s="27" t="str">
        <f>"28.0605"</f>
        <v>28.0605</v>
      </c>
      <c r="C1058" s="64" t="s">
        <v>3828</v>
      </c>
      <c r="D1058" s="27" t="s">
        <v>2229</v>
      </c>
      <c r="E1058" s="27" t="s">
        <v>2232</v>
      </c>
      <c r="F1058" s="27" t="str">
        <f>"28.0605"</f>
        <v>28.0605</v>
      </c>
      <c r="G1058" s="27" t="s">
        <v>3828</v>
      </c>
      <c r="H1058" s="65" t="str">
        <f t="shared" si="48"/>
        <v>No Change</v>
      </c>
      <c r="I1058" s="65" t="str">
        <f t="shared" si="49"/>
        <v>280605</v>
      </c>
      <c r="J1058" s="65" t="str">
        <f t="shared" si="50"/>
        <v>280605</v>
      </c>
    </row>
    <row r="1059" spans="1:10" x14ac:dyDescent="0.3">
      <c r="A1059" s="27" t="s">
        <v>3829</v>
      </c>
      <c r="B1059" s="27" t="str">
        <f>"28.0699"</f>
        <v>28.0699</v>
      </c>
      <c r="C1059" s="64" t="s">
        <v>3830</v>
      </c>
      <c r="D1059" s="27" t="s">
        <v>2229</v>
      </c>
      <c r="E1059" s="27" t="s">
        <v>2232</v>
      </c>
      <c r="F1059" s="27" t="str">
        <f>"28.0699"</f>
        <v>28.0699</v>
      </c>
      <c r="G1059" s="27" t="s">
        <v>3830</v>
      </c>
      <c r="H1059" s="65" t="str">
        <f t="shared" si="48"/>
        <v>No Change</v>
      </c>
      <c r="I1059" s="65" t="str">
        <f t="shared" si="49"/>
        <v>280699</v>
      </c>
      <c r="J1059" s="65" t="str">
        <f t="shared" si="50"/>
        <v>280699</v>
      </c>
    </row>
    <row r="1060" spans="1:10" x14ac:dyDescent="0.3">
      <c r="A1060" s="27" t="s">
        <v>1869</v>
      </c>
      <c r="B1060" s="27" t="str">
        <f>"28.07"</f>
        <v>28.07</v>
      </c>
      <c r="C1060" s="64" t="s">
        <v>3831</v>
      </c>
      <c r="D1060" s="27" t="s">
        <v>2229</v>
      </c>
      <c r="E1060" s="27" t="s">
        <v>2232</v>
      </c>
      <c r="F1060" s="27" t="str">
        <f>"28.07"</f>
        <v>28.07</v>
      </c>
      <c r="G1060" s="27" t="s">
        <v>3831</v>
      </c>
      <c r="H1060" s="65" t="str">
        <f t="shared" si="48"/>
        <v>No Change</v>
      </c>
      <c r="I1060" s="65" t="str">
        <f t="shared" si="49"/>
        <v/>
      </c>
      <c r="J1060" s="65" t="str">
        <f t="shared" si="50"/>
        <v/>
      </c>
    </row>
    <row r="1061" spans="1:10" x14ac:dyDescent="0.3">
      <c r="A1061" s="27" t="s">
        <v>3832</v>
      </c>
      <c r="B1061" s="27" t="str">
        <f>"28.0701"</f>
        <v>28.0701</v>
      </c>
      <c r="C1061" s="64" t="s">
        <v>3833</v>
      </c>
      <c r="D1061" s="27" t="s">
        <v>2229</v>
      </c>
      <c r="E1061" s="27" t="s">
        <v>2232</v>
      </c>
      <c r="F1061" s="27" t="str">
        <f>"28.0701"</f>
        <v>28.0701</v>
      </c>
      <c r="G1061" s="27" t="s">
        <v>3833</v>
      </c>
      <c r="H1061" s="65" t="str">
        <f t="shared" si="48"/>
        <v>No Change</v>
      </c>
      <c r="I1061" s="65" t="str">
        <f t="shared" si="49"/>
        <v>280701</v>
      </c>
      <c r="J1061" s="65" t="str">
        <f t="shared" si="50"/>
        <v>280701</v>
      </c>
    </row>
    <row r="1062" spans="1:10" x14ac:dyDescent="0.3">
      <c r="A1062" s="27" t="s">
        <v>3834</v>
      </c>
      <c r="B1062" s="27" t="str">
        <f>"28.0702"</f>
        <v>28.0702</v>
      </c>
      <c r="C1062" s="64" t="s">
        <v>3835</v>
      </c>
      <c r="D1062" s="27" t="s">
        <v>2229</v>
      </c>
      <c r="E1062" s="27" t="s">
        <v>2232</v>
      </c>
      <c r="F1062" s="27" t="str">
        <f>"28.0702"</f>
        <v>28.0702</v>
      </c>
      <c r="G1062" s="27" t="s">
        <v>3835</v>
      </c>
      <c r="H1062" s="65" t="str">
        <f t="shared" si="48"/>
        <v>No Change</v>
      </c>
      <c r="I1062" s="65" t="str">
        <f t="shared" si="49"/>
        <v>280702</v>
      </c>
      <c r="J1062" s="65" t="str">
        <f t="shared" si="50"/>
        <v>280702</v>
      </c>
    </row>
    <row r="1063" spans="1:10" x14ac:dyDescent="0.3">
      <c r="A1063" s="27" t="s">
        <v>3836</v>
      </c>
      <c r="B1063" s="27" t="str">
        <f>"28.0703"</f>
        <v>28.0703</v>
      </c>
      <c r="C1063" s="64" t="s">
        <v>3837</v>
      </c>
      <c r="D1063" s="27" t="s">
        <v>2229</v>
      </c>
      <c r="E1063" s="27" t="s">
        <v>2232</v>
      </c>
      <c r="F1063" s="27" t="str">
        <f>"28.0703"</f>
        <v>28.0703</v>
      </c>
      <c r="G1063" s="27" t="s">
        <v>3837</v>
      </c>
      <c r="H1063" s="65" t="str">
        <f t="shared" si="48"/>
        <v>No Change</v>
      </c>
      <c r="I1063" s="65" t="str">
        <f t="shared" si="49"/>
        <v>280703</v>
      </c>
      <c r="J1063" s="65" t="str">
        <f t="shared" si="50"/>
        <v>280703</v>
      </c>
    </row>
    <row r="1064" spans="1:10" x14ac:dyDescent="0.3">
      <c r="A1064" s="27" t="s">
        <v>3838</v>
      </c>
      <c r="B1064" s="27" t="str">
        <f>"28.0799"</f>
        <v>28.0799</v>
      </c>
      <c r="C1064" s="64" t="s">
        <v>3839</v>
      </c>
      <c r="D1064" s="27" t="s">
        <v>2229</v>
      </c>
      <c r="E1064" s="27" t="s">
        <v>2232</v>
      </c>
      <c r="F1064" s="27" t="str">
        <f>"28.0799"</f>
        <v>28.0799</v>
      </c>
      <c r="G1064" s="27" t="s">
        <v>3839</v>
      </c>
      <c r="H1064" s="65" t="str">
        <f t="shared" si="48"/>
        <v>No Change</v>
      </c>
      <c r="I1064" s="65" t="str">
        <f t="shared" si="49"/>
        <v>280799</v>
      </c>
      <c r="J1064" s="65" t="str">
        <f t="shared" si="50"/>
        <v>280799</v>
      </c>
    </row>
    <row r="1065" spans="1:10" x14ac:dyDescent="0.3">
      <c r="A1065" s="27" t="s">
        <v>1869</v>
      </c>
      <c r="B1065" s="27" t="str">
        <f>"28.99"</f>
        <v>28.99</v>
      </c>
      <c r="C1065" s="64" t="s">
        <v>3840</v>
      </c>
      <c r="D1065" s="27" t="s">
        <v>2229</v>
      </c>
      <c r="E1065" s="27" t="s">
        <v>2232</v>
      </c>
      <c r="F1065" s="27" t="str">
        <f>"28.99"</f>
        <v>28.99</v>
      </c>
      <c r="G1065" s="27" t="s">
        <v>3840</v>
      </c>
      <c r="H1065" s="65" t="str">
        <f t="shared" si="48"/>
        <v>No Change</v>
      </c>
      <c r="I1065" s="65" t="str">
        <f t="shared" si="49"/>
        <v/>
      </c>
      <c r="J1065" s="65" t="str">
        <f t="shared" si="50"/>
        <v/>
      </c>
    </row>
    <row r="1066" spans="1:10" x14ac:dyDescent="0.3">
      <c r="A1066" s="27" t="s">
        <v>3841</v>
      </c>
      <c r="B1066" s="27" t="str">
        <f>"28.9999"</f>
        <v>28.9999</v>
      </c>
      <c r="C1066" s="64" t="s">
        <v>3840</v>
      </c>
      <c r="D1066" s="27" t="s">
        <v>2229</v>
      </c>
      <c r="E1066" s="27" t="s">
        <v>2232</v>
      </c>
      <c r="F1066" s="27" t="str">
        <f>"28.9999"</f>
        <v>28.9999</v>
      </c>
      <c r="G1066" s="27" t="s">
        <v>3840</v>
      </c>
      <c r="H1066" s="65" t="str">
        <f t="shared" si="48"/>
        <v>No Change</v>
      </c>
      <c r="I1066" s="65" t="str">
        <f t="shared" si="49"/>
        <v>289999</v>
      </c>
      <c r="J1066" s="65" t="str">
        <f t="shared" si="50"/>
        <v>289999</v>
      </c>
    </row>
    <row r="1067" spans="1:10" x14ac:dyDescent="0.3">
      <c r="A1067" s="27" t="s">
        <v>1869</v>
      </c>
      <c r="B1067" s="27" t="str">
        <f>"29"</f>
        <v>29</v>
      </c>
      <c r="C1067" s="64" t="s">
        <v>3842</v>
      </c>
      <c r="D1067" s="27" t="s">
        <v>2229</v>
      </c>
      <c r="E1067" s="27" t="s">
        <v>2232</v>
      </c>
      <c r="F1067" s="27" t="str">
        <f>"29"</f>
        <v>29</v>
      </c>
      <c r="G1067" s="27" t="s">
        <v>3842</v>
      </c>
      <c r="H1067" s="65" t="str">
        <f t="shared" si="48"/>
        <v>No Change</v>
      </c>
      <c r="I1067" s="65" t="str">
        <f t="shared" si="49"/>
        <v/>
      </c>
      <c r="J1067" s="65" t="str">
        <f t="shared" si="50"/>
        <v/>
      </c>
    </row>
    <row r="1068" spans="1:10" x14ac:dyDescent="0.3">
      <c r="A1068" s="27" t="s">
        <v>1869</v>
      </c>
      <c r="B1068" s="27" t="str">
        <f>"29.02"</f>
        <v>29.02</v>
      </c>
      <c r="C1068" s="64" t="s">
        <v>3843</v>
      </c>
      <c r="D1068" s="27" t="s">
        <v>2229</v>
      </c>
      <c r="E1068" s="27" t="s">
        <v>2232</v>
      </c>
      <c r="F1068" s="27" t="str">
        <f>"29.02"</f>
        <v>29.02</v>
      </c>
      <c r="G1068" s="27" t="s">
        <v>3843</v>
      </c>
      <c r="H1068" s="65" t="str">
        <f t="shared" si="48"/>
        <v>No Change</v>
      </c>
      <c r="I1068" s="65" t="str">
        <f t="shared" si="49"/>
        <v/>
      </c>
      <c r="J1068" s="65" t="str">
        <f t="shared" si="50"/>
        <v/>
      </c>
    </row>
    <row r="1069" spans="1:10" x14ac:dyDescent="0.3">
      <c r="A1069" s="27" t="s">
        <v>3844</v>
      </c>
      <c r="B1069" s="27" t="str">
        <f>"29.0201"</f>
        <v>29.0201</v>
      </c>
      <c r="C1069" s="64" t="s">
        <v>3845</v>
      </c>
      <c r="D1069" s="27" t="s">
        <v>2229</v>
      </c>
      <c r="E1069" s="27" t="s">
        <v>2232</v>
      </c>
      <c r="F1069" s="27" t="str">
        <f>"29.0201"</f>
        <v>29.0201</v>
      </c>
      <c r="G1069" s="27" t="s">
        <v>3845</v>
      </c>
      <c r="H1069" s="65" t="str">
        <f t="shared" si="48"/>
        <v>No Change</v>
      </c>
      <c r="I1069" s="65" t="str">
        <f t="shared" si="49"/>
        <v>290201</v>
      </c>
      <c r="J1069" s="65" t="str">
        <f t="shared" si="50"/>
        <v>290201</v>
      </c>
    </row>
    <row r="1070" spans="1:10" x14ac:dyDescent="0.3">
      <c r="A1070" s="27" t="s">
        <v>3846</v>
      </c>
      <c r="B1070" s="27" t="str">
        <f>"29.0202"</f>
        <v>29.0202</v>
      </c>
      <c r="C1070" s="64" t="s">
        <v>3847</v>
      </c>
      <c r="D1070" s="27" t="s">
        <v>2229</v>
      </c>
      <c r="E1070" s="27" t="s">
        <v>2232</v>
      </c>
      <c r="F1070" s="27" t="str">
        <f>"29.0202"</f>
        <v>29.0202</v>
      </c>
      <c r="G1070" s="27" t="s">
        <v>3847</v>
      </c>
      <c r="H1070" s="65" t="str">
        <f t="shared" si="48"/>
        <v>No Change</v>
      </c>
      <c r="I1070" s="65" t="str">
        <f t="shared" si="49"/>
        <v>290202</v>
      </c>
      <c r="J1070" s="65" t="str">
        <f t="shared" si="50"/>
        <v>290202</v>
      </c>
    </row>
    <row r="1071" spans="1:10" x14ac:dyDescent="0.3">
      <c r="A1071" s="27" t="s">
        <v>3848</v>
      </c>
      <c r="B1071" s="27" t="str">
        <f>"29.0203"</f>
        <v>29.0203</v>
      </c>
      <c r="C1071" s="64" t="s">
        <v>3849</v>
      </c>
      <c r="D1071" s="27" t="s">
        <v>2229</v>
      </c>
      <c r="E1071" s="27" t="s">
        <v>2232</v>
      </c>
      <c r="F1071" s="27" t="str">
        <f>"29.0203"</f>
        <v>29.0203</v>
      </c>
      <c r="G1071" s="27" t="s">
        <v>3849</v>
      </c>
      <c r="H1071" s="65" t="str">
        <f t="shared" si="48"/>
        <v>No Change</v>
      </c>
      <c r="I1071" s="65" t="str">
        <f t="shared" si="49"/>
        <v>290203</v>
      </c>
      <c r="J1071" s="65" t="str">
        <f t="shared" si="50"/>
        <v>290203</v>
      </c>
    </row>
    <row r="1072" spans="1:10" x14ac:dyDescent="0.3">
      <c r="A1072" s="27" t="s">
        <v>3850</v>
      </c>
      <c r="B1072" s="27" t="str">
        <f>"29.0204"</f>
        <v>29.0204</v>
      </c>
      <c r="C1072" s="64" t="s">
        <v>3851</v>
      </c>
      <c r="D1072" s="27" t="s">
        <v>2229</v>
      </c>
      <c r="E1072" s="27" t="s">
        <v>2232</v>
      </c>
      <c r="F1072" s="27" t="str">
        <f>"29.0204"</f>
        <v>29.0204</v>
      </c>
      <c r="G1072" s="27" t="s">
        <v>3851</v>
      </c>
      <c r="H1072" s="65" t="str">
        <f t="shared" si="48"/>
        <v>No Change</v>
      </c>
      <c r="I1072" s="65" t="str">
        <f t="shared" si="49"/>
        <v>290204</v>
      </c>
      <c r="J1072" s="65" t="str">
        <f t="shared" si="50"/>
        <v>290204</v>
      </c>
    </row>
    <row r="1073" spans="1:10" x14ac:dyDescent="0.3">
      <c r="A1073" s="27" t="s">
        <v>3852</v>
      </c>
      <c r="B1073" s="27" t="str">
        <f>"29.0205"</f>
        <v>29.0205</v>
      </c>
      <c r="C1073" s="64" t="s">
        <v>3853</v>
      </c>
      <c r="D1073" s="27" t="s">
        <v>2229</v>
      </c>
      <c r="E1073" s="27" t="s">
        <v>2232</v>
      </c>
      <c r="F1073" s="27" t="str">
        <f>"29.0205"</f>
        <v>29.0205</v>
      </c>
      <c r="G1073" s="27" t="s">
        <v>3853</v>
      </c>
      <c r="H1073" s="65" t="str">
        <f t="shared" si="48"/>
        <v>No Change</v>
      </c>
      <c r="I1073" s="65" t="str">
        <f t="shared" si="49"/>
        <v>290205</v>
      </c>
      <c r="J1073" s="65" t="str">
        <f t="shared" si="50"/>
        <v>290205</v>
      </c>
    </row>
    <row r="1074" spans="1:10" ht="28.8" x14ac:dyDescent="0.3">
      <c r="A1074" s="27" t="s">
        <v>3854</v>
      </c>
      <c r="B1074" s="27" t="str">
        <f>"29.0206"</f>
        <v>29.0206</v>
      </c>
      <c r="C1074" s="64" t="s">
        <v>3855</v>
      </c>
      <c r="D1074" s="27" t="s">
        <v>2229</v>
      </c>
      <c r="E1074" s="27" t="s">
        <v>2232</v>
      </c>
      <c r="F1074" s="27" t="str">
        <f>"29.0206"</f>
        <v>29.0206</v>
      </c>
      <c r="G1074" s="27" t="s">
        <v>3855</v>
      </c>
      <c r="H1074" s="65" t="str">
        <f t="shared" si="48"/>
        <v>No Change</v>
      </c>
      <c r="I1074" s="65" t="str">
        <f t="shared" si="49"/>
        <v>290206</v>
      </c>
      <c r="J1074" s="65" t="str">
        <f t="shared" si="50"/>
        <v>290206</v>
      </c>
    </row>
    <row r="1075" spans="1:10" x14ac:dyDescent="0.3">
      <c r="A1075" s="27" t="s">
        <v>3856</v>
      </c>
      <c r="B1075" s="27" t="str">
        <f>"29.0207"</f>
        <v>29.0207</v>
      </c>
      <c r="C1075" s="64" t="s">
        <v>3857</v>
      </c>
      <c r="D1075" s="27" t="s">
        <v>2229</v>
      </c>
      <c r="E1075" s="27" t="s">
        <v>2232</v>
      </c>
      <c r="F1075" s="27" t="str">
        <f>"29.0207"</f>
        <v>29.0207</v>
      </c>
      <c r="G1075" s="27" t="s">
        <v>3857</v>
      </c>
      <c r="H1075" s="65" t="str">
        <f t="shared" si="48"/>
        <v>No Change</v>
      </c>
      <c r="I1075" s="65" t="str">
        <f t="shared" si="49"/>
        <v>290207</v>
      </c>
      <c r="J1075" s="65" t="str">
        <f t="shared" si="50"/>
        <v>290207</v>
      </c>
    </row>
    <row r="1076" spans="1:10" ht="28.8" x14ac:dyDescent="0.3">
      <c r="A1076" s="27" t="s">
        <v>3858</v>
      </c>
      <c r="B1076" s="27" t="str">
        <f>"29.0299"</f>
        <v>29.0299</v>
      </c>
      <c r="C1076" s="64" t="s">
        <v>3859</v>
      </c>
      <c r="D1076" s="27" t="s">
        <v>2229</v>
      </c>
      <c r="E1076" s="27" t="s">
        <v>2232</v>
      </c>
      <c r="F1076" s="27" t="str">
        <f>"29.0299"</f>
        <v>29.0299</v>
      </c>
      <c r="G1076" s="27" t="s">
        <v>3859</v>
      </c>
      <c r="H1076" s="65" t="str">
        <f t="shared" si="48"/>
        <v>No Change</v>
      </c>
      <c r="I1076" s="65" t="str">
        <f t="shared" si="49"/>
        <v>290299</v>
      </c>
      <c r="J1076" s="65" t="str">
        <f t="shared" si="50"/>
        <v>290299</v>
      </c>
    </row>
    <row r="1077" spans="1:10" x14ac:dyDescent="0.3">
      <c r="A1077" s="27" t="s">
        <v>1869</v>
      </c>
      <c r="B1077" s="27" t="str">
        <f>"29.03"</f>
        <v>29.03</v>
      </c>
      <c r="C1077" s="64" t="s">
        <v>3860</v>
      </c>
      <c r="D1077" s="27" t="s">
        <v>2229</v>
      </c>
      <c r="E1077" s="27" t="s">
        <v>2232</v>
      </c>
      <c r="F1077" s="27" t="str">
        <f>"29.03"</f>
        <v>29.03</v>
      </c>
      <c r="G1077" s="27" t="s">
        <v>3860</v>
      </c>
      <c r="H1077" s="65" t="str">
        <f t="shared" si="48"/>
        <v>No Change</v>
      </c>
      <c r="I1077" s="65" t="str">
        <f t="shared" si="49"/>
        <v/>
      </c>
      <c r="J1077" s="65" t="str">
        <f t="shared" si="50"/>
        <v/>
      </c>
    </row>
    <row r="1078" spans="1:10" x14ac:dyDescent="0.3">
      <c r="A1078" s="27" t="s">
        <v>3861</v>
      </c>
      <c r="B1078" s="27" t="str">
        <f>"29.0301"</f>
        <v>29.0301</v>
      </c>
      <c r="C1078" s="64" t="s">
        <v>3862</v>
      </c>
      <c r="D1078" s="27" t="s">
        <v>2229</v>
      </c>
      <c r="E1078" s="27" t="s">
        <v>2232</v>
      </c>
      <c r="F1078" s="27" t="str">
        <f>"29.0301"</f>
        <v>29.0301</v>
      </c>
      <c r="G1078" s="27" t="s">
        <v>3862</v>
      </c>
      <c r="H1078" s="65" t="str">
        <f t="shared" si="48"/>
        <v>No Change</v>
      </c>
      <c r="I1078" s="65" t="str">
        <f t="shared" si="49"/>
        <v>290301</v>
      </c>
      <c r="J1078" s="65" t="str">
        <f t="shared" si="50"/>
        <v>290301</v>
      </c>
    </row>
    <row r="1079" spans="1:10" x14ac:dyDescent="0.3">
      <c r="A1079" s="27" t="s">
        <v>3863</v>
      </c>
      <c r="B1079" s="27" t="str">
        <f>"29.0302"</f>
        <v>29.0302</v>
      </c>
      <c r="C1079" s="64" t="s">
        <v>3864</v>
      </c>
      <c r="D1079" s="27" t="s">
        <v>2229</v>
      </c>
      <c r="E1079" s="27" t="s">
        <v>2232</v>
      </c>
      <c r="F1079" s="27" t="str">
        <f>"29.0302"</f>
        <v>29.0302</v>
      </c>
      <c r="G1079" s="27" t="s">
        <v>3864</v>
      </c>
      <c r="H1079" s="65" t="str">
        <f t="shared" si="48"/>
        <v>No Change</v>
      </c>
      <c r="I1079" s="65" t="str">
        <f t="shared" si="49"/>
        <v>290302</v>
      </c>
      <c r="J1079" s="65" t="str">
        <f t="shared" si="50"/>
        <v>290302</v>
      </c>
    </row>
    <row r="1080" spans="1:10" x14ac:dyDescent="0.3">
      <c r="A1080" s="27" t="s">
        <v>3865</v>
      </c>
      <c r="B1080" s="27" t="str">
        <f>"29.0303"</f>
        <v>29.0303</v>
      </c>
      <c r="C1080" s="64" t="s">
        <v>3866</v>
      </c>
      <c r="D1080" s="27" t="s">
        <v>2229</v>
      </c>
      <c r="E1080" s="27" t="s">
        <v>2232</v>
      </c>
      <c r="F1080" s="27" t="str">
        <f>"29.0303"</f>
        <v>29.0303</v>
      </c>
      <c r="G1080" s="27" t="s">
        <v>3866</v>
      </c>
      <c r="H1080" s="65" t="str">
        <f t="shared" si="48"/>
        <v>No Change</v>
      </c>
      <c r="I1080" s="65" t="str">
        <f t="shared" si="49"/>
        <v>290303</v>
      </c>
      <c r="J1080" s="65" t="str">
        <f t="shared" si="50"/>
        <v>290303</v>
      </c>
    </row>
    <row r="1081" spans="1:10" x14ac:dyDescent="0.3">
      <c r="A1081" s="27" t="s">
        <v>3867</v>
      </c>
      <c r="B1081" s="27" t="str">
        <f>"29.0304"</f>
        <v>29.0304</v>
      </c>
      <c r="C1081" s="64" t="s">
        <v>3868</v>
      </c>
      <c r="D1081" s="27" t="s">
        <v>2229</v>
      </c>
      <c r="E1081" s="27" t="s">
        <v>2232</v>
      </c>
      <c r="F1081" s="27" t="str">
        <f>"29.0304"</f>
        <v>29.0304</v>
      </c>
      <c r="G1081" s="27" t="s">
        <v>3868</v>
      </c>
      <c r="H1081" s="65" t="str">
        <f t="shared" si="48"/>
        <v>No Change</v>
      </c>
      <c r="I1081" s="65" t="str">
        <f t="shared" si="49"/>
        <v>290304</v>
      </c>
      <c r="J1081" s="65" t="str">
        <f t="shared" si="50"/>
        <v>290304</v>
      </c>
    </row>
    <row r="1082" spans="1:10" x14ac:dyDescent="0.3">
      <c r="A1082" s="27" t="s">
        <v>3869</v>
      </c>
      <c r="B1082" s="27" t="str">
        <f>"29.0305"</f>
        <v>29.0305</v>
      </c>
      <c r="C1082" s="64" t="s">
        <v>3870</v>
      </c>
      <c r="D1082" s="27" t="s">
        <v>2229</v>
      </c>
      <c r="E1082" s="27" t="s">
        <v>2232</v>
      </c>
      <c r="F1082" s="27" t="str">
        <f>"29.0305"</f>
        <v>29.0305</v>
      </c>
      <c r="G1082" s="27" t="s">
        <v>3870</v>
      </c>
      <c r="H1082" s="65" t="str">
        <f t="shared" si="48"/>
        <v>No Change</v>
      </c>
      <c r="I1082" s="65" t="str">
        <f t="shared" si="49"/>
        <v>290305</v>
      </c>
      <c r="J1082" s="65" t="str">
        <f t="shared" si="50"/>
        <v>290305</v>
      </c>
    </row>
    <row r="1083" spans="1:10" x14ac:dyDescent="0.3">
      <c r="A1083" s="27" t="s">
        <v>3871</v>
      </c>
      <c r="B1083" s="27" t="str">
        <f>"29.0306"</f>
        <v>29.0306</v>
      </c>
      <c r="C1083" s="64" t="s">
        <v>3872</v>
      </c>
      <c r="D1083" s="27" t="s">
        <v>2229</v>
      </c>
      <c r="E1083" s="27" t="s">
        <v>2232</v>
      </c>
      <c r="F1083" s="27" t="str">
        <f>"29.0306"</f>
        <v>29.0306</v>
      </c>
      <c r="G1083" s="27" t="s">
        <v>3872</v>
      </c>
      <c r="H1083" s="65" t="str">
        <f t="shared" si="48"/>
        <v>No Change</v>
      </c>
      <c r="I1083" s="65" t="str">
        <f t="shared" si="49"/>
        <v>290306</v>
      </c>
      <c r="J1083" s="65" t="str">
        <f t="shared" si="50"/>
        <v>290306</v>
      </c>
    </row>
    <row r="1084" spans="1:10" x14ac:dyDescent="0.3">
      <c r="A1084" s="27" t="s">
        <v>3873</v>
      </c>
      <c r="B1084" s="27" t="str">
        <f>"29.0307"</f>
        <v>29.0307</v>
      </c>
      <c r="C1084" s="64" t="s">
        <v>3874</v>
      </c>
      <c r="D1084" s="27" t="s">
        <v>2229</v>
      </c>
      <c r="E1084" s="27" t="s">
        <v>2232</v>
      </c>
      <c r="F1084" s="27" t="str">
        <f>"29.0307"</f>
        <v>29.0307</v>
      </c>
      <c r="G1084" s="27" t="s">
        <v>3874</v>
      </c>
      <c r="H1084" s="65" t="str">
        <f t="shared" si="48"/>
        <v>No Change</v>
      </c>
      <c r="I1084" s="65" t="str">
        <f t="shared" si="49"/>
        <v>290307</v>
      </c>
      <c r="J1084" s="65" t="str">
        <f t="shared" si="50"/>
        <v>290307</v>
      </c>
    </row>
    <row r="1085" spans="1:10" x14ac:dyDescent="0.3">
      <c r="A1085" s="27" t="s">
        <v>3875</v>
      </c>
      <c r="B1085" s="27" t="str">
        <f>"29.0399"</f>
        <v>29.0399</v>
      </c>
      <c r="C1085" s="64" t="s">
        <v>3876</v>
      </c>
      <c r="D1085" s="27" t="s">
        <v>2229</v>
      </c>
      <c r="E1085" s="27" t="s">
        <v>2232</v>
      </c>
      <c r="F1085" s="27" t="str">
        <f>"29.0399"</f>
        <v>29.0399</v>
      </c>
      <c r="G1085" s="27" t="s">
        <v>3876</v>
      </c>
      <c r="H1085" s="65" t="str">
        <f t="shared" si="48"/>
        <v>No Change</v>
      </c>
      <c r="I1085" s="65" t="str">
        <f t="shared" si="49"/>
        <v>290399</v>
      </c>
      <c r="J1085" s="65" t="str">
        <f t="shared" si="50"/>
        <v>290399</v>
      </c>
    </row>
    <row r="1086" spans="1:10" x14ac:dyDescent="0.3">
      <c r="A1086" s="27" t="s">
        <v>1869</v>
      </c>
      <c r="B1086" s="27" t="str">
        <f>"29.04"</f>
        <v>29.04</v>
      </c>
      <c r="C1086" s="64" t="s">
        <v>3877</v>
      </c>
      <c r="D1086" s="27" t="s">
        <v>2229</v>
      </c>
      <c r="E1086" s="27" t="s">
        <v>2232</v>
      </c>
      <c r="F1086" s="27" t="str">
        <f>"29.04"</f>
        <v>29.04</v>
      </c>
      <c r="G1086" s="27" t="s">
        <v>3877</v>
      </c>
      <c r="H1086" s="65" t="str">
        <f t="shared" si="48"/>
        <v>No Change</v>
      </c>
      <c r="I1086" s="65" t="str">
        <f t="shared" si="49"/>
        <v/>
      </c>
      <c r="J1086" s="65" t="str">
        <f t="shared" si="50"/>
        <v/>
      </c>
    </row>
    <row r="1087" spans="1:10" x14ac:dyDescent="0.3">
      <c r="A1087" s="27" t="s">
        <v>3878</v>
      </c>
      <c r="B1087" s="27" t="str">
        <f>"29.0401"</f>
        <v>29.0401</v>
      </c>
      <c r="C1087" s="64" t="s">
        <v>3879</v>
      </c>
      <c r="D1087" s="27" t="s">
        <v>2229</v>
      </c>
      <c r="E1087" s="27" t="s">
        <v>2232</v>
      </c>
      <c r="F1087" s="27" t="str">
        <f>"29.0401"</f>
        <v>29.0401</v>
      </c>
      <c r="G1087" s="27" t="s">
        <v>3879</v>
      </c>
      <c r="H1087" s="65" t="str">
        <f t="shared" si="48"/>
        <v>No Change</v>
      </c>
      <c r="I1087" s="65" t="str">
        <f t="shared" si="49"/>
        <v>290401</v>
      </c>
      <c r="J1087" s="65" t="str">
        <f t="shared" si="50"/>
        <v>290401</v>
      </c>
    </row>
    <row r="1088" spans="1:10" x14ac:dyDescent="0.3">
      <c r="A1088" s="27" t="s">
        <v>3880</v>
      </c>
      <c r="B1088" s="27" t="str">
        <f>"29.0402"</f>
        <v>29.0402</v>
      </c>
      <c r="C1088" s="64" t="s">
        <v>3881</v>
      </c>
      <c r="D1088" s="27" t="s">
        <v>2229</v>
      </c>
      <c r="E1088" s="27" t="s">
        <v>2232</v>
      </c>
      <c r="F1088" s="27" t="str">
        <f>"29.0402"</f>
        <v>29.0402</v>
      </c>
      <c r="G1088" s="27" t="s">
        <v>3881</v>
      </c>
      <c r="H1088" s="65" t="str">
        <f t="shared" si="48"/>
        <v>No Change</v>
      </c>
      <c r="I1088" s="65" t="str">
        <f t="shared" si="49"/>
        <v>290402</v>
      </c>
      <c r="J1088" s="65" t="str">
        <f t="shared" si="50"/>
        <v>290402</v>
      </c>
    </row>
    <row r="1089" spans="1:10" x14ac:dyDescent="0.3">
      <c r="A1089" s="27" t="s">
        <v>3882</v>
      </c>
      <c r="B1089" s="27" t="str">
        <f>"29.0403"</f>
        <v>29.0403</v>
      </c>
      <c r="C1089" s="64" t="s">
        <v>3883</v>
      </c>
      <c r="D1089" s="27" t="s">
        <v>2229</v>
      </c>
      <c r="E1089" s="27" t="s">
        <v>2232</v>
      </c>
      <c r="F1089" s="27" t="str">
        <f>"29.0403"</f>
        <v>29.0403</v>
      </c>
      <c r="G1089" s="27" t="s">
        <v>3883</v>
      </c>
      <c r="H1089" s="65" t="str">
        <f t="shared" si="48"/>
        <v>No Change</v>
      </c>
      <c r="I1089" s="65" t="str">
        <f t="shared" si="49"/>
        <v>290403</v>
      </c>
      <c r="J1089" s="65" t="str">
        <f t="shared" si="50"/>
        <v>290403</v>
      </c>
    </row>
    <row r="1090" spans="1:10" x14ac:dyDescent="0.3">
      <c r="A1090" s="27" t="s">
        <v>3884</v>
      </c>
      <c r="B1090" s="27" t="str">
        <f>"29.0404"</f>
        <v>29.0404</v>
      </c>
      <c r="C1090" s="64" t="s">
        <v>3885</v>
      </c>
      <c r="D1090" s="27" t="s">
        <v>2229</v>
      </c>
      <c r="E1090" s="27" t="s">
        <v>2232</v>
      </c>
      <c r="F1090" s="27" t="str">
        <f>"29.0404"</f>
        <v>29.0404</v>
      </c>
      <c r="G1090" s="27" t="s">
        <v>3885</v>
      </c>
      <c r="H1090" s="65" t="str">
        <f t="shared" si="48"/>
        <v>No Change</v>
      </c>
      <c r="I1090" s="65" t="str">
        <f t="shared" si="49"/>
        <v>290404</v>
      </c>
      <c r="J1090" s="65" t="str">
        <f t="shared" si="50"/>
        <v>290404</v>
      </c>
    </row>
    <row r="1091" spans="1:10" x14ac:dyDescent="0.3">
      <c r="A1091" s="27" t="s">
        <v>3886</v>
      </c>
      <c r="B1091" s="27" t="str">
        <f>"29.0405"</f>
        <v>29.0405</v>
      </c>
      <c r="C1091" s="64" t="s">
        <v>3887</v>
      </c>
      <c r="D1091" s="27" t="s">
        <v>2229</v>
      </c>
      <c r="E1091" s="27" t="s">
        <v>2232</v>
      </c>
      <c r="F1091" s="27" t="str">
        <f>"29.0405"</f>
        <v>29.0405</v>
      </c>
      <c r="G1091" s="27" t="s">
        <v>3887</v>
      </c>
      <c r="H1091" s="65" t="str">
        <f t="shared" ref="H1091:H1154" si="51">IF(I1091=J1091,"No Change","Other")</f>
        <v>No Change</v>
      </c>
      <c r="I1091" s="65" t="str">
        <f t="shared" ref="I1091:I1154" si="52">SUBSTITUTE(IF(SUM(LEN(B1091))&lt;7,"",B1091),".","")</f>
        <v>290405</v>
      </c>
      <c r="J1091" s="65" t="str">
        <f t="shared" ref="J1091:J1154" si="53">SUBSTITUTE(IF(SUM(LEN(F1091))&lt;7,"",F1091),".","")</f>
        <v>290405</v>
      </c>
    </row>
    <row r="1092" spans="1:10" x14ac:dyDescent="0.3">
      <c r="A1092" s="27" t="s">
        <v>3888</v>
      </c>
      <c r="B1092" s="27" t="str">
        <f>"29.0406"</f>
        <v>29.0406</v>
      </c>
      <c r="C1092" s="64" t="s">
        <v>3889</v>
      </c>
      <c r="D1092" s="27" t="s">
        <v>2229</v>
      </c>
      <c r="E1092" s="27" t="s">
        <v>2232</v>
      </c>
      <c r="F1092" s="27" t="str">
        <f>"29.0406"</f>
        <v>29.0406</v>
      </c>
      <c r="G1092" s="27" t="s">
        <v>3889</v>
      </c>
      <c r="H1092" s="65" t="str">
        <f t="shared" si="51"/>
        <v>No Change</v>
      </c>
      <c r="I1092" s="65" t="str">
        <f t="shared" si="52"/>
        <v>290406</v>
      </c>
      <c r="J1092" s="65" t="str">
        <f t="shared" si="53"/>
        <v>290406</v>
      </c>
    </row>
    <row r="1093" spans="1:10" x14ac:dyDescent="0.3">
      <c r="A1093" s="27" t="s">
        <v>3890</v>
      </c>
      <c r="B1093" s="27" t="str">
        <f>"29.0407"</f>
        <v>29.0407</v>
      </c>
      <c r="C1093" s="64" t="s">
        <v>3891</v>
      </c>
      <c r="D1093" s="27" t="s">
        <v>2229</v>
      </c>
      <c r="E1093" s="27" t="s">
        <v>2232</v>
      </c>
      <c r="F1093" s="27" t="str">
        <f>"29.0407"</f>
        <v>29.0407</v>
      </c>
      <c r="G1093" s="27" t="s">
        <v>3891</v>
      </c>
      <c r="H1093" s="65" t="str">
        <f t="shared" si="51"/>
        <v>No Change</v>
      </c>
      <c r="I1093" s="65" t="str">
        <f t="shared" si="52"/>
        <v>290407</v>
      </c>
      <c r="J1093" s="65" t="str">
        <f t="shared" si="53"/>
        <v>290407</v>
      </c>
    </row>
    <row r="1094" spans="1:10" x14ac:dyDescent="0.3">
      <c r="A1094" s="27" t="s">
        <v>3892</v>
      </c>
      <c r="B1094" s="27" t="str">
        <f>"29.0408"</f>
        <v>29.0408</v>
      </c>
      <c r="C1094" s="64" t="s">
        <v>3893</v>
      </c>
      <c r="D1094" s="27" t="s">
        <v>2229</v>
      </c>
      <c r="E1094" s="27" t="s">
        <v>2232</v>
      </c>
      <c r="F1094" s="27" t="str">
        <f>"29.0408"</f>
        <v>29.0408</v>
      </c>
      <c r="G1094" s="27" t="s">
        <v>3893</v>
      </c>
      <c r="H1094" s="65" t="str">
        <f t="shared" si="51"/>
        <v>No Change</v>
      </c>
      <c r="I1094" s="65" t="str">
        <f t="shared" si="52"/>
        <v>290408</v>
      </c>
      <c r="J1094" s="65" t="str">
        <f t="shared" si="53"/>
        <v>290408</v>
      </c>
    </row>
    <row r="1095" spans="1:10" x14ac:dyDescent="0.3">
      <c r="A1095" s="27" t="s">
        <v>3894</v>
      </c>
      <c r="B1095" s="27" t="str">
        <f>"29.0409"</f>
        <v>29.0409</v>
      </c>
      <c r="C1095" s="64" t="s">
        <v>3895</v>
      </c>
      <c r="D1095" s="27" t="s">
        <v>2229</v>
      </c>
      <c r="E1095" s="27" t="s">
        <v>2232</v>
      </c>
      <c r="F1095" s="27" t="str">
        <f>"29.0409"</f>
        <v>29.0409</v>
      </c>
      <c r="G1095" s="27" t="s">
        <v>3895</v>
      </c>
      <c r="H1095" s="65" t="str">
        <f t="shared" si="51"/>
        <v>No Change</v>
      </c>
      <c r="I1095" s="65" t="str">
        <f t="shared" si="52"/>
        <v>290409</v>
      </c>
      <c r="J1095" s="65" t="str">
        <f t="shared" si="53"/>
        <v>290409</v>
      </c>
    </row>
    <row r="1096" spans="1:10" x14ac:dyDescent="0.3">
      <c r="A1096" s="27" t="s">
        <v>3896</v>
      </c>
      <c r="B1096" s="27" t="str">
        <f>"29.0499"</f>
        <v>29.0499</v>
      </c>
      <c r="C1096" s="64" t="s">
        <v>3897</v>
      </c>
      <c r="D1096" s="27" t="s">
        <v>2229</v>
      </c>
      <c r="E1096" s="27" t="s">
        <v>2232</v>
      </c>
      <c r="F1096" s="27" t="str">
        <f>"29.0499"</f>
        <v>29.0499</v>
      </c>
      <c r="G1096" s="27" t="s">
        <v>3897</v>
      </c>
      <c r="H1096" s="65" t="str">
        <f t="shared" si="51"/>
        <v>No Change</v>
      </c>
      <c r="I1096" s="65" t="str">
        <f t="shared" si="52"/>
        <v>290499</v>
      </c>
      <c r="J1096" s="65" t="str">
        <f t="shared" si="53"/>
        <v>290499</v>
      </c>
    </row>
    <row r="1097" spans="1:10" x14ac:dyDescent="0.3">
      <c r="A1097" s="27" t="s">
        <v>1869</v>
      </c>
      <c r="D1097" s="27" t="s">
        <v>2255</v>
      </c>
      <c r="E1097" s="27" t="s">
        <v>2232</v>
      </c>
      <c r="F1097" s="27" t="str">
        <f>"29.06"</f>
        <v>29.06</v>
      </c>
      <c r="G1097" s="27" t="s">
        <v>3898</v>
      </c>
      <c r="H1097" s="65" t="str">
        <f t="shared" si="51"/>
        <v>No Change</v>
      </c>
      <c r="I1097" s="65" t="str">
        <f t="shared" si="52"/>
        <v/>
      </c>
      <c r="J1097" s="65" t="str">
        <f t="shared" si="53"/>
        <v/>
      </c>
    </row>
    <row r="1098" spans="1:10" x14ac:dyDescent="0.3">
      <c r="A1098" s="27" t="s">
        <v>1869</v>
      </c>
      <c r="D1098" s="27" t="s">
        <v>2255</v>
      </c>
      <c r="E1098" s="27" t="s">
        <v>2232</v>
      </c>
      <c r="F1098" s="27" t="str">
        <f>"29.0601"</f>
        <v>29.0601</v>
      </c>
      <c r="G1098" s="27" t="s">
        <v>3898</v>
      </c>
      <c r="H1098" s="65" t="str">
        <f t="shared" si="51"/>
        <v>Other</v>
      </c>
      <c r="I1098" s="65" t="str">
        <f t="shared" si="52"/>
        <v/>
      </c>
      <c r="J1098" s="65" t="str">
        <f t="shared" si="53"/>
        <v>290601</v>
      </c>
    </row>
    <row r="1099" spans="1:10" x14ac:dyDescent="0.3">
      <c r="A1099" s="27" t="s">
        <v>1869</v>
      </c>
      <c r="B1099" s="27" t="str">
        <f>"29.99"</f>
        <v>29.99</v>
      </c>
      <c r="C1099" s="64" t="s">
        <v>3899</v>
      </c>
      <c r="D1099" s="27" t="s">
        <v>2229</v>
      </c>
      <c r="E1099" s="27" t="s">
        <v>2232</v>
      </c>
      <c r="F1099" s="27" t="str">
        <f>"29.99"</f>
        <v>29.99</v>
      </c>
      <c r="G1099" s="27" t="s">
        <v>3899</v>
      </c>
      <c r="H1099" s="65" t="str">
        <f t="shared" si="51"/>
        <v>No Change</v>
      </c>
      <c r="I1099" s="65" t="str">
        <f t="shared" si="52"/>
        <v/>
      </c>
      <c r="J1099" s="65" t="str">
        <f t="shared" si="53"/>
        <v/>
      </c>
    </row>
    <row r="1100" spans="1:10" x14ac:dyDescent="0.3">
      <c r="A1100" s="27" t="s">
        <v>3900</v>
      </c>
      <c r="B1100" s="27" t="str">
        <f>"29.9999"</f>
        <v>29.9999</v>
      </c>
      <c r="C1100" s="64" t="s">
        <v>3899</v>
      </c>
      <c r="D1100" s="27" t="s">
        <v>2229</v>
      </c>
      <c r="E1100" s="27" t="s">
        <v>2232</v>
      </c>
      <c r="F1100" s="27" t="str">
        <f>"29.9999"</f>
        <v>29.9999</v>
      </c>
      <c r="G1100" s="27" t="s">
        <v>3899</v>
      </c>
      <c r="H1100" s="65" t="str">
        <f t="shared" si="51"/>
        <v>No Change</v>
      </c>
      <c r="I1100" s="65" t="str">
        <f t="shared" si="52"/>
        <v>299999</v>
      </c>
      <c r="J1100" s="65" t="str">
        <f t="shared" si="53"/>
        <v>299999</v>
      </c>
    </row>
    <row r="1101" spans="1:10" x14ac:dyDescent="0.3">
      <c r="A1101" s="27" t="s">
        <v>1869</v>
      </c>
      <c r="B1101" s="27" t="str">
        <f>"30"</f>
        <v>30</v>
      </c>
      <c r="C1101" s="64" t="s">
        <v>3901</v>
      </c>
      <c r="D1101" s="27" t="s">
        <v>2229</v>
      </c>
      <c r="E1101" s="27" t="s">
        <v>2232</v>
      </c>
      <c r="F1101" s="27" t="str">
        <f>"30"</f>
        <v>30</v>
      </c>
      <c r="G1101" s="27" t="s">
        <v>3901</v>
      </c>
      <c r="H1101" s="65" t="str">
        <f t="shared" si="51"/>
        <v>No Change</v>
      </c>
      <c r="I1101" s="65" t="str">
        <f t="shared" si="52"/>
        <v/>
      </c>
      <c r="J1101" s="65" t="str">
        <f t="shared" si="53"/>
        <v/>
      </c>
    </row>
    <row r="1102" spans="1:10" x14ac:dyDescent="0.3">
      <c r="A1102" s="27" t="s">
        <v>1869</v>
      </c>
      <c r="B1102" s="27" t="str">
        <f>"30.00"</f>
        <v>30.00</v>
      </c>
      <c r="C1102" s="64" t="s">
        <v>3902</v>
      </c>
      <c r="D1102" s="27" t="s">
        <v>2229</v>
      </c>
      <c r="E1102" s="27" t="s">
        <v>2232</v>
      </c>
      <c r="F1102" s="27" t="str">
        <f>"30.00"</f>
        <v>30.00</v>
      </c>
      <c r="G1102" s="27" t="s">
        <v>3902</v>
      </c>
      <c r="H1102" s="65" t="str">
        <f t="shared" si="51"/>
        <v>No Change</v>
      </c>
      <c r="I1102" s="65" t="str">
        <f t="shared" si="52"/>
        <v/>
      </c>
      <c r="J1102" s="65" t="str">
        <f t="shared" si="53"/>
        <v/>
      </c>
    </row>
    <row r="1103" spans="1:10" x14ac:dyDescent="0.3">
      <c r="A1103" s="27" t="s">
        <v>3903</v>
      </c>
      <c r="B1103" s="27" t="str">
        <f>"30.0000"</f>
        <v>30.0000</v>
      </c>
      <c r="C1103" s="64" t="s">
        <v>3902</v>
      </c>
      <c r="D1103" s="27" t="s">
        <v>2229</v>
      </c>
      <c r="E1103" s="27" t="s">
        <v>2232</v>
      </c>
      <c r="F1103" s="27" t="str">
        <f>"30.0000"</f>
        <v>30.0000</v>
      </c>
      <c r="G1103" s="27" t="s">
        <v>3902</v>
      </c>
      <c r="H1103" s="65" t="str">
        <f t="shared" si="51"/>
        <v>No Change</v>
      </c>
      <c r="I1103" s="65" t="str">
        <f t="shared" si="52"/>
        <v>300000</v>
      </c>
      <c r="J1103" s="65" t="str">
        <f t="shared" si="53"/>
        <v>300000</v>
      </c>
    </row>
    <row r="1104" spans="1:10" x14ac:dyDescent="0.3">
      <c r="A1104" s="27" t="s">
        <v>1869</v>
      </c>
      <c r="D1104" s="27" t="s">
        <v>2255</v>
      </c>
      <c r="E1104" s="27" t="s">
        <v>2232</v>
      </c>
      <c r="F1104" s="27" t="str">
        <f>"30.0001"</f>
        <v>30.0001</v>
      </c>
      <c r="G1104" s="27" t="s">
        <v>3904</v>
      </c>
      <c r="H1104" s="65" t="str">
        <f t="shared" si="51"/>
        <v>Other</v>
      </c>
      <c r="I1104" s="65" t="str">
        <f t="shared" si="52"/>
        <v/>
      </c>
      <c r="J1104" s="65" t="str">
        <f t="shared" si="53"/>
        <v>300001</v>
      </c>
    </row>
    <row r="1105" spans="1:10" x14ac:dyDescent="0.3">
      <c r="A1105" s="27" t="s">
        <v>1869</v>
      </c>
      <c r="B1105" s="27" t="str">
        <f>"30.01"</f>
        <v>30.01</v>
      </c>
      <c r="C1105" s="64" t="s">
        <v>3905</v>
      </c>
      <c r="D1105" s="27" t="s">
        <v>2229</v>
      </c>
      <c r="E1105" s="27" t="s">
        <v>2232</v>
      </c>
      <c r="F1105" s="27" t="str">
        <f>"30.01"</f>
        <v>30.01</v>
      </c>
      <c r="G1105" s="27" t="s">
        <v>3905</v>
      </c>
      <c r="H1105" s="65" t="str">
        <f t="shared" si="51"/>
        <v>No Change</v>
      </c>
      <c r="I1105" s="65" t="str">
        <f t="shared" si="52"/>
        <v/>
      </c>
      <c r="J1105" s="65" t="str">
        <f t="shared" si="53"/>
        <v/>
      </c>
    </row>
    <row r="1106" spans="1:10" x14ac:dyDescent="0.3">
      <c r="A1106" s="27" t="s">
        <v>3906</v>
      </c>
      <c r="B1106" s="27" t="str">
        <f>"30.0101"</f>
        <v>30.0101</v>
      </c>
      <c r="C1106" s="64" t="s">
        <v>3905</v>
      </c>
      <c r="D1106" s="27" t="s">
        <v>2229</v>
      </c>
      <c r="E1106" s="27" t="s">
        <v>2232</v>
      </c>
      <c r="F1106" s="27" t="str">
        <f>"30.0101"</f>
        <v>30.0101</v>
      </c>
      <c r="G1106" s="27" t="s">
        <v>3905</v>
      </c>
      <c r="H1106" s="65" t="str">
        <f t="shared" si="51"/>
        <v>No Change</v>
      </c>
      <c r="I1106" s="65" t="str">
        <f t="shared" si="52"/>
        <v>300101</v>
      </c>
      <c r="J1106" s="65" t="str">
        <f t="shared" si="53"/>
        <v>300101</v>
      </c>
    </row>
    <row r="1107" spans="1:10" x14ac:dyDescent="0.3">
      <c r="A1107" s="27" t="s">
        <v>1869</v>
      </c>
      <c r="B1107" s="27" t="str">
        <f>"30.05"</f>
        <v>30.05</v>
      </c>
      <c r="C1107" s="64" t="s">
        <v>3907</v>
      </c>
      <c r="D1107" s="27" t="s">
        <v>2229</v>
      </c>
      <c r="E1107" s="27" t="s">
        <v>2232</v>
      </c>
      <c r="F1107" s="27" t="str">
        <f>"30.05"</f>
        <v>30.05</v>
      </c>
      <c r="G1107" s="27" t="s">
        <v>3907</v>
      </c>
      <c r="H1107" s="65" t="str">
        <f t="shared" si="51"/>
        <v>No Change</v>
      </c>
      <c r="I1107" s="65" t="str">
        <f t="shared" si="52"/>
        <v/>
      </c>
      <c r="J1107" s="65" t="str">
        <f t="shared" si="53"/>
        <v/>
      </c>
    </row>
    <row r="1108" spans="1:10" x14ac:dyDescent="0.3">
      <c r="A1108" s="27" t="s">
        <v>3908</v>
      </c>
      <c r="B1108" s="27" t="str">
        <f>"30.0501"</f>
        <v>30.0501</v>
      </c>
      <c r="C1108" s="64" t="s">
        <v>3907</v>
      </c>
      <c r="D1108" s="27" t="s">
        <v>2229</v>
      </c>
      <c r="E1108" s="27" t="s">
        <v>2232</v>
      </c>
      <c r="F1108" s="27" t="str">
        <f>"30.0501"</f>
        <v>30.0501</v>
      </c>
      <c r="G1108" s="27" t="s">
        <v>3907</v>
      </c>
      <c r="H1108" s="65" t="str">
        <f t="shared" si="51"/>
        <v>No Change</v>
      </c>
      <c r="I1108" s="65" t="str">
        <f t="shared" si="52"/>
        <v>300501</v>
      </c>
      <c r="J1108" s="65" t="str">
        <f t="shared" si="53"/>
        <v>300501</v>
      </c>
    </row>
    <row r="1109" spans="1:10" x14ac:dyDescent="0.3">
      <c r="A1109" s="27" t="s">
        <v>1869</v>
      </c>
      <c r="B1109" s="27" t="str">
        <f>"30.06"</f>
        <v>30.06</v>
      </c>
      <c r="C1109" s="64" t="s">
        <v>3909</v>
      </c>
      <c r="D1109" s="27" t="s">
        <v>2229</v>
      </c>
      <c r="E1109" s="27" t="s">
        <v>2232</v>
      </c>
      <c r="F1109" s="27" t="str">
        <f>"30.06"</f>
        <v>30.06</v>
      </c>
      <c r="G1109" s="27" t="s">
        <v>3909</v>
      </c>
      <c r="H1109" s="65" t="str">
        <f t="shared" si="51"/>
        <v>No Change</v>
      </c>
      <c r="I1109" s="65" t="str">
        <f t="shared" si="52"/>
        <v/>
      </c>
      <c r="J1109" s="65" t="str">
        <f t="shared" si="53"/>
        <v/>
      </c>
    </row>
    <row r="1110" spans="1:10" x14ac:dyDescent="0.3">
      <c r="A1110" s="27" t="s">
        <v>3910</v>
      </c>
      <c r="B1110" s="27" t="str">
        <f>"30.0601"</f>
        <v>30.0601</v>
      </c>
      <c r="C1110" s="64" t="s">
        <v>3909</v>
      </c>
      <c r="D1110" s="27" t="s">
        <v>2229</v>
      </c>
      <c r="E1110" s="27" t="s">
        <v>2232</v>
      </c>
      <c r="F1110" s="27" t="str">
        <f>"30.0601"</f>
        <v>30.0601</v>
      </c>
      <c r="G1110" s="27" t="s">
        <v>3909</v>
      </c>
      <c r="H1110" s="65" t="str">
        <f t="shared" si="51"/>
        <v>No Change</v>
      </c>
      <c r="I1110" s="65" t="str">
        <f t="shared" si="52"/>
        <v>300601</v>
      </c>
      <c r="J1110" s="65" t="str">
        <f t="shared" si="53"/>
        <v>300601</v>
      </c>
    </row>
    <row r="1111" spans="1:10" x14ac:dyDescent="0.3">
      <c r="A1111" s="27" t="s">
        <v>1869</v>
      </c>
      <c r="B1111" s="27" t="str">
        <f>"30.08"</f>
        <v>30.08</v>
      </c>
      <c r="C1111" s="64" t="s">
        <v>3911</v>
      </c>
      <c r="D1111" s="27" t="s">
        <v>2229</v>
      </c>
      <c r="E1111" s="27" t="s">
        <v>2232</v>
      </c>
      <c r="F1111" s="27" t="str">
        <f>"30.08"</f>
        <v>30.08</v>
      </c>
      <c r="G1111" s="27" t="s">
        <v>3911</v>
      </c>
      <c r="H1111" s="65" t="str">
        <f t="shared" si="51"/>
        <v>No Change</v>
      </c>
      <c r="I1111" s="65" t="str">
        <f t="shared" si="52"/>
        <v/>
      </c>
      <c r="J1111" s="65" t="str">
        <f t="shared" si="53"/>
        <v/>
      </c>
    </row>
    <row r="1112" spans="1:10" x14ac:dyDescent="0.3">
      <c r="A1112" s="27" t="s">
        <v>3912</v>
      </c>
      <c r="B1112" s="27" t="str">
        <f>"30.0801"</f>
        <v>30.0801</v>
      </c>
      <c r="C1112" s="64" t="s">
        <v>3911</v>
      </c>
      <c r="D1112" s="27" t="s">
        <v>2229</v>
      </c>
      <c r="E1112" s="27" t="s">
        <v>2232</v>
      </c>
      <c r="F1112" s="27" t="str">
        <f>"30.0801"</f>
        <v>30.0801</v>
      </c>
      <c r="G1112" s="27" t="s">
        <v>3911</v>
      </c>
      <c r="H1112" s="65" t="str">
        <f t="shared" si="51"/>
        <v>No Change</v>
      </c>
      <c r="I1112" s="65" t="str">
        <f t="shared" si="52"/>
        <v>300801</v>
      </c>
      <c r="J1112" s="65" t="str">
        <f t="shared" si="53"/>
        <v>300801</v>
      </c>
    </row>
    <row r="1113" spans="1:10" x14ac:dyDescent="0.3">
      <c r="A1113" s="27" t="s">
        <v>1869</v>
      </c>
      <c r="B1113" s="27" t="str">
        <f>"30.10"</f>
        <v>30.10</v>
      </c>
      <c r="C1113" s="64" t="s">
        <v>3913</v>
      </c>
      <c r="D1113" s="27" t="s">
        <v>2229</v>
      </c>
      <c r="E1113" s="27" t="s">
        <v>2232</v>
      </c>
      <c r="F1113" s="27" t="str">
        <f>"30.10"</f>
        <v>30.10</v>
      </c>
      <c r="G1113" s="27" t="s">
        <v>3913</v>
      </c>
      <c r="H1113" s="65" t="str">
        <f t="shared" si="51"/>
        <v>No Change</v>
      </c>
      <c r="I1113" s="65" t="str">
        <f t="shared" si="52"/>
        <v/>
      </c>
      <c r="J1113" s="65" t="str">
        <f t="shared" si="53"/>
        <v/>
      </c>
    </row>
    <row r="1114" spans="1:10" x14ac:dyDescent="0.3">
      <c r="A1114" s="27" t="s">
        <v>3914</v>
      </c>
      <c r="B1114" s="27" t="str">
        <f>"30.1001"</f>
        <v>30.1001</v>
      </c>
      <c r="C1114" s="64" t="s">
        <v>3913</v>
      </c>
      <c r="D1114" s="27" t="s">
        <v>2229</v>
      </c>
      <c r="E1114" s="27" t="s">
        <v>2232</v>
      </c>
      <c r="F1114" s="27" t="str">
        <f>"30.1001"</f>
        <v>30.1001</v>
      </c>
      <c r="G1114" s="27" t="s">
        <v>3913</v>
      </c>
      <c r="H1114" s="65" t="str">
        <f t="shared" si="51"/>
        <v>No Change</v>
      </c>
      <c r="I1114" s="65" t="str">
        <f t="shared" si="52"/>
        <v>301001</v>
      </c>
      <c r="J1114" s="65" t="str">
        <f t="shared" si="53"/>
        <v>301001</v>
      </c>
    </row>
    <row r="1115" spans="1:10" x14ac:dyDescent="0.3">
      <c r="A1115" s="27" t="s">
        <v>1869</v>
      </c>
      <c r="B1115" s="27" t="str">
        <f>"30.11"</f>
        <v>30.11</v>
      </c>
      <c r="C1115" s="64" t="s">
        <v>3915</v>
      </c>
      <c r="D1115" s="27" t="s">
        <v>2229</v>
      </c>
      <c r="E1115" s="27" t="s">
        <v>2232</v>
      </c>
      <c r="F1115" s="27" t="str">
        <f>"30.11"</f>
        <v>30.11</v>
      </c>
      <c r="G1115" s="27" t="s">
        <v>3915</v>
      </c>
      <c r="H1115" s="65" t="str">
        <f t="shared" si="51"/>
        <v>No Change</v>
      </c>
      <c r="I1115" s="65" t="str">
        <f t="shared" si="52"/>
        <v/>
      </c>
      <c r="J1115" s="65" t="str">
        <f t="shared" si="53"/>
        <v/>
      </c>
    </row>
    <row r="1116" spans="1:10" x14ac:dyDescent="0.3">
      <c r="A1116" s="27" t="s">
        <v>3916</v>
      </c>
      <c r="B1116" s="27" t="str">
        <f>"30.1101"</f>
        <v>30.1101</v>
      </c>
      <c r="C1116" s="64" t="s">
        <v>3915</v>
      </c>
      <c r="D1116" s="27" t="s">
        <v>2229</v>
      </c>
      <c r="E1116" s="27" t="s">
        <v>2232</v>
      </c>
      <c r="F1116" s="27" t="str">
        <f>"30.1101"</f>
        <v>30.1101</v>
      </c>
      <c r="G1116" s="27" t="s">
        <v>3915</v>
      </c>
      <c r="H1116" s="65" t="str">
        <f t="shared" si="51"/>
        <v>No Change</v>
      </c>
      <c r="I1116" s="65" t="str">
        <f t="shared" si="52"/>
        <v>301101</v>
      </c>
      <c r="J1116" s="65" t="str">
        <f t="shared" si="53"/>
        <v>301101</v>
      </c>
    </row>
    <row r="1117" spans="1:10" x14ac:dyDescent="0.3">
      <c r="A1117" s="27" t="s">
        <v>1869</v>
      </c>
      <c r="B1117" s="27" t="str">
        <f>"30.12"</f>
        <v>30.12</v>
      </c>
      <c r="C1117" s="64" t="s">
        <v>3917</v>
      </c>
      <c r="D1117" s="27" t="s">
        <v>2229</v>
      </c>
      <c r="E1117" s="27" t="s">
        <v>2232</v>
      </c>
      <c r="F1117" s="27" t="str">
        <f>"30.12"</f>
        <v>30.12</v>
      </c>
      <c r="G1117" s="27" t="s">
        <v>3917</v>
      </c>
      <c r="H1117" s="65" t="str">
        <f t="shared" si="51"/>
        <v>No Change</v>
      </c>
      <c r="I1117" s="65" t="str">
        <f t="shared" si="52"/>
        <v/>
      </c>
      <c r="J1117" s="65" t="str">
        <f t="shared" si="53"/>
        <v/>
      </c>
    </row>
    <row r="1118" spans="1:10" x14ac:dyDescent="0.3">
      <c r="A1118" s="27" t="s">
        <v>3918</v>
      </c>
      <c r="B1118" s="27" t="str">
        <f>"30.1201"</f>
        <v>30.1201</v>
      </c>
      <c r="C1118" s="64" t="s">
        <v>3917</v>
      </c>
      <c r="D1118" s="27" t="s">
        <v>2229</v>
      </c>
      <c r="E1118" s="27" t="s">
        <v>2230</v>
      </c>
      <c r="F1118" s="27" t="str">
        <f>"30.1201"</f>
        <v>30.1201</v>
      </c>
      <c r="G1118" s="27" t="s">
        <v>3919</v>
      </c>
      <c r="H1118" s="65" t="str">
        <f t="shared" si="51"/>
        <v>No Change</v>
      </c>
      <c r="I1118" s="65" t="str">
        <f t="shared" si="52"/>
        <v>301201</v>
      </c>
      <c r="J1118" s="65" t="str">
        <f t="shared" si="53"/>
        <v>301201</v>
      </c>
    </row>
    <row r="1119" spans="1:10" x14ac:dyDescent="0.3">
      <c r="A1119" s="27" t="s">
        <v>3920</v>
      </c>
      <c r="B1119" s="27" t="str">
        <f>"30.1202"</f>
        <v>30.1202</v>
      </c>
      <c r="C1119" s="64" t="s">
        <v>3921</v>
      </c>
      <c r="D1119" s="27" t="s">
        <v>2229</v>
      </c>
      <c r="E1119" s="27" t="s">
        <v>2232</v>
      </c>
      <c r="F1119" s="27" t="str">
        <f>"30.1202"</f>
        <v>30.1202</v>
      </c>
      <c r="G1119" s="27" t="s">
        <v>3921</v>
      </c>
      <c r="H1119" s="65" t="str">
        <f t="shared" si="51"/>
        <v>No Change</v>
      </c>
      <c r="I1119" s="65" t="str">
        <f t="shared" si="52"/>
        <v>301202</v>
      </c>
      <c r="J1119" s="65" t="str">
        <f t="shared" si="53"/>
        <v>301202</v>
      </c>
    </row>
    <row r="1120" spans="1:10" x14ac:dyDescent="0.3">
      <c r="A1120" s="27" t="s">
        <v>3922</v>
      </c>
      <c r="B1120" s="27" t="str">
        <f>"30.1299"</f>
        <v>30.1299</v>
      </c>
      <c r="C1120" s="64" t="s">
        <v>3923</v>
      </c>
      <c r="D1120" s="27" t="s">
        <v>2229</v>
      </c>
      <c r="E1120" s="27" t="s">
        <v>2232</v>
      </c>
      <c r="F1120" s="27" t="str">
        <f>"30.1299"</f>
        <v>30.1299</v>
      </c>
      <c r="G1120" s="27" t="s">
        <v>3923</v>
      </c>
      <c r="H1120" s="65" t="str">
        <f t="shared" si="51"/>
        <v>No Change</v>
      </c>
      <c r="I1120" s="65" t="str">
        <f t="shared" si="52"/>
        <v>301299</v>
      </c>
      <c r="J1120" s="65" t="str">
        <f t="shared" si="53"/>
        <v>301299</v>
      </c>
    </row>
    <row r="1121" spans="1:10" x14ac:dyDescent="0.3">
      <c r="A1121" s="27" t="s">
        <v>1869</v>
      </c>
      <c r="B1121" s="27" t="str">
        <f>"30.13"</f>
        <v>30.13</v>
      </c>
      <c r="C1121" s="64" t="s">
        <v>3924</v>
      </c>
      <c r="D1121" s="27" t="s">
        <v>2229</v>
      </c>
      <c r="E1121" s="27" t="s">
        <v>2232</v>
      </c>
      <c r="F1121" s="27" t="str">
        <f>"30.13"</f>
        <v>30.13</v>
      </c>
      <c r="G1121" s="27" t="s">
        <v>3924</v>
      </c>
      <c r="H1121" s="65" t="str">
        <f t="shared" si="51"/>
        <v>No Change</v>
      </c>
      <c r="I1121" s="65" t="str">
        <f t="shared" si="52"/>
        <v/>
      </c>
      <c r="J1121" s="65" t="str">
        <f t="shared" si="53"/>
        <v/>
      </c>
    </row>
    <row r="1122" spans="1:10" x14ac:dyDescent="0.3">
      <c r="A1122" s="27" t="s">
        <v>3925</v>
      </c>
      <c r="B1122" s="27" t="str">
        <f>"30.1301"</f>
        <v>30.1301</v>
      </c>
      <c r="C1122" s="64" t="s">
        <v>3924</v>
      </c>
      <c r="D1122" s="27" t="s">
        <v>2229</v>
      </c>
      <c r="E1122" s="27" t="s">
        <v>2232</v>
      </c>
      <c r="F1122" s="27" t="str">
        <f>"30.1301"</f>
        <v>30.1301</v>
      </c>
      <c r="G1122" s="27" t="s">
        <v>3924</v>
      </c>
      <c r="H1122" s="65" t="str">
        <f t="shared" si="51"/>
        <v>No Change</v>
      </c>
      <c r="I1122" s="65" t="str">
        <f t="shared" si="52"/>
        <v>301301</v>
      </c>
      <c r="J1122" s="65" t="str">
        <f t="shared" si="53"/>
        <v>301301</v>
      </c>
    </row>
    <row r="1123" spans="1:10" x14ac:dyDescent="0.3">
      <c r="A1123" s="27" t="s">
        <v>1869</v>
      </c>
      <c r="B1123" s="27" t="str">
        <f>"30.14"</f>
        <v>30.14</v>
      </c>
      <c r="C1123" s="64" t="s">
        <v>3926</v>
      </c>
      <c r="D1123" s="27" t="s">
        <v>2229</v>
      </c>
      <c r="E1123" s="27" t="s">
        <v>2232</v>
      </c>
      <c r="F1123" s="27" t="str">
        <f>"30.14"</f>
        <v>30.14</v>
      </c>
      <c r="G1123" s="27" t="s">
        <v>3926</v>
      </c>
      <c r="H1123" s="65" t="str">
        <f t="shared" si="51"/>
        <v>No Change</v>
      </c>
      <c r="I1123" s="65" t="str">
        <f t="shared" si="52"/>
        <v/>
      </c>
      <c r="J1123" s="65" t="str">
        <f t="shared" si="53"/>
        <v/>
      </c>
    </row>
    <row r="1124" spans="1:10" x14ac:dyDescent="0.3">
      <c r="A1124" s="27" t="s">
        <v>3927</v>
      </c>
      <c r="B1124" s="27" t="str">
        <f>"30.1401"</f>
        <v>30.1401</v>
      </c>
      <c r="C1124" s="64" t="s">
        <v>3926</v>
      </c>
      <c r="D1124" s="27" t="s">
        <v>2229</v>
      </c>
      <c r="E1124" s="27" t="s">
        <v>2232</v>
      </c>
      <c r="F1124" s="27" t="str">
        <f>"30.1401"</f>
        <v>30.1401</v>
      </c>
      <c r="G1124" s="27" t="s">
        <v>3926</v>
      </c>
      <c r="H1124" s="65" t="str">
        <f t="shared" si="51"/>
        <v>No Change</v>
      </c>
      <c r="I1124" s="65" t="str">
        <f t="shared" si="52"/>
        <v>301401</v>
      </c>
      <c r="J1124" s="65" t="str">
        <f t="shared" si="53"/>
        <v>301401</v>
      </c>
    </row>
    <row r="1125" spans="1:10" x14ac:dyDescent="0.3">
      <c r="A1125" s="27" t="s">
        <v>1869</v>
      </c>
      <c r="B1125" s="27" t="str">
        <f>"30.15"</f>
        <v>30.15</v>
      </c>
      <c r="C1125" s="64" t="s">
        <v>3928</v>
      </c>
      <c r="D1125" s="27" t="s">
        <v>2229</v>
      </c>
      <c r="E1125" s="27" t="s">
        <v>2232</v>
      </c>
      <c r="F1125" s="27" t="str">
        <f>"30.15"</f>
        <v>30.15</v>
      </c>
      <c r="G1125" s="27" t="s">
        <v>3928</v>
      </c>
      <c r="H1125" s="65" t="str">
        <f t="shared" si="51"/>
        <v>No Change</v>
      </c>
      <c r="I1125" s="65" t="str">
        <f t="shared" si="52"/>
        <v/>
      </c>
      <c r="J1125" s="65" t="str">
        <f t="shared" si="53"/>
        <v/>
      </c>
    </row>
    <row r="1126" spans="1:10" x14ac:dyDescent="0.3">
      <c r="A1126" s="27" t="s">
        <v>3929</v>
      </c>
      <c r="B1126" s="27" t="str">
        <f>"30.1501"</f>
        <v>30.1501</v>
      </c>
      <c r="C1126" s="64" t="s">
        <v>3928</v>
      </c>
      <c r="D1126" s="27" t="s">
        <v>2229</v>
      </c>
      <c r="E1126" s="27" t="s">
        <v>2232</v>
      </c>
      <c r="F1126" s="27" t="str">
        <f>"30.1501"</f>
        <v>30.1501</v>
      </c>
      <c r="G1126" s="27" t="s">
        <v>3928</v>
      </c>
      <c r="H1126" s="65" t="str">
        <f t="shared" si="51"/>
        <v>No Change</v>
      </c>
      <c r="I1126" s="65" t="str">
        <f t="shared" si="52"/>
        <v>301501</v>
      </c>
      <c r="J1126" s="65" t="str">
        <f t="shared" si="53"/>
        <v>301501</v>
      </c>
    </row>
    <row r="1127" spans="1:10" x14ac:dyDescent="0.3">
      <c r="A1127" s="27" t="s">
        <v>1869</v>
      </c>
      <c r="B1127" s="27" t="str">
        <f>"30.16"</f>
        <v>30.16</v>
      </c>
      <c r="C1127" s="64" t="s">
        <v>3930</v>
      </c>
      <c r="D1127" s="27" t="s">
        <v>2229</v>
      </c>
      <c r="E1127" s="27" t="s">
        <v>2232</v>
      </c>
      <c r="F1127" s="27" t="str">
        <f>"30.16"</f>
        <v>30.16</v>
      </c>
      <c r="G1127" s="27" t="s">
        <v>3930</v>
      </c>
      <c r="H1127" s="65" t="str">
        <f t="shared" si="51"/>
        <v>No Change</v>
      </c>
      <c r="I1127" s="65" t="str">
        <f t="shared" si="52"/>
        <v/>
      </c>
      <c r="J1127" s="65" t="str">
        <f t="shared" si="53"/>
        <v/>
      </c>
    </row>
    <row r="1128" spans="1:10" x14ac:dyDescent="0.3">
      <c r="A1128" s="27" t="s">
        <v>3931</v>
      </c>
      <c r="B1128" s="27" t="str">
        <f>"30.1601"</f>
        <v>30.1601</v>
      </c>
      <c r="C1128" s="64" t="s">
        <v>3930</v>
      </c>
      <c r="D1128" s="27" t="s">
        <v>2229</v>
      </c>
      <c r="E1128" s="27" t="s">
        <v>2232</v>
      </c>
      <c r="F1128" s="27" t="str">
        <f>"30.1601"</f>
        <v>30.1601</v>
      </c>
      <c r="G1128" s="27" t="s">
        <v>3930</v>
      </c>
      <c r="H1128" s="65" t="str">
        <f t="shared" si="51"/>
        <v>No Change</v>
      </c>
      <c r="I1128" s="65" t="str">
        <f t="shared" si="52"/>
        <v>301601</v>
      </c>
      <c r="J1128" s="65" t="str">
        <f t="shared" si="53"/>
        <v>301601</v>
      </c>
    </row>
    <row r="1129" spans="1:10" x14ac:dyDescent="0.3">
      <c r="A1129" s="27" t="s">
        <v>1869</v>
      </c>
      <c r="B1129" s="27" t="str">
        <f>"30.17"</f>
        <v>30.17</v>
      </c>
      <c r="C1129" s="64" t="s">
        <v>3932</v>
      </c>
      <c r="D1129" s="27" t="s">
        <v>2229</v>
      </c>
      <c r="E1129" s="27" t="s">
        <v>2232</v>
      </c>
      <c r="F1129" s="27" t="str">
        <f>"30.17"</f>
        <v>30.17</v>
      </c>
      <c r="G1129" s="27" t="s">
        <v>3932</v>
      </c>
      <c r="H1129" s="65" t="str">
        <f t="shared" si="51"/>
        <v>No Change</v>
      </c>
      <c r="I1129" s="65" t="str">
        <f t="shared" si="52"/>
        <v/>
      </c>
      <c r="J1129" s="65" t="str">
        <f t="shared" si="53"/>
        <v/>
      </c>
    </row>
    <row r="1130" spans="1:10" x14ac:dyDescent="0.3">
      <c r="A1130" s="27" t="s">
        <v>3933</v>
      </c>
      <c r="B1130" s="27" t="str">
        <f>"30.1701"</f>
        <v>30.1701</v>
      </c>
      <c r="C1130" s="64" t="s">
        <v>3932</v>
      </c>
      <c r="D1130" s="27" t="s">
        <v>2229</v>
      </c>
      <c r="E1130" s="27" t="s">
        <v>2232</v>
      </c>
      <c r="F1130" s="27" t="str">
        <f>"30.1701"</f>
        <v>30.1701</v>
      </c>
      <c r="G1130" s="27" t="s">
        <v>3932</v>
      </c>
      <c r="H1130" s="65" t="str">
        <f t="shared" si="51"/>
        <v>No Change</v>
      </c>
      <c r="I1130" s="65" t="str">
        <f t="shared" si="52"/>
        <v>301701</v>
      </c>
      <c r="J1130" s="65" t="str">
        <f t="shared" si="53"/>
        <v>301701</v>
      </c>
    </row>
    <row r="1131" spans="1:10" x14ac:dyDescent="0.3">
      <c r="A1131" s="27" t="s">
        <v>1869</v>
      </c>
      <c r="B1131" s="27" t="str">
        <f>"30.18"</f>
        <v>30.18</v>
      </c>
      <c r="C1131" s="64" t="s">
        <v>3934</v>
      </c>
      <c r="D1131" s="27" t="s">
        <v>2229</v>
      </c>
      <c r="E1131" s="27" t="s">
        <v>2232</v>
      </c>
      <c r="F1131" s="27" t="str">
        <f>"30.18"</f>
        <v>30.18</v>
      </c>
      <c r="G1131" s="27" t="s">
        <v>3934</v>
      </c>
      <c r="H1131" s="65" t="str">
        <f t="shared" si="51"/>
        <v>No Change</v>
      </c>
      <c r="I1131" s="65" t="str">
        <f t="shared" si="52"/>
        <v/>
      </c>
      <c r="J1131" s="65" t="str">
        <f t="shared" si="53"/>
        <v/>
      </c>
    </row>
    <row r="1132" spans="1:10" x14ac:dyDescent="0.3">
      <c r="A1132" s="27" t="s">
        <v>3935</v>
      </c>
      <c r="B1132" s="27" t="str">
        <f>"30.1801"</f>
        <v>30.1801</v>
      </c>
      <c r="C1132" s="64" t="s">
        <v>3934</v>
      </c>
      <c r="D1132" s="27" t="s">
        <v>2229</v>
      </c>
      <c r="E1132" s="27" t="s">
        <v>2232</v>
      </c>
      <c r="F1132" s="27" t="str">
        <f>"30.1801"</f>
        <v>30.1801</v>
      </c>
      <c r="G1132" s="27" t="s">
        <v>3934</v>
      </c>
      <c r="H1132" s="65" t="str">
        <f t="shared" si="51"/>
        <v>No Change</v>
      </c>
      <c r="I1132" s="65" t="str">
        <f t="shared" si="52"/>
        <v>301801</v>
      </c>
      <c r="J1132" s="65" t="str">
        <f t="shared" si="53"/>
        <v>301801</v>
      </c>
    </row>
    <row r="1133" spans="1:10" x14ac:dyDescent="0.3">
      <c r="A1133" s="27" t="s">
        <v>1869</v>
      </c>
      <c r="B1133" s="27" t="str">
        <f>"30.19"</f>
        <v>30.19</v>
      </c>
      <c r="C1133" s="64" t="s">
        <v>3936</v>
      </c>
      <c r="D1133" s="27" t="s">
        <v>2229</v>
      </c>
      <c r="E1133" s="27" t="s">
        <v>2232</v>
      </c>
      <c r="F1133" s="27" t="str">
        <f>"30.19"</f>
        <v>30.19</v>
      </c>
      <c r="G1133" s="27" t="s">
        <v>3936</v>
      </c>
      <c r="H1133" s="65" t="str">
        <f t="shared" si="51"/>
        <v>No Change</v>
      </c>
      <c r="I1133" s="65" t="str">
        <f t="shared" si="52"/>
        <v/>
      </c>
      <c r="J1133" s="65" t="str">
        <f t="shared" si="53"/>
        <v/>
      </c>
    </row>
    <row r="1134" spans="1:10" x14ac:dyDescent="0.3">
      <c r="A1134" s="27" t="s">
        <v>3937</v>
      </c>
      <c r="B1134" s="27" t="str">
        <f>"30.1901"</f>
        <v>30.1901</v>
      </c>
      <c r="C1134" s="64" t="s">
        <v>3936</v>
      </c>
      <c r="D1134" s="27" t="s">
        <v>2229</v>
      </c>
      <c r="E1134" s="27" t="s">
        <v>2232</v>
      </c>
      <c r="F1134" s="27" t="str">
        <f>"30.1901"</f>
        <v>30.1901</v>
      </c>
      <c r="G1134" s="27" t="s">
        <v>3936</v>
      </c>
      <c r="H1134" s="65" t="str">
        <f t="shared" si="51"/>
        <v>No Change</v>
      </c>
      <c r="I1134" s="65" t="str">
        <f t="shared" si="52"/>
        <v>301901</v>
      </c>
      <c r="J1134" s="65" t="str">
        <f t="shared" si="53"/>
        <v>301901</v>
      </c>
    </row>
    <row r="1135" spans="1:10" x14ac:dyDescent="0.3">
      <c r="A1135" s="27" t="s">
        <v>1869</v>
      </c>
      <c r="B1135" s="27" t="str">
        <f>"30.20"</f>
        <v>30.20</v>
      </c>
      <c r="C1135" s="64" t="s">
        <v>3938</v>
      </c>
      <c r="D1135" s="27" t="s">
        <v>2229</v>
      </c>
      <c r="E1135" s="27" t="s">
        <v>2230</v>
      </c>
      <c r="F1135" s="27" t="str">
        <f>"30.20"</f>
        <v>30.20</v>
      </c>
      <c r="G1135" s="27" t="s">
        <v>3939</v>
      </c>
      <c r="H1135" s="65" t="str">
        <f t="shared" si="51"/>
        <v>No Change</v>
      </c>
      <c r="I1135" s="65" t="str">
        <f t="shared" si="52"/>
        <v/>
      </c>
      <c r="J1135" s="65" t="str">
        <f t="shared" si="53"/>
        <v/>
      </c>
    </row>
    <row r="1136" spans="1:10" x14ac:dyDescent="0.3">
      <c r="A1136" s="27" t="s">
        <v>3940</v>
      </c>
      <c r="B1136" s="27" t="str">
        <f>"30.2001"</f>
        <v>30.2001</v>
      </c>
      <c r="C1136" s="64" t="s">
        <v>3938</v>
      </c>
      <c r="D1136" s="27" t="s">
        <v>2229</v>
      </c>
      <c r="E1136" s="27" t="s">
        <v>2230</v>
      </c>
      <c r="F1136" s="27" t="str">
        <f>"30.2001"</f>
        <v>30.2001</v>
      </c>
      <c r="G1136" s="27" t="s">
        <v>3939</v>
      </c>
      <c r="H1136" s="65" t="str">
        <f t="shared" si="51"/>
        <v>No Change</v>
      </c>
      <c r="I1136" s="65" t="str">
        <f t="shared" si="52"/>
        <v>302001</v>
      </c>
      <c r="J1136" s="65" t="str">
        <f t="shared" si="53"/>
        <v>302001</v>
      </c>
    </row>
    <row r="1137" spans="1:10" x14ac:dyDescent="0.3">
      <c r="A1137" s="27" t="s">
        <v>1869</v>
      </c>
      <c r="B1137" s="27" t="str">
        <f>"30.21"</f>
        <v>30.21</v>
      </c>
      <c r="C1137" s="64" t="s">
        <v>3941</v>
      </c>
      <c r="D1137" s="27" t="s">
        <v>2229</v>
      </c>
      <c r="E1137" s="27" t="s">
        <v>2232</v>
      </c>
      <c r="F1137" s="27" t="str">
        <f>"30.21"</f>
        <v>30.21</v>
      </c>
      <c r="G1137" s="27" t="s">
        <v>3941</v>
      </c>
      <c r="H1137" s="65" t="str">
        <f t="shared" si="51"/>
        <v>No Change</v>
      </c>
      <c r="I1137" s="65" t="str">
        <f t="shared" si="52"/>
        <v/>
      </c>
      <c r="J1137" s="65" t="str">
        <f t="shared" si="53"/>
        <v/>
      </c>
    </row>
    <row r="1138" spans="1:10" x14ac:dyDescent="0.3">
      <c r="A1138" s="27" t="s">
        <v>3942</v>
      </c>
      <c r="B1138" s="27" t="str">
        <f>"30.2101"</f>
        <v>30.2101</v>
      </c>
      <c r="C1138" s="64" t="s">
        <v>3941</v>
      </c>
      <c r="D1138" s="27" t="s">
        <v>2229</v>
      </c>
      <c r="E1138" s="27" t="s">
        <v>2232</v>
      </c>
      <c r="F1138" s="27" t="str">
        <f>"30.2101"</f>
        <v>30.2101</v>
      </c>
      <c r="G1138" s="27" t="s">
        <v>3941</v>
      </c>
      <c r="H1138" s="65" t="str">
        <f t="shared" si="51"/>
        <v>No Change</v>
      </c>
      <c r="I1138" s="65" t="str">
        <f t="shared" si="52"/>
        <v>302101</v>
      </c>
      <c r="J1138" s="65" t="str">
        <f t="shared" si="53"/>
        <v>302101</v>
      </c>
    </row>
    <row r="1139" spans="1:10" x14ac:dyDescent="0.3">
      <c r="A1139" s="27" t="s">
        <v>1869</v>
      </c>
      <c r="B1139" s="27" t="str">
        <f>"30.22"</f>
        <v>30.22</v>
      </c>
      <c r="C1139" s="64" t="s">
        <v>3943</v>
      </c>
      <c r="D1139" s="27" t="s">
        <v>2229</v>
      </c>
      <c r="E1139" s="27" t="s">
        <v>2232</v>
      </c>
      <c r="F1139" s="27" t="str">
        <f>"30.22"</f>
        <v>30.22</v>
      </c>
      <c r="G1139" s="27" t="s">
        <v>3943</v>
      </c>
      <c r="H1139" s="65" t="str">
        <f t="shared" si="51"/>
        <v>No Change</v>
      </c>
      <c r="I1139" s="65" t="str">
        <f t="shared" si="52"/>
        <v/>
      </c>
      <c r="J1139" s="65" t="str">
        <f t="shared" si="53"/>
        <v/>
      </c>
    </row>
    <row r="1140" spans="1:10" x14ac:dyDescent="0.3">
      <c r="A1140" s="27" t="s">
        <v>3944</v>
      </c>
      <c r="B1140" s="27" t="str">
        <f>"30.2201"</f>
        <v>30.2201</v>
      </c>
      <c r="C1140" s="64" t="s">
        <v>3945</v>
      </c>
      <c r="D1140" s="27" t="s">
        <v>2229</v>
      </c>
      <c r="E1140" s="27" t="s">
        <v>2232</v>
      </c>
      <c r="F1140" s="27" t="str">
        <f>"30.2201"</f>
        <v>30.2201</v>
      </c>
      <c r="G1140" s="27" t="s">
        <v>3945</v>
      </c>
      <c r="H1140" s="65" t="str">
        <f t="shared" si="51"/>
        <v>No Change</v>
      </c>
      <c r="I1140" s="65" t="str">
        <f t="shared" si="52"/>
        <v>302201</v>
      </c>
      <c r="J1140" s="65" t="str">
        <f t="shared" si="53"/>
        <v>302201</v>
      </c>
    </row>
    <row r="1141" spans="1:10" ht="28.8" x14ac:dyDescent="0.3">
      <c r="A1141" s="27" t="s">
        <v>3946</v>
      </c>
      <c r="B1141" s="27" t="str">
        <f>"30.2202"</f>
        <v>30.2202</v>
      </c>
      <c r="C1141" s="64" t="s">
        <v>3947</v>
      </c>
      <c r="D1141" s="27" t="s">
        <v>2229</v>
      </c>
      <c r="E1141" s="27" t="s">
        <v>2230</v>
      </c>
      <c r="F1141" s="27" t="str">
        <f>"30.2202"</f>
        <v>30.2202</v>
      </c>
      <c r="G1141" s="27" t="s">
        <v>3948</v>
      </c>
      <c r="H1141" s="65" t="str">
        <f t="shared" si="51"/>
        <v>No Change</v>
      </c>
      <c r="I1141" s="65" t="str">
        <f t="shared" si="52"/>
        <v>302202</v>
      </c>
      <c r="J1141" s="65" t="str">
        <f t="shared" si="53"/>
        <v>302202</v>
      </c>
    </row>
    <row r="1142" spans="1:10" x14ac:dyDescent="0.3">
      <c r="A1142" s="27" t="s">
        <v>1869</v>
      </c>
      <c r="B1142" s="27" t="str">
        <f>"30.23"</f>
        <v>30.23</v>
      </c>
      <c r="C1142" s="64" t="s">
        <v>3949</v>
      </c>
      <c r="D1142" s="27" t="s">
        <v>2229</v>
      </c>
      <c r="E1142" s="27" t="s">
        <v>2232</v>
      </c>
      <c r="F1142" s="27" t="str">
        <f>"30.23"</f>
        <v>30.23</v>
      </c>
      <c r="G1142" s="27" t="s">
        <v>3949</v>
      </c>
      <c r="H1142" s="65" t="str">
        <f t="shared" si="51"/>
        <v>No Change</v>
      </c>
      <c r="I1142" s="65" t="str">
        <f t="shared" si="52"/>
        <v/>
      </c>
      <c r="J1142" s="65" t="str">
        <f t="shared" si="53"/>
        <v/>
      </c>
    </row>
    <row r="1143" spans="1:10" x14ac:dyDescent="0.3">
      <c r="A1143" s="27" t="s">
        <v>3950</v>
      </c>
      <c r="B1143" s="27" t="str">
        <f>"30.2301"</f>
        <v>30.2301</v>
      </c>
      <c r="C1143" s="64" t="s">
        <v>3949</v>
      </c>
      <c r="D1143" s="27" t="s">
        <v>2229</v>
      </c>
      <c r="E1143" s="27" t="s">
        <v>2232</v>
      </c>
      <c r="F1143" s="27" t="str">
        <f>"30.2301"</f>
        <v>30.2301</v>
      </c>
      <c r="G1143" s="27" t="s">
        <v>3949</v>
      </c>
      <c r="H1143" s="65" t="str">
        <f t="shared" si="51"/>
        <v>No Change</v>
      </c>
      <c r="I1143" s="65" t="str">
        <f t="shared" si="52"/>
        <v>302301</v>
      </c>
      <c r="J1143" s="65" t="str">
        <f t="shared" si="53"/>
        <v>302301</v>
      </c>
    </row>
    <row r="1144" spans="1:10" x14ac:dyDescent="0.3">
      <c r="A1144" s="27" t="s">
        <v>1869</v>
      </c>
      <c r="B1144" s="27" t="str">
        <f>"30.25"</f>
        <v>30.25</v>
      </c>
      <c r="C1144" s="64" t="s">
        <v>3951</v>
      </c>
      <c r="D1144" s="27" t="s">
        <v>2229</v>
      </c>
      <c r="E1144" s="27" t="s">
        <v>2232</v>
      </c>
      <c r="F1144" s="27" t="str">
        <f>"30.25"</f>
        <v>30.25</v>
      </c>
      <c r="G1144" s="27" t="s">
        <v>3951</v>
      </c>
      <c r="H1144" s="65" t="str">
        <f t="shared" si="51"/>
        <v>No Change</v>
      </c>
      <c r="I1144" s="65" t="str">
        <f t="shared" si="52"/>
        <v/>
      </c>
      <c r="J1144" s="65" t="str">
        <f t="shared" si="53"/>
        <v/>
      </c>
    </row>
    <row r="1145" spans="1:10" x14ac:dyDescent="0.3">
      <c r="A1145" s="27" t="s">
        <v>3952</v>
      </c>
      <c r="B1145" s="27" t="str">
        <f>"30.2501"</f>
        <v>30.2501</v>
      </c>
      <c r="C1145" s="64" t="s">
        <v>3951</v>
      </c>
      <c r="D1145" s="27" t="s">
        <v>2229</v>
      </c>
      <c r="E1145" s="27" t="s">
        <v>2230</v>
      </c>
      <c r="F1145" s="27" t="str">
        <f>"30.2501"</f>
        <v>30.2501</v>
      </c>
      <c r="G1145" s="27" t="s">
        <v>3953</v>
      </c>
      <c r="H1145" s="65" t="str">
        <f t="shared" si="51"/>
        <v>No Change</v>
      </c>
      <c r="I1145" s="65" t="str">
        <f t="shared" si="52"/>
        <v>302501</v>
      </c>
      <c r="J1145" s="65" t="str">
        <f t="shared" si="53"/>
        <v>302501</v>
      </c>
    </row>
    <row r="1146" spans="1:10" x14ac:dyDescent="0.3">
      <c r="A1146" s="27" t="s">
        <v>1869</v>
      </c>
      <c r="D1146" s="27" t="s">
        <v>2255</v>
      </c>
      <c r="E1146" s="27" t="s">
        <v>2232</v>
      </c>
      <c r="F1146" s="27" t="str">
        <f>"30.2502"</f>
        <v>30.2502</v>
      </c>
      <c r="G1146" s="27" t="s">
        <v>3954</v>
      </c>
      <c r="H1146" s="65" t="str">
        <f t="shared" si="51"/>
        <v>Other</v>
      </c>
      <c r="I1146" s="65" t="str">
        <f t="shared" si="52"/>
        <v/>
      </c>
      <c r="J1146" s="65" t="str">
        <f t="shared" si="53"/>
        <v>302502</v>
      </c>
    </row>
    <row r="1147" spans="1:10" x14ac:dyDescent="0.3">
      <c r="A1147" s="27" t="s">
        <v>1869</v>
      </c>
      <c r="D1147" s="27" t="s">
        <v>2255</v>
      </c>
      <c r="E1147" s="27" t="s">
        <v>2232</v>
      </c>
      <c r="F1147" s="27" t="str">
        <f>"30.2599"</f>
        <v>30.2599</v>
      </c>
      <c r="G1147" s="27" t="s">
        <v>3955</v>
      </c>
      <c r="H1147" s="65" t="str">
        <f t="shared" si="51"/>
        <v>Other</v>
      </c>
      <c r="I1147" s="65" t="str">
        <f t="shared" si="52"/>
        <v/>
      </c>
      <c r="J1147" s="65" t="str">
        <f t="shared" si="53"/>
        <v>302599</v>
      </c>
    </row>
    <row r="1148" spans="1:10" x14ac:dyDescent="0.3">
      <c r="A1148" s="27" t="s">
        <v>1869</v>
      </c>
      <c r="B1148" s="27" t="str">
        <f>"30.26"</f>
        <v>30.26</v>
      </c>
      <c r="C1148" s="64" t="s">
        <v>3956</v>
      </c>
      <c r="D1148" s="27" t="s">
        <v>2229</v>
      </c>
      <c r="E1148" s="27" t="s">
        <v>2232</v>
      </c>
      <c r="F1148" s="27" t="str">
        <f>"30.26"</f>
        <v>30.26</v>
      </c>
      <c r="G1148" s="27" t="s">
        <v>3956</v>
      </c>
      <c r="H1148" s="65" t="str">
        <f t="shared" si="51"/>
        <v>No Change</v>
      </c>
      <c r="I1148" s="65" t="str">
        <f t="shared" si="52"/>
        <v/>
      </c>
      <c r="J1148" s="65" t="str">
        <f t="shared" si="53"/>
        <v/>
      </c>
    </row>
    <row r="1149" spans="1:10" x14ac:dyDescent="0.3">
      <c r="A1149" s="27" t="s">
        <v>3957</v>
      </c>
      <c r="B1149" s="27" t="str">
        <f>"30.2601"</f>
        <v>30.2601</v>
      </c>
      <c r="C1149" s="64" t="s">
        <v>3956</v>
      </c>
      <c r="D1149" s="27" t="s">
        <v>2229</v>
      </c>
      <c r="E1149" s="27" t="s">
        <v>2232</v>
      </c>
      <c r="F1149" s="27" t="str">
        <f>"30.2601"</f>
        <v>30.2601</v>
      </c>
      <c r="G1149" s="27" t="s">
        <v>3956</v>
      </c>
      <c r="H1149" s="65" t="str">
        <f t="shared" si="51"/>
        <v>No Change</v>
      </c>
      <c r="I1149" s="65" t="str">
        <f t="shared" si="52"/>
        <v>302601</v>
      </c>
      <c r="J1149" s="65" t="str">
        <f t="shared" si="53"/>
        <v>302601</v>
      </c>
    </row>
    <row r="1150" spans="1:10" x14ac:dyDescent="0.3">
      <c r="A1150" s="27" t="s">
        <v>1869</v>
      </c>
      <c r="B1150" s="27" t="str">
        <f>"30.27"</f>
        <v>30.27</v>
      </c>
      <c r="C1150" s="64" t="s">
        <v>3958</v>
      </c>
      <c r="D1150" s="27" t="s">
        <v>2229</v>
      </c>
      <c r="E1150" s="27" t="s">
        <v>2232</v>
      </c>
      <c r="F1150" s="27" t="str">
        <f>"30.27"</f>
        <v>30.27</v>
      </c>
      <c r="G1150" s="27" t="s">
        <v>3958</v>
      </c>
      <c r="H1150" s="65" t="str">
        <f t="shared" si="51"/>
        <v>No Change</v>
      </c>
      <c r="I1150" s="65" t="str">
        <f t="shared" si="52"/>
        <v/>
      </c>
      <c r="J1150" s="65" t="str">
        <f t="shared" si="53"/>
        <v/>
      </c>
    </row>
    <row r="1151" spans="1:10" x14ac:dyDescent="0.3">
      <c r="A1151" s="27" t="s">
        <v>3959</v>
      </c>
      <c r="B1151" s="27" t="str">
        <f>"30.2701"</f>
        <v>30.2701</v>
      </c>
      <c r="C1151" s="64" t="s">
        <v>3958</v>
      </c>
      <c r="D1151" s="27" t="s">
        <v>2229</v>
      </c>
      <c r="E1151" s="27" t="s">
        <v>2232</v>
      </c>
      <c r="F1151" s="27" t="str">
        <f>"30.2701"</f>
        <v>30.2701</v>
      </c>
      <c r="G1151" s="27" t="s">
        <v>3958</v>
      </c>
      <c r="H1151" s="65" t="str">
        <f t="shared" si="51"/>
        <v>No Change</v>
      </c>
      <c r="I1151" s="65" t="str">
        <f t="shared" si="52"/>
        <v>302701</v>
      </c>
      <c r="J1151" s="65" t="str">
        <f t="shared" si="53"/>
        <v>302701</v>
      </c>
    </row>
    <row r="1152" spans="1:10" x14ac:dyDescent="0.3">
      <c r="A1152" s="27" t="s">
        <v>1869</v>
      </c>
      <c r="B1152" s="27" t="str">
        <f>"30.28"</f>
        <v>30.28</v>
      </c>
      <c r="C1152" s="64" t="s">
        <v>3960</v>
      </c>
      <c r="D1152" s="27" t="s">
        <v>2229</v>
      </c>
      <c r="E1152" s="27" t="s">
        <v>2232</v>
      </c>
      <c r="F1152" s="27" t="str">
        <f>"30.28"</f>
        <v>30.28</v>
      </c>
      <c r="G1152" s="27" t="s">
        <v>3960</v>
      </c>
      <c r="H1152" s="65" t="str">
        <f t="shared" si="51"/>
        <v>No Change</v>
      </c>
      <c r="I1152" s="65" t="str">
        <f t="shared" si="52"/>
        <v/>
      </c>
      <c r="J1152" s="65" t="str">
        <f t="shared" si="53"/>
        <v/>
      </c>
    </row>
    <row r="1153" spans="1:10" x14ac:dyDescent="0.3">
      <c r="A1153" s="27" t="s">
        <v>3961</v>
      </c>
      <c r="B1153" s="27" t="str">
        <f>"30.2801"</f>
        <v>30.2801</v>
      </c>
      <c r="C1153" s="64" t="s">
        <v>3960</v>
      </c>
      <c r="D1153" s="27" t="s">
        <v>2229</v>
      </c>
      <c r="E1153" s="27" t="s">
        <v>2232</v>
      </c>
      <c r="F1153" s="27" t="str">
        <f>"30.2801"</f>
        <v>30.2801</v>
      </c>
      <c r="G1153" s="27" t="s">
        <v>3960</v>
      </c>
      <c r="H1153" s="65" t="str">
        <f t="shared" si="51"/>
        <v>No Change</v>
      </c>
      <c r="I1153" s="65" t="str">
        <f t="shared" si="52"/>
        <v>302801</v>
      </c>
      <c r="J1153" s="65" t="str">
        <f t="shared" si="53"/>
        <v>302801</v>
      </c>
    </row>
    <row r="1154" spans="1:10" x14ac:dyDescent="0.3">
      <c r="A1154" s="27" t="s">
        <v>1869</v>
      </c>
      <c r="B1154" s="27" t="str">
        <f>"30.29"</f>
        <v>30.29</v>
      </c>
      <c r="C1154" s="64" t="s">
        <v>3962</v>
      </c>
      <c r="D1154" s="27" t="s">
        <v>2229</v>
      </c>
      <c r="E1154" s="27" t="s">
        <v>2232</v>
      </c>
      <c r="F1154" s="27" t="str">
        <f>"30.29"</f>
        <v>30.29</v>
      </c>
      <c r="G1154" s="27" t="s">
        <v>3962</v>
      </c>
      <c r="H1154" s="65" t="str">
        <f t="shared" si="51"/>
        <v>No Change</v>
      </c>
      <c r="I1154" s="65" t="str">
        <f t="shared" si="52"/>
        <v/>
      </c>
      <c r="J1154" s="65" t="str">
        <f t="shared" si="53"/>
        <v/>
      </c>
    </row>
    <row r="1155" spans="1:10" x14ac:dyDescent="0.3">
      <c r="A1155" s="27" t="s">
        <v>3963</v>
      </c>
      <c r="B1155" s="27" t="str">
        <f>"30.2901"</f>
        <v>30.2901</v>
      </c>
      <c r="C1155" s="64" t="s">
        <v>3962</v>
      </c>
      <c r="D1155" s="27" t="s">
        <v>2229</v>
      </c>
      <c r="E1155" s="27" t="s">
        <v>2232</v>
      </c>
      <c r="F1155" s="27" t="str">
        <f>"30.2901"</f>
        <v>30.2901</v>
      </c>
      <c r="G1155" s="27" t="s">
        <v>3962</v>
      </c>
      <c r="H1155" s="65" t="str">
        <f t="shared" ref="H1155:H1218" si="54">IF(I1155=J1155,"No Change","Other")</f>
        <v>No Change</v>
      </c>
      <c r="I1155" s="65" t="str">
        <f t="shared" ref="I1155:I1218" si="55">SUBSTITUTE(IF(SUM(LEN(B1155))&lt;7,"",B1155),".","")</f>
        <v>302901</v>
      </c>
      <c r="J1155" s="65" t="str">
        <f t="shared" ref="J1155:J1218" si="56">SUBSTITUTE(IF(SUM(LEN(F1155))&lt;7,"",F1155),".","")</f>
        <v>302901</v>
      </c>
    </row>
    <row r="1156" spans="1:10" x14ac:dyDescent="0.3">
      <c r="A1156" s="27" t="s">
        <v>1869</v>
      </c>
      <c r="B1156" s="27" t="str">
        <f>"30.30"</f>
        <v>30.30</v>
      </c>
      <c r="C1156" s="64" t="s">
        <v>3964</v>
      </c>
      <c r="D1156" s="27" t="s">
        <v>2229</v>
      </c>
      <c r="E1156" s="27" t="s">
        <v>2232</v>
      </c>
      <c r="F1156" s="27" t="str">
        <f>"30.30"</f>
        <v>30.30</v>
      </c>
      <c r="G1156" s="27" t="s">
        <v>3964</v>
      </c>
      <c r="H1156" s="65" t="str">
        <f t="shared" si="54"/>
        <v>No Change</v>
      </c>
      <c r="I1156" s="65" t="str">
        <f t="shared" si="55"/>
        <v/>
      </c>
      <c r="J1156" s="65" t="str">
        <f t="shared" si="56"/>
        <v/>
      </c>
    </row>
    <row r="1157" spans="1:10" x14ac:dyDescent="0.3">
      <c r="A1157" s="27" t="s">
        <v>3965</v>
      </c>
      <c r="B1157" s="27" t="str">
        <f>"30.3001"</f>
        <v>30.3001</v>
      </c>
      <c r="C1157" s="64" t="s">
        <v>3964</v>
      </c>
      <c r="D1157" s="27" t="s">
        <v>2229</v>
      </c>
      <c r="E1157" s="27" t="s">
        <v>2232</v>
      </c>
      <c r="F1157" s="27" t="str">
        <f>"30.3001"</f>
        <v>30.3001</v>
      </c>
      <c r="G1157" s="27" t="s">
        <v>3964</v>
      </c>
      <c r="H1157" s="65" t="str">
        <f t="shared" si="54"/>
        <v>No Change</v>
      </c>
      <c r="I1157" s="65" t="str">
        <f t="shared" si="55"/>
        <v>303001</v>
      </c>
      <c r="J1157" s="65" t="str">
        <f t="shared" si="56"/>
        <v>303001</v>
      </c>
    </row>
    <row r="1158" spans="1:10" x14ac:dyDescent="0.3">
      <c r="A1158" s="27" t="s">
        <v>1869</v>
      </c>
      <c r="B1158" s="27" t="str">
        <f>"30.31"</f>
        <v>30.31</v>
      </c>
      <c r="C1158" s="64" t="s">
        <v>3966</v>
      </c>
      <c r="D1158" s="27" t="s">
        <v>2229</v>
      </c>
      <c r="E1158" s="27" t="s">
        <v>2232</v>
      </c>
      <c r="F1158" s="27" t="str">
        <f>"30.31"</f>
        <v>30.31</v>
      </c>
      <c r="G1158" s="27" t="s">
        <v>3966</v>
      </c>
      <c r="H1158" s="65" t="str">
        <f t="shared" si="54"/>
        <v>No Change</v>
      </c>
      <c r="I1158" s="65" t="str">
        <f t="shared" si="55"/>
        <v/>
      </c>
      <c r="J1158" s="65" t="str">
        <f t="shared" si="56"/>
        <v/>
      </c>
    </row>
    <row r="1159" spans="1:10" x14ac:dyDescent="0.3">
      <c r="A1159" s="27" t="s">
        <v>3967</v>
      </c>
      <c r="B1159" s="27" t="str">
        <f>"30.3101"</f>
        <v>30.3101</v>
      </c>
      <c r="C1159" s="64" t="s">
        <v>3966</v>
      </c>
      <c r="D1159" s="27" t="s">
        <v>2229</v>
      </c>
      <c r="E1159" s="27" t="s">
        <v>2230</v>
      </c>
      <c r="F1159" s="27" t="str">
        <f>"30.3101"</f>
        <v>30.3101</v>
      </c>
      <c r="G1159" s="27" t="s">
        <v>3966</v>
      </c>
      <c r="H1159" s="65" t="str">
        <f t="shared" si="54"/>
        <v>No Change</v>
      </c>
      <c r="I1159" s="65" t="str">
        <f t="shared" si="55"/>
        <v>303101</v>
      </c>
      <c r="J1159" s="65" t="str">
        <f t="shared" si="56"/>
        <v>303101</v>
      </c>
    </row>
    <row r="1160" spans="1:10" x14ac:dyDescent="0.3">
      <c r="A1160" s="27" t="s">
        <v>1869</v>
      </c>
      <c r="B1160" s="27" t="str">
        <f>"30.32"</f>
        <v>30.32</v>
      </c>
      <c r="C1160" s="64" t="s">
        <v>3968</v>
      </c>
      <c r="D1160" s="27" t="s">
        <v>2229</v>
      </c>
      <c r="E1160" s="27" t="s">
        <v>2232</v>
      </c>
      <c r="F1160" s="27" t="str">
        <f>"30.32"</f>
        <v>30.32</v>
      </c>
      <c r="G1160" s="27" t="s">
        <v>3968</v>
      </c>
      <c r="H1160" s="65" t="str">
        <f t="shared" si="54"/>
        <v>No Change</v>
      </c>
      <c r="I1160" s="65" t="str">
        <f t="shared" si="55"/>
        <v/>
      </c>
      <c r="J1160" s="65" t="str">
        <f t="shared" si="56"/>
        <v/>
      </c>
    </row>
    <row r="1161" spans="1:10" x14ac:dyDescent="0.3">
      <c r="A1161" s="27" t="s">
        <v>3969</v>
      </c>
      <c r="B1161" s="27" t="str">
        <f>"30.3201"</f>
        <v>30.3201</v>
      </c>
      <c r="C1161" s="64" t="s">
        <v>3968</v>
      </c>
      <c r="D1161" s="27" t="s">
        <v>2229</v>
      </c>
      <c r="E1161" s="27" t="s">
        <v>2232</v>
      </c>
      <c r="F1161" s="27" t="str">
        <f>"30.3201"</f>
        <v>30.3201</v>
      </c>
      <c r="G1161" s="27" t="s">
        <v>3968</v>
      </c>
      <c r="H1161" s="65" t="str">
        <f t="shared" si="54"/>
        <v>No Change</v>
      </c>
      <c r="I1161" s="65" t="str">
        <f t="shared" si="55"/>
        <v>303201</v>
      </c>
      <c r="J1161" s="65" t="str">
        <f t="shared" si="56"/>
        <v>303201</v>
      </c>
    </row>
    <row r="1162" spans="1:10" x14ac:dyDescent="0.3">
      <c r="A1162" s="27" t="s">
        <v>1869</v>
      </c>
      <c r="B1162" s="27" t="str">
        <f>"30.33"</f>
        <v>30.33</v>
      </c>
      <c r="C1162" s="64" t="s">
        <v>675</v>
      </c>
      <c r="D1162" s="27" t="s">
        <v>2229</v>
      </c>
      <c r="E1162" s="27" t="s">
        <v>2232</v>
      </c>
      <c r="F1162" s="27" t="str">
        <f>"30.33"</f>
        <v>30.33</v>
      </c>
      <c r="G1162" s="27" t="s">
        <v>675</v>
      </c>
      <c r="H1162" s="65" t="str">
        <f t="shared" si="54"/>
        <v>No Change</v>
      </c>
      <c r="I1162" s="65" t="str">
        <f t="shared" si="55"/>
        <v/>
      </c>
      <c r="J1162" s="65" t="str">
        <f t="shared" si="56"/>
        <v/>
      </c>
    </row>
    <row r="1163" spans="1:10" x14ac:dyDescent="0.3">
      <c r="A1163" s="27" t="s">
        <v>674</v>
      </c>
      <c r="B1163" s="27" t="str">
        <f>"30.3301"</f>
        <v>30.3301</v>
      </c>
      <c r="C1163" s="64" t="s">
        <v>675</v>
      </c>
      <c r="D1163" s="27" t="s">
        <v>2229</v>
      </c>
      <c r="E1163" s="27" t="s">
        <v>2232</v>
      </c>
      <c r="F1163" s="27" t="str">
        <f>"30.3301"</f>
        <v>30.3301</v>
      </c>
      <c r="G1163" s="27" t="s">
        <v>675</v>
      </c>
      <c r="H1163" s="65" t="str">
        <f t="shared" si="54"/>
        <v>No Change</v>
      </c>
      <c r="I1163" s="65" t="str">
        <f t="shared" si="55"/>
        <v>303301</v>
      </c>
      <c r="J1163" s="65" t="str">
        <f t="shared" si="56"/>
        <v>303301</v>
      </c>
    </row>
    <row r="1164" spans="1:10" x14ac:dyDescent="0.3">
      <c r="A1164" s="27" t="s">
        <v>1869</v>
      </c>
      <c r="D1164" s="27" t="s">
        <v>2255</v>
      </c>
      <c r="E1164" s="27" t="s">
        <v>2232</v>
      </c>
      <c r="F1164" s="27" t="str">
        <f>"30.34"</f>
        <v>30.34</v>
      </c>
      <c r="G1164" s="27" t="s">
        <v>3970</v>
      </c>
      <c r="H1164" s="65" t="str">
        <f t="shared" si="54"/>
        <v>No Change</v>
      </c>
      <c r="I1164" s="65" t="str">
        <f t="shared" si="55"/>
        <v/>
      </c>
      <c r="J1164" s="65" t="str">
        <f t="shared" si="56"/>
        <v/>
      </c>
    </row>
    <row r="1165" spans="1:10" x14ac:dyDescent="0.3">
      <c r="A1165" s="27" t="s">
        <v>1869</v>
      </c>
      <c r="D1165" s="27" t="s">
        <v>2255</v>
      </c>
      <c r="E1165" s="27" t="s">
        <v>2232</v>
      </c>
      <c r="F1165" s="27" t="str">
        <f>"30.3401"</f>
        <v>30.3401</v>
      </c>
      <c r="G1165" s="27" t="s">
        <v>3970</v>
      </c>
      <c r="H1165" s="65" t="str">
        <f t="shared" si="54"/>
        <v>Other</v>
      </c>
      <c r="I1165" s="65" t="str">
        <f t="shared" si="55"/>
        <v/>
      </c>
      <c r="J1165" s="65" t="str">
        <f t="shared" si="56"/>
        <v>303401</v>
      </c>
    </row>
    <row r="1166" spans="1:10" x14ac:dyDescent="0.3">
      <c r="A1166" s="27" t="s">
        <v>1869</v>
      </c>
      <c r="D1166" s="27" t="s">
        <v>2255</v>
      </c>
      <c r="E1166" s="27" t="s">
        <v>2232</v>
      </c>
      <c r="F1166" s="27" t="str">
        <f>"30.35"</f>
        <v>30.35</v>
      </c>
      <c r="G1166" s="27" t="s">
        <v>3971</v>
      </c>
      <c r="H1166" s="65" t="str">
        <f t="shared" si="54"/>
        <v>No Change</v>
      </c>
      <c r="I1166" s="65" t="str">
        <f t="shared" si="55"/>
        <v/>
      </c>
      <c r="J1166" s="65" t="str">
        <f t="shared" si="56"/>
        <v/>
      </c>
    </row>
    <row r="1167" spans="1:10" x14ac:dyDescent="0.3">
      <c r="A1167" s="27" t="s">
        <v>1869</v>
      </c>
      <c r="D1167" s="27" t="s">
        <v>2255</v>
      </c>
      <c r="E1167" s="27" t="s">
        <v>2232</v>
      </c>
      <c r="F1167" s="27" t="str">
        <f>"30.3501"</f>
        <v>30.3501</v>
      </c>
      <c r="G1167" s="27" t="s">
        <v>3971</v>
      </c>
      <c r="H1167" s="65" t="str">
        <f t="shared" si="54"/>
        <v>Other</v>
      </c>
      <c r="I1167" s="65" t="str">
        <f t="shared" si="55"/>
        <v/>
      </c>
      <c r="J1167" s="65" t="str">
        <f t="shared" si="56"/>
        <v>303501</v>
      </c>
    </row>
    <row r="1168" spans="1:10" x14ac:dyDescent="0.3">
      <c r="A1168" s="27" t="s">
        <v>1869</v>
      </c>
      <c r="D1168" s="27" t="s">
        <v>2255</v>
      </c>
      <c r="E1168" s="27" t="s">
        <v>2232</v>
      </c>
      <c r="F1168" s="27" t="str">
        <f>"30.36"</f>
        <v>30.36</v>
      </c>
      <c r="G1168" s="27" t="s">
        <v>3972</v>
      </c>
      <c r="H1168" s="65" t="str">
        <f t="shared" si="54"/>
        <v>No Change</v>
      </c>
      <c r="I1168" s="65" t="str">
        <f t="shared" si="55"/>
        <v/>
      </c>
      <c r="J1168" s="65" t="str">
        <f t="shared" si="56"/>
        <v/>
      </c>
    </row>
    <row r="1169" spans="1:10" x14ac:dyDescent="0.3">
      <c r="A1169" s="27" t="s">
        <v>1869</v>
      </c>
      <c r="D1169" s="27" t="s">
        <v>2255</v>
      </c>
      <c r="E1169" s="27" t="s">
        <v>2232</v>
      </c>
      <c r="F1169" s="27" t="str">
        <f>"30.3601"</f>
        <v>30.3601</v>
      </c>
      <c r="G1169" s="27" t="s">
        <v>3972</v>
      </c>
      <c r="H1169" s="65" t="str">
        <f t="shared" si="54"/>
        <v>Other</v>
      </c>
      <c r="I1169" s="65" t="str">
        <f t="shared" si="55"/>
        <v/>
      </c>
      <c r="J1169" s="65" t="str">
        <f t="shared" si="56"/>
        <v>303601</v>
      </c>
    </row>
    <row r="1170" spans="1:10" x14ac:dyDescent="0.3">
      <c r="A1170" s="27" t="s">
        <v>1869</v>
      </c>
      <c r="D1170" s="27" t="s">
        <v>2255</v>
      </c>
      <c r="E1170" s="27" t="s">
        <v>2232</v>
      </c>
      <c r="F1170" s="27" t="str">
        <f>"30.37"</f>
        <v>30.37</v>
      </c>
      <c r="G1170" s="27" t="s">
        <v>3973</v>
      </c>
      <c r="H1170" s="65" t="str">
        <f t="shared" si="54"/>
        <v>No Change</v>
      </c>
      <c r="I1170" s="65" t="str">
        <f t="shared" si="55"/>
        <v/>
      </c>
      <c r="J1170" s="65" t="str">
        <f t="shared" si="56"/>
        <v/>
      </c>
    </row>
    <row r="1171" spans="1:10" x14ac:dyDescent="0.3">
      <c r="A1171" s="27" t="s">
        <v>1869</v>
      </c>
      <c r="D1171" s="27" t="s">
        <v>2255</v>
      </c>
      <c r="E1171" s="27" t="s">
        <v>2232</v>
      </c>
      <c r="F1171" s="27" t="str">
        <f>"30.3701"</f>
        <v>30.3701</v>
      </c>
      <c r="G1171" s="27" t="s">
        <v>3973</v>
      </c>
      <c r="H1171" s="65" t="str">
        <f t="shared" si="54"/>
        <v>Other</v>
      </c>
      <c r="I1171" s="65" t="str">
        <f t="shared" si="55"/>
        <v/>
      </c>
      <c r="J1171" s="65" t="str">
        <f t="shared" si="56"/>
        <v>303701</v>
      </c>
    </row>
    <row r="1172" spans="1:10" x14ac:dyDescent="0.3">
      <c r="A1172" s="27" t="s">
        <v>1869</v>
      </c>
      <c r="D1172" s="27" t="s">
        <v>2255</v>
      </c>
      <c r="E1172" s="27" t="s">
        <v>2232</v>
      </c>
      <c r="F1172" s="27" t="str">
        <f>"30.38"</f>
        <v>30.38</v>
      </c>
      <c r="G1172" s="27" t="s">
        <v>3974</v>
      </c>
      <c r="H1172" s="65" t="str">
        <f t="shared" si="54"/>
        <v>No Change</v>
      </c>
      <c r="I1172" s="65" t="str">
        <f t="shared" si="55"/>
        <v/>
      </c>
      <c r="J1172" s="65" t="str">
        <f t="shared" si="56"/>
        <v/>
      </c>
    </row>
    <row r="1173" spans="1:10" x14ac:dyDescent="0.3">
      <c r="A1173" s="27" t="s">
        <v>1869</v>
      </c>
      <c r="D1173" s="27" t="s">
        <v>2255</v>
      </c>
      <c r="E1173" s="27" t="s">
        <v>2232</v>
      </c>
      <c r="F1173" s="27" t="str">
        <f>"30.3801"</f>
        <v>30.3801</v>
      </c>
      <c r="G1173" s="27" t="s">
        <v>3974</v>
      </c>
      <c r="H1173" s="65" t="str">
        <f t="shared" si="54"/>
        <v>Other</v>
      </c>
      <c r="I1173" s="65" t="str">
        <f t="shared" si="55"/>
        <v/>
      </c>
      <c r="J1173" s="65" t="str">
        <f t="shared" si="56"/>
        <v>303801</v>
      </c>
    </row>
    <row r="1174" spans="1:10" x14ac:dyDescent="0.3">
      <c r="A1174" s="27" t="s">
        <v>1869</v>
      </c>
      <c r="D1174" s="27" t="s">
        <v>2255</v>
      </c>
      <c r="E1174" s="27" t="s">
        <v>2232</v>
      </c>
      <c r="F1174" s="27" t="str">
        <f>"30.39"</f>
        <v>30.39</v>
      </c>
      <c r="G1174" s="27" t="s">
        <v>3975</v>
      </c>
      <c r="H1174" s="65" t="str">
        <f t="shared" si="54"/>
        <v>No Change</v>
      </c>
      <c r="I1174" s="65" t="str">
        <f t="shared" si="55"/>
        <v/>
      </c>
      <c r="J1174" s="65" t="str">
        <f t="shared" si="56"/>
        <v/>
      </c>
    </row>
    <row r="1175" spans="1:10" x14ac:dyDescent="0.3">
      <c r="A1175" s="27" t="s">
        <v>1869</v>
      </c>
      <c r="D1175" s="27" t="s">
        <v>2255</v>
      </c>
      <c r="E1175" s="27" t="s">
        <v>2232</v>
      </c>
      <c r="F1175" s="27" t="str">
        <f>"30.3901"</f>
        <v>30.3901</v>
      </c>
      <c r="G1175" s="27" t="s">
        <v>3975</v>
      </c>
      <c r="H1175" s="65" t="str">
        <f t="shared" si="54"/>
        <v>Other</v>
      </c>
      <c r="I1175" s="65" t="str">
        <f t="shared" si="55"/>
        <v/>
      </c>
      <c r="J1175" s="65" t="str">
        <f t="shared" si="56"/>
        <v>303901</v>
      </c>
    </row>
    <row r="1176" spans="1:10" x14ac:dyDescent="0.3">
      <c r="A1176" s="27" t="s">
        <v>1869</v>
      </c>
      <c r="D1176" s="27" t="s">
        <v>2255</v>
      </c>
      <c r="E1176" s="27" t="s">
        <v>2232</v>
      </c>
      <c r="F1176" s="27" t="str">
        <f>"30.40"</f>
        <v>30.40</v>
      </c>
      <c r="G1176" s="27" t="s">
        <v>3976</v>
      </c>
      <c r="H1176" s="65" t="str">
        <f t="shared" si="54"/>
        <v>No Change</v>
      </c>
      <c r="I1176" s="65" t="str">
        <f t="shared" si="55"/>
        <v/>
      </c>
      <c r="J1176" s="65" t="str">
        <f t="shared" si="56"/>
        <v/>
      </c>
    </row>
    <row r="1177" spans="1:10" x14ac:dyDescent="0.3">
      <c r="A1177" s="27" t="s">
        <v>1869</v>
      </c>
      <c r="D1177" s="27" t="s">
        <v>2255</v>
      </c>
      <c r="E1177" s="27" t="s">
        <v>2232</v>
      </c>
      <c r="F1177" s="27" t="str">
        <f>"30.4001"</f>
        <v>30.4001</v>
      </c>
      <c r="G1177" s="27" t="s">
        <v>3976</v>
      </c>
      <c r="H1177" s="65" t="str">
        <f t="shared" si="54"/>
        <v>Other</v>
      </c>
      <c r="I1177" s="65" t="str">
        <f t="shared" si="55"/>
        <v/>
      </c>
      <c r="J1177" s="65" t="str">
        <f t="shared" si="56"/>
        <v>304001</v>
      </c>
    </row>
    <row r="1178" spans="1:10" x14ac:dyDescent="0.3">
      <c r="A1178" s="27" t="s">
        <v>1869</v>
      </c>
      <c r="D1178" s="27" t="s">
        <v>2255</v>
      </c>
      <c r="E1178" s="27" t="s">
        <v>2232</v>
      </c>
      <c r="F1178" s="27" t="str">
        <f>"30.41"</f>
        <v>30.41</v>
      </c>
      <c r="G1178" s="27" t="s">
        <v>3977</v>
      </c>
      <c r="H1178" s="65" t="str">
        <f t="shared" si="54"/>
        <v>No Change</v>
      </c>
      <c r="I1178" s="65" t="str">
        <f t="shared" si="55"/>
        <v/>
      </c>
      <c r="J1178" s="65" t="str">
        <f t="shared" si="56"/>
        <v/>
      </c>
    </row>
    <row r="1179" spans="1:10" x14ac:dyDescent="0.3">
      <c r="A1179" s="27" t="s">
        <v>1869</v>
      </c>
      <c r="D1179" s="27" t="s">
        <v>2255</v>
      </c>
      <c r="E1179" s="27" t="s">
        <v>2232</v>
      </c>
      <c r="F1179" s="27" t="str">
        <f>"30.4101"</f>
        <v>30.4101</v>
      </c>
      <c r="G1179" s="27" t="s">
        <v>3977</v>
      </c>
      <c r="H1179" s="65" t="str">
        <f t="shared" si="54"/>
        <v>Other</v>
      </c>
      <c r="I1179" s="65" t="str">
        <f t="shared" si="55"/>
        <v/>
      </c>
      <c r="J1179" s="65" t="str">
        <f t="shared" si="56"/>
        <v>304101</v>
      </c>
    </row>
    <row r="1180" spans="1:10" x14ac:dyDescent="0.3">
      <c r="A1180" s="27" t="s">
        <v>1869</v>
      </c>
      <c r="D1180" s="27" t="s">
        <v>2255</v>
      </c>
      <c r="E1180" s="27" t="s">
        <v>2232</v>
      </c>
      <c r="F1180" s="27" t="str">
        <f>"30.42"</f>
        <v>30.42</v>
      </c>
      <c r="G1180" s="27" t="s">
        <v>3978</v>
      </c>
      <c r="H1180" s="65" t="str">
        <f t="shared" si="54"/>
        <v>No Change</v>
      </c>
      <c r="I1180" s="65" t="str">
        <f t="shared" si="55"/>
        <v/>
      </c>
      <c r="J1180" s="65" t="str">
        <f t="shared" si="56"/>
        <v/>
      </c>
    </row>
    <row r="1181" spans="1:10" x14ac:dyDescent="0.3">
      <c r="A1181" s="27" t="s">
        <v>1869</v>
      </c>
      <c r="D1181" s="27" t="s">
        <v>2255</v>
      </c>
      <c r="E1181" s="27" t="s">
        <v>2232</v>
      </c>
      <c r="F1181" s="27" t="str">
        <f>"30.4201"</f>
        <v>30.4201</v>
      </c>
      <c r="G1181" s="27" t="s">
        <v>3978</v>
      </c>
      <c r="H1181" s="65" t="str">
        <f t="shared" si="54"/>
        <v>Other</v>
      </c>
      <c r="I1181" s="65" t="str">
        <f t="shared" si="55"/>
        <v/>
      </c>
      <c r="J1181" s="65" t="str">
        <f t="shared" si="56"/>
        <v>304201</v>
      </c>
    </row>
    <row r="1182" spans="1:10" x14ac:dyDescent="0.3">
      <c r="A1182" s="27" t="s">
        <v>1869</v>
      </c>
      <c r="D1182" s="27" t="s">
        <v>2255</v>
      </c>
      <c r="E1182" s="27" t="s">
        <v>2232</v>
      </c>
      <c r="F1182" s="27" t="str">
        <f>"30.43"</f>
        <v>30.43</v>
      </c>
      <c r="G1182" s="27" t="s">
        <v>3979</v>
      </c>
      <c r="H1182" s="65" t="str">
        <f t="shared" si="54"/>
        <v>No Change</v>
      </c>
      <c r="I1182" s="65" t="str">
        <f t="shared" si="55"/>
        <v/>
      </c>
      <c r="J1182" s="65" t="str">
        <f t="shared" si="56"/>
        <v/>
      </c>
    </row>
    <row r="1183" spans="1:10" x14ac:dyDescent="0.3">
      <c r="A1183" s="27" t="s">
        <v>1869</v>
      </c>
      <c r="D1183" s="27" t="s">
        <v>2255</v>
      </c>
      <c r="E1183" s="27" t="s">
        <v>2232</v>
      </c>
      <c r="F1183" s="27" t="str">
        <f>"30.4301"</f>
        <v>30.4301</v>
      </c>
      <c r="G1183" s="27" t="s">
        <v>3979</v>
      </c>
      <c r="H1183" s="65" t="str">
        <f t="shared" si="54"/>
        <v>Other</v>
      </c>
      <c r="I1183" s="65" t="str">
        <f t="shared" si="55"/>
        <v/>
      </c>
      <c r="J1183" s="65" t="str">
        <f t="shared" si="56"/>
        <v>304301</v>
      </c>
    </row>
    <row r="1184" spans="1:10" x14ac:dyDescent="0.3">
      <c r="A1184" s="27" t="s">
        <v>1869</v>
      </c>
      <c r="D1184" s="27" t="s">
        <v>2255</v>
      </c>
      <c r="E1184" s="27" t="s">
        <v>2232</v>
      </c>
      <c r="F1184" s="27" t="str">
        <f>"30.44"</f>
        <v>30.44</v>
      </c>
      <c r="G1184" s="27" t="s">
        <v>3980</v>
      </c>
      <c r="H1184" s="65" t="str">
        <f t="shared" si="54"/>
        <v>No Change</v>
      </c>
      <c r="I1184" s="65" t="str">
        <f t="shared" si="55"/>
        <v/>
      </c>
      <c r="J1184" s="65" t="str">
        <f t="shared" si="56"/>
        <v/>
      </c>
    </row>
    <row r="1185" spans="1:10" x14ac:dyDescent="0.3">
      <c r="A1185" s="27" t="s">
        <v>1869</v>
      </c>
      <c r="D1185" s="27" t="s">
        <v>2255</v>
      </c>
      <c r="E1185" s="27" t="s">
        <v>2232</v>
      </c>
      <c r="F1185" s="27" t="str">
        <f>"30.4401"</f>
        <v>30.4401</v>
      </c>
      <c r="G1185" s="27" t="s">
        <v>3980</v>
      </c>
      <c r="H1185" s="65" t="str">
        <f t="shared" si="54"/>
        <v>Other</v>
      </c>
      <c r="I1185" s="65" t="str">
        <f t="shared" si="55"/>
        <v/>
      </c>
      <c r="J1185" s="65" t="str">
        <f t="shared" si="56"/>
        <v>304401</v>
      </c>
    </row>
    <row r="1186" spans="1:10" x14ac:dyDescent="0.3">
      <c r="A1186" s="27" t="s">
        <v>1869</v>
      </c>
      <c r="D1186" s="27" t="s">
        <v>2255</v>
      </c>
      <c r="E1186" s="27" t="s">
        <v>2232</v>
      </c>
      <c r="F1186" s="27" t="str">
        <f>"30.45"</f>
        <v>30.45</v>
      </c>
      <c r="G1186" s="27" t="s">
        <v>3981</v>
      </c>
      <c r="H1186" s="65" t="str">
        <f t="shared" si="54"/>
        <v>No Change</v>
      </c>
      <c r="I1186" s="65" t="str">
        <f t="shared" si="55"/>
        <v/>
      </c>
      <c r="J1186" s="65" t="str">
        <f t="shared" si="56"/>
        <v/>
      </c>
    </row>
    <row r="1187" spans="1:10" x14ac:dyDescent="0.3">
      <c r="A1187" s="27" t="s">
        <v>1869</v>
      </c>
      <c r="D1187" s="27" t="s">
        <v>2255</v>
      </c>
      <c r="E1187" s="27" t="s">
        <v>2232</v>
      </c>
      <c r="F1187" s="27" t="str">
        <f>"30.4501"</f>
        <v>30.4501</v>
      </c>
      <c r="G1187" s="27" t="s">
        <v>3981</v>
      </c>
      <c r="H1187" s="65" t="str">
        <f t="shared" si="54"/>
        <v>Other</v>
      </c>
      <c r="I1187" s="65" t="str">
        <f t="shared" si="55"/>
        <v/>
      </c>
      <c r="J1187" s="65" t="str">
        <f t="shared" si="56"/>
        <v>304501</v>
      </c>
    </row>
    <row r="1188" spans="1:10" x14ac:dyDescent="0.3">
      <c r="A1188" s="27" t="s">
        <v>1869</v>
      </c>
      <c r="D1188" s="27" t="s">
        <v>2255</v>
      </c>
      <c r="E1188" s="27" t="s">
        <v>2232</v>
      </c>
      <c r="F1188" s="27" t="str">
        <f>"30.46"</f>
        <v>30.46</v>
      </c>
      <c r="G1188" s="27" t="s">
        <v>3982</v>
      </c>
      <c r="H1188" s="65" t="str">
        <f t="shared" si="54"/>
        <v>No Change</v>
      </c>
      <c r="I1188" s="65" t="str">
        <f t="shared" si="55"/>
        <v/>
      </c>
      <c r="J1188" s="65" t="str">
        <f t="shared" si="56"/>
        <v/>
      </c>
    </row>
    <row r="1189" spans="1:10" x14ac:dyDescent="0.3">
      <c r="A1189" s="27" t="s">
        <v>1869</v>
      </c>
      <c r="D1189" s="27" t="s">
        <v>2255</v>
      </c>
      <c r="E1189" s="27" t="s">
        <v>2232</v>
      </c>
      <c r="F1189" s="27" t="str">
        <f>"30.4601"</f>
        <v>30.4601</v>
      </c>
      <c r="G1189" s="27" t="s">
        <v>3982</v>
      </c>
      <c r="H1189" s="65" t="str">
        <f t="shared" si="54"/>
        <v>Other</v>
      </c>
      <c r="I1189" s="65" t="str">
        <f t="shared" si="55"/>
        <v/>
      </c>
      <c r="J1189" s="65" t="str">
        <f t="shared" si="56"/>
        <v>304601</v>
      </c>
    </row>
    <row r="1190" spans="1:10" x14ac:dyDescent="0.3">
      <c r="A1190" s="27" t="s">
        <v>1869</v>
      </c>
      <c r="D1190" s="27" t="s">
        <v>2255</v>
      </c>
      <c r="E1190" s="27" t="s">
        <v>2232</v>
      </c>
      <c r="F1190" s="27" t="str">
        <f>"30.47"</f>
        <v>30.47</v>
      </c>
      <c r="G1190" s="27" t="s">
        <v>3983</v>
      </c>
      <c r="H1190" s="65" t="str">
        <f t="shared" si="54"/>
        <v>No Change</v>
      </c>
      <c r="I1190" s="65" t="str">
        <f t="shared" si="55"/>
        <v/>
      </c>
      <c r="J1190" s="65" t="str">
        <f t="shared" si="56"/>
        <v/>
      </c>
    </row>
    <row r="1191" spans="1:10" x14ac:dyDescent="0.3">
      <c r="A1191" s="27" t="s">
        <v>1869</v>
      </c>
      <c r="D1191" s="27" t="s">
        <v>2255</v>
      </c>
      <c r="E1191" s="27" t="s">
        <v>2232</v>
      </c>
      <c r="F1191" s="27" t="str">
        <f>"30.4701"</f>
        <v>30.4701</v>
      </c>
      <c r="G1191" s="27" t="s">
        <v>3983</v>
      </c>
      <c r="H1191" s="65" t="str">
        <f t="shared" si="54"/>
        <v>Other</v>
      </c>
      <c r="I1191" s="65" t="str">
        <f t="shared" si="55"/>
        <v/>
      </c>
      <c r="J1191" s="65" t="str">
        <f t="shared" si="56"/>
        <v>304701</v>
      </c>
    </row>
    <row r="1192" spans="1:10" x14ac:dyDescent="0.3">
      <c r="A1192" s="27" t="s">
        <v>1869</v>
      </c>
      <c r="D1192" s="27" t="s">
        <v>2255</v>
      </c>
      <c r="E1192" s="27" t="s">
        <v>2232</v>
      </c>
      <c r="F1192" s="27" t="str">
        <f>"30.48"</f>
        <v>30.48</v>
      </c>
      <c r="G1192" s="27" t="s">
        <v>3984</v>
      </c>
      <c r="H1192" s="65" t="str">
        <f t="shared" si="54"/>
        <v>No Change</v>
      </c>
      <c r="I1192" s="65" t="str">
        <f t="shared" si="55"/>
        <v/>
      </c>
      <c r="J1192" s="65" t="str">
        <f t="shared" si="56"/>
        <v/>
      </c>
    </row>
    <row r="1193" spans="1:10" x14ac:dyDescent="0.3">
      <c r="A1193" s="27" t="s">
        <v>1869</v>
      </c>
      <c r="D1193" s="27" t="s">
        <v>2255</v>
      </c>
      <c r="E1193" s="27" t="s">
        <v>2232</v>
      </c>
      <c r="F1193" s="27" t="str">
        <f>"30.4801"</f>
        <v>30.4801</v>
      </c>
      <c r="G1193" s="27" t="s">
        <v>3984</v>
      </c>
      <c r="H1193" s="65" t="str">
        <f t="shared" si="54"/>
        <v>Other</v>
      </c>
      <c r="I1193" s="65" t="str">
        <f t="shared" si="55"/>
        <v/>
      </c>
      <c r="J1193" s="65" t="str">
        <f t="shared" si="56"/>
        <v>304801</v>
      </c>
    </row>
    <row r="1194" spans="1:10" x14ac:dyDescent="0.3">
      <c r="A1194" s="27" t="s">
        <v>1869</v>
      </c>
      <c r="D1194" s="27" t="s">
        <v>2255</v>
      </c>
      <c r="E1194" s="27" t="s">
        <v>2232</v>
      </c>
      <c r="F1194" s="27" t="str">
        <f>"30.49"</f>
        <v>30.49</v>
      </c>
      <c r="G1194" s="27" t="s">
        <v>3985</v>
      </c>
      <c r="H1194" s="65" t="str">
        <f t="shared" si="54"/>
        <v>No Change</v>
      </c>
      <c r="I1194" s="65" t="str">
        <f t="shared" si="55"/>
        <v/>
      </c>
      <c r="J1194" s="65" t="str">
        <f t="shared" si="56"/>
        <v/>
      </c>
    </row>
    <row r="1195" spans="1:10" x14ac:dyDescent="0.3">
      <c r="A1195" s="27" t="s">
        <v>1869</v>
      </c>
      <c r="D1195" s="27" t="s">
        <v>2255</v>
      </c>
      <c r="E1195" s="27" t="s">
        <v>2232</v>
      </c>
      <c r="F1195" s="27" t="str">
        <f>"30.4901"</f>
        <v>30.4901</v>
      </c>
      <c r="G1195" s="27" t="s">
        <v>3985</v>
      </c>
      <c r="H1195" s="65" t="str">
        <f t="shared" si="54"/>
        <v>Other</v>
      </c>
      <c r="I1195" s="65" t="str">
        <f t="shared" si="55"/>
        <v/>
      </c>
      <c r="J1195" s="65" t="str">
        <f t="shared" si="56"/>
        <v>304901</v>
      </c>
    </row>
    <row r="1196" spans="1:10" x14ac:dyDescent="0.3">
      <c r="A1196" s="27" t="s">
        <v>1869</v>
      </c>
      <c r="D1196" s="27" t="s">
        <v>2255</v>
      </c>
      <c r="E1196" s="27" t="s">
        <v>2232</v>
      </c>
      <c r="F1196" s="27" t="str">
        <f>"30.50"</f>
        <v>30.50</v>
      </c>
      <c r="G1196" s="27" t="s">
        <v>3986</v>
      </c>
      <c r="H1196" s="65" t="str">
        <f t="shared" si="54"/>
        <v>No Change</v>
      </c>
      <c r="I1196" s="65" t="str">
        <f t="shared" si="55"/>
        <v/>
      </c>
      <c r="J1196" s="65" t="str">
        <f t="shared" si="56"/>
        <v/>
      </c>
    </row>
    <row r="1197" spans="1:10" x14ac:dyDescent="0.3">
      <c r="A1197" s="27" t="s">
        <v>1869</v>
      </c>
      <c r="D1197" s="27" t="s">
        <v>2255</v>
      </c>
      <c r="E1197" s="27" t="s">
        <v>2232</v>
      </c>
      <c r="F1197" s="27" t="str">
        <f>"30.5001"</f>
        <v>30.5001</v>
      </c>
      <c r="G1197" s="27" t="s">
        <v>3986</v>
      </c>
      <c r="H1197" s="65" t="str">
        <f t="shared" si="54"/>
        <v>Other</v>
      </c>
      <c r="I1197" s="65" t="str">
        <f t="shared" si="55"/>
        <v/>
      </c>
      <c r="J1197" s="65" t="str">
        <f t="shared" si="56"/>
        <v>305001</v>
      </c>
    </row>
    <row r="1198" spans="1:10" x14ac:dyDescent="0.3">
      <c r="A1198" s="27" t="s">
        <v>1869</v>
      </c>
      <c r="D1198" s="27" t="s">
        <v>2255</v>
      </c>
      <c r="E1198" s="27" t="s">
        <v>2232</v>
      </c>
      <c r="F1198" s="27" t="str">
        <f>"30.51"</f>
        <v>30.51</v>
      </c>
      <c r="G1198" s="27" t="s">
        <v>3987</v>
      </c>
      <c r="H1198" s="65" t="str">
        <f t="shared" si="54"/>
        <v>No Change</v>
      </c>
      <c r="I1198" s="65" t="str">
        <f t="shared" si="55"/>
        <v/>
      </c>
      <c r="J1198" s="65" t="str">
        <f t="shared" si="56"/>
        <v/>
      </c>
    </row>
    <row r="1199" spans="1:10" x14ac:dyDescent="0.3">
      <c r="A1199" s="27" t="s">
        <v>1869</v>
      </c>
      <c r="D1199" s="27" t="s">
        <v>2255</v>
      </c>
      <c r="E1199" s="27" t="s">
        <v>2232</v>
      </c>
      <c r="F1199" s="27" t="str">
        <f>"30.5101"</f>
        <v>30.5101</v>
      </c>
      <c r="G1199" s="27" t="s">
        <v>3987</v>
      </c>
      <c r="H1199" s="65" t="str">
        <f t="shared" si="54"/>
        <v>Other</v>
      </c>
      <c r="I1199" s="65" t="str">
        <f t="shared" si="55"/>
        <v/>
      </c>
      <c r="J1199" s="65" t="str">
        <f t="shared" si="56"/>
        <v>305101</v>
      </c>
    </row>
    <row r="1200" spans="1:10" x14ac:dyDescent="0.3">
      <c r="A1200" s="27" t="s">
        <v>1869</v>
      </c>
      <c r="D1200" s="27" t="s">
        <v>2255</v>
      </c>
      <c r="E1200" s="27" t="s">
        <v>2232</v>
      </c>
      <c r="F1200" s="27" t="str">
        <f>"30.52"</f>
        <v>30.52</v>
      </c>
      <c r="G1200" s="27" t="s">
        <v>3988</v>
      </c>
      <c r="H1200" s="65" t="str">
        <f t="shared" si="54"/>
        <v>No Change</v>
      </c>
      <c r="I1200" s="65" t="str">
        <f t="shared" si="55"/>
        <v/>
      </c>
      <c r="J1200" s="65" t="str">
        <f t="shared" si="56"/>
        <v/>
      </c>
    </row>
    <row r="1201" spans="1:10" x14ac:dyDescent="0.3">
      <c r="A1201" s="27" t="s">
        <v>1869</v>
      </c>
      <c r="D1201" s="27" t="s">
        <v>2255</v>
      </c>
      <c r="E1201" s="27" t="s">
        <v>2232</v>
      </c>
      <c r="F1201" s="27" t="str">
        <f>"30.5201"</f>
        <v>30.5201</v>
      </c>
      <c r="G1201" s="27" t="s">
        <v>3989</v>
      </c>
      <c r="H1201" s="65" t="str">
        <f t="shared" si="54"/>
        <v>Other</v>
      </c>
      <c r="I1201" s="65" t="str">
        <f t="shared" si="55"/>
        <v/>
      </c>
      <c r="J1201" s="65" t="str">
        <f t="shared" si="56"/>
        <v>305201</v>
      </c>
    </row>
    <row r="1202" spans="1:10" x14ac:dyDescent="0.3">
      <c r="A1202" s="27" t="s">
        <v>1869</v>
      </c>
      <c r="D1202" s="27" t="s">
        <v>2255</v>
      </c>
      <c r="E1202" s="27" t="s">
        <v>2232</v>
      </c>
      <c r="F1202" s="27" t="str">
        <f>"30.5202"</f>
        <v>30.5202</v>
      </c>
      <c r="G1202" s="27" t="s">
        <v>3990</v>
      </c>
      <c r="H1202" s="65" t="str">
        <f t="shared" si="54"/>
        <v>Other</v>
      </c>
      <c r="I1202" s="65" t="str">
        <f t="shared" si="55"/>
        <v/>
      </c>
      <c r="J1202" s="65" t="str">
        <f t="shared" si="56"/>
        <v>305202</v>
      </c>
    </row>
    <row r="1203" spans="1:10" x14ac:dyDescent="0.3">
      <c r="A1203" s="27" t="s">
        <v>1869</v>
      </c>
      <c r="D1203" s="27" t="s">
        <v>2255</v>
      </c>
      <c r="E1203" s="27" t="s">
        <v>2232</v>
      </c>
      <c r="F1203" s="27" t="str">
        <f>"30.5203"</f>
        <v>30.5203</v>
      </c>
      <c r="G1203" s="27" t="s">
        <v>3991</v>
      </c>
      <c r="H1203" s="65" t="str">
        <f t="shared" si="54"/>
        <v>Other</v>
      </c>
      <c r="I1203" s="65" t="str">
        <f t="shared" si="55"/>
        <v/>
      </c>
      <c r="J1203" s="65" t="str">
        <f t="shared" si="56"/>
        <v>305203</v>
      </c>
    </row>
    <row r="1204" spans="1:10" x14ac:dyDescent="0.3">
      <c r="A1204" s="27" t="s">
        <v>1869</v>
      </c>
      <c r="D1204" s="27" t="s">
        <v>2255</v>
      </c>
      <c r="E1204" s="27" t="s">
        <v>2232</v>
      </c>
      <c r="F1204" s="27" t="str">
        <f>"30.5299"</f>
        <v>30.5299</v>
      </c>
      <c r="G1204" s="27" t="s">
        <v>3992</v>
      </c>
      <c r="H1204" s="65" t="str">
        <f t="shared" si="54"/>
        <v>Other</v>
      </c>
      <c r="I1204" s="65" t="str">
        <f t="shared" si="55"/>
        <v/>
      </c>
      <c r="J1204" s="65" t="str">
        <f t="shared" si="56"/>
        <v>305299</v>
      </c>
    </row>
    <row r="1205" spans="1:10" x14ac:dyDescent="0.3">
      <c r="A1205" s="27" t="s">
        <v>1869</v>
      </c>
      <c r="D1205" s="27" t="s">
        <v>2255</v>
      </c>
      <c r="E1205" s="27" t="s">
        <v>2232</v>
      </c>
      <c r="F1205" s="27" t="str">
        <f>"30.53"</f>
        <v>30.53</v>
      </c>
      <c r="G1205" s="27" t="s">
        <v>3993</v>
      </c>
      <c r="H1205" s="65" t="str">
        <f t="shared" si="54"/>
        <v>No Change</v>
      </c>
      <c r="I1205" s="65" t="str">
        <f t="shared" si="55"/>
        <v/>
      </c>
      <c r="J1205" s="65" t="str">
        <f t="shared" si="56"/>
        <v/>
      </c>
    </row>
    <row r="1206" spans="1:10" x14ac:dyDescent="0.3">
      <c r="A1206" s="27" t="s">
        <v>1869</v>
      </c>
      <c r="D1206" s="27" t="s">
        <v>2255</v>
      </c>
      <c r="E1206" s="27" t="s">
        <v>2232</v>
      </c>
      <c r="F1206" s="27" t="str">
        <f>"30.5301"</f>
        <v>30.5301</v>
      </c>
      <c r="G1206" s="27" t="s">
        <v>3993</v>
      </c>
      <c r="H1206" s="65" t="str">
        <f t="shared" si="54"/>
        <v>Other</v>
      </c>
      <c r="I1206" s="65" t="str">
        <f t="shared" si="55"/>
        <v/>
      </c>
      <c r="J1206" s="65" t="str">
        <f t="shared" si="56"/>
        <v>305301</v>
      </c>
    </row>
    <row r="1207" spans="1:10" x14ac:dyDescent="0.3">
      <c r="A1207" s="27" t="s">
        <v>1869</v>
      </c>
      <c r="D1207" s="27" t="s">
        <v>2255</v>
      </c>
      <c r="E1207" s="27" t="s">
        <v>2232</v>
      </c>
      <c r="F1207" s="27" t="str">
        <f>"30.70"</f>
        <v>30.70</v>
      </c>
      <c r="G1207" s="27" t="s">
        <v>3994</v>
      </c>
      <c r="H1207" s="65" t="str">
        <f t="shared" si="54"/>
        <v>No Change</v>
      </c>
      <c r="I1207" s="65" t="str">
        <f t="shared" si="55"/>
        <v/>
      </c>
      <c r="J1207" s="65" t="str">
        <f t="shared" si="56"/>
        <v/>
      </c>
    </row>
    <row r="1208" spans="1:10" x14ac:dyDescent="0.3">
      <c r="A1208" s="27" t="s">
        <v>1869</v>
      </c>
      <c r="D1208" s="27" t="s">
        <v>2255</v>
      </c>
      <c r="E1208" s="27" t="s">
        <v>2232</v>
      </c>
      <c r="F1208" s="27" t="str">
        <f>"30.7001"</f>
        <v>30.7001</v>
      </c>
      <c r="G1208" s="27" t="s">
        <v>2049</v>
      </c>
      <c r="H1208" s="65" t="str">
        <f t="shared" si="54"/>
        <v>Other</v>
      </c>
      <c r="I1208" s="65" t="str">
        <f t="shared" si="55"/>
        <v/>
      </c>
      <c r="J1208" s="65" t="str">
        <f t="shared" si="56"/>
        <v>307001</v>
      </c>
    </row>
    <row r="1209" spans="1:10" x14ac:dyDescent="0.3">
      <c r="A1209" s="27" t="s">
        <v>1869</v>
      </c>
      <c r="D1209" s="27" t="s">
        <v>2255</v>
      </c>
      <c r="E1209" s="27" t="s">
        <v>2232</v>
      </c>
      <c r="F1209" s="27" t="str">
        <f>"30.7099"</f>
        <v>30.7099</v>
      </c>
      <c r="G1209" s="27" t="s">
        <v>3995</v>
      </c>
      <c r="H1209" s="65" t="str">
        <f t="shared" si="54"/>
        <v>Other</v>
      </c>
      <c r="I1209" s="65" t="str">
        <f t="shared" si="55"/>
        <v/>
      </c>
      <c r="J1209" s="65" t="str">
        <f t="shared" si="56"/>
        <v>307099</v>
      </c>
    </row>
    <row r="1210" spans="1:10" x14ac:dyDescent="0.3">
      <c r="A1210" s="27" t="s">
        <v>1869</v>
      </c>
      <c r="D1210" s="27" t="s">
        <v>2255</v>
      </c>
      <c r="E1210" s="27" t="s">
        <v>2232</v>
      </c>
      <c r="F1210" s="27" t="str">
        <f>"30.71"</f>
        <v>30.71</v>
      </c>
      <c r="G1210" s="27" t="s">
        <v>3996</v>
      </c>
      <c r="H1210" s="65" t="str">
        <f t="shared" si="54"/>
        <v>No Change</v>
      </c>
      <c r="I1210" s="65" t="str">
        <f t="shared" si="55"/>
        <v/>
      </c>
      <c r="J1210" s="65" t="str">
        <f t="shared" si="56"/>
        <v/>
      </c>
    </row>
    <row r="1211" spans="1:10" x14ac:dyDescent="0.3">
      <c r="A1211" s="27" t="s">
        <v>1869</v>
      </c>
      <c r="D1211" s="27" t="s">
        <v>2255</v>
      </c>
      <c r="E1211" s="27" t="s">
        <v>2232</v>
      </c>
      <c r="F1211" s="27" t="str">
        <f>"30.7101"</f>
        <v>30.7101</v>
      </c>
      <c r="G1211" s="27" t="s">
        <v>3997</v>
      </c>
      <c r="H1211" s="65" t="str">
        <f t="shared" si="54"/>
        <v>Other</v>
      </c>
      <c r="I1211" s="65" t="str">
        <f t="shared" si="55"/>
        <v/>
      </c>
      <c r="J1211" s="65" t="str">
        <f t="shared" si="56"/>
        <v>307101</v>
      </c>
    </row>
    <row r="1212" spans="1:10" x14ac:dyDescent="0.3">
      <c r="A1212" s="27" t="s">
        <v>1869</v>
      </c>
      <c r="D1212" s="27" t="s">
        <v>2255</v>
      </c>
      <c r="E1212" s="27" t="s">
        <v>2232</v>
      </c>
      <c r="F1212" s="27" t="str">
        <f>"30.7102"</f>
        <v>30.7102</v>
      </c>
      <c r="G1212" s="27" t="s">
        <v>3998</v>
      </c>
      <c r="H1212" s="65" t="str">
        <f t="shared" si="54"/>
        <v>Other</v>
      </c>
      <c r="I1212" s="65" t="str">
        <f t="shared" si="55"/>
        <v/>
      </c>
      <c r="J1212" s="65" t="str">
        <f t="shared" si="56"/>
        <v>307102</v>
      </c>
    </row>
    <row r="1213" spans="1:10" x14ac:dyDescent="0.3">
      <c r="A1213" s="27" t="s">
        <v>1869</v>
      </c>
      <c r="D1213" s="27" t="s">
        <v>2255</v>
      </c>
      <c r="E1213" s="27" t="s">
        <v>2232</v>
      </c>
      <c r="F1213" s="27" t="str">
        <f>"30.7103"</f>
        <v>30.7103</v>
      </c>
      <c r="G1213" s="27" t="s">
        <v>3999</v>
      </c>
      <c r="H1213" s="65" t="str">
        <f t="shared" si="54"/>
        <v>Other</v>
      </c>
      <c r="I1213" s="65" t="str">
        <f t="shared" si="55"/>
        <v/>
      </c>
      <c r="J1213" s="65" t="str">
        <f t="shared" si="56"/>
        <v>307103</v>
      </c>
    </row>
    <row r="1214" spans="1:10" x14ac:dyDescent="0.3">
      <c r="A1214" s="27" t="s">
        <v>1869</v>
      </c>
      <c r="D1214" s="27" t="s">
        <v>2255</v>
      </c>
      <c r="E1214" s="27" t="s">
        <v>2232</v>
      </c>
      <c r="F1214" s="27" t="str">
        <f>"30.7104"</f>
        <v>30.7104</v>
      </c>
      <c r="G1214" s="27" t="s">
        <v>4000</v>
      </c>
      <c r="H1214" s="65" t="str">
        <f t="shared" si="54"/>
        <v>Other</v>
      </c>
      <c r="I1214" s="65" t="str">
        <f t="shared" si="55"/>
        <v/>
      </c>
      <c r="J1214" s="65" t="str">
        <f t="shared" si="56"/>
        <v>307104</v>
      </c>
    </row>
    <row r="1215" spans="1:10" x14ac:dyDescent="0.3">
      <c r="A1215" s="27" t="s">
        <v>1869</v>
      </c>
      <c r="D1215" s="27" t="s">
        <v>2255</v>
      </c>
      <c r="E1215" s="27" t="s">
        <v>2232</v>
      </c>
      <c r="F1215" s="27" t="str">
        <f>"30.7199"</f>
        <v>30.7199</v>
      </c>
      <c r="G1215" s="27" t="s">
        <v>4001</v>
      </c>
      <c r="H1215" s="65" t="str">
        <f t="shared" si="54"/>
        <v>Other</v>
      </c>
      <c r="I1215" s="65" t="str">
        <f t="shared" si="55"/>
        <v/>
      </c>
      <c r="J1215" s="65" t="str">
        <f t="shared" si="56"/>
        <v>307199</v>
      </c>
    </row>
    <row r="1216" spans="1:10" x14ac:dyDescent="0.3">
      <c r="A1216" s="27" t="s">
        <v>1869</v>
      </c>
      <c r="B1216" s="27" t="str">
        <f>"30.99"</f>
        <v>30.99</v>
      </c>
      <c r="C1216" s="64" t="s">
        <v>4002</v>
      </c>
      <c r="D1216" s="27" t="s">
        <v>2229</v>
      </c>
      <c r="E1216" s="27" t="s">
        <v>2232</v>
      </c>
      <c r="F1216" s="27" t="str">
        <f>"30.99"</f>
        <v>30.99</v>
      </c>
      <c r="G1216" s="27" t="s">
        <v>4002</v>
      </c>
      <c r="H1216" s="65" t="str">
        <f t="shared" si="54"/>
        <v>No Change</v>
      </c>
      <c r="I1216" s="65" t="str">
        <f t="shared" si="55"/>
        <v/>
      </c>
      <c r="J1216" s="65" t="str">
        <f t="shared" si="56"/>
        <v/>
      </c>
    </row>
    <row r="1217" spans="1:10" x14ac:dyDescent="0.3">
      <c r="A1217" s="27" t="s">
        <v>4003</v>
      </c>
      <c r="B1217" s="27" t="str">
        <f>"30.9999"</f>
        <v>30.9999</v>
      </c>
      <c r="C1217" s="64" t="s">
        <v>4004</v>
      </c>
      <c r="D1217" s="27" t="s">
        <v>2229</v>
      </c>
      <c r="E1217" s="27" t="s">
        <v>2232</v>
      </c>
      <c r="F1217" s="27" t="str">
        <f>"30.9999"</f>
        <v>30.9999</v>
      </c>
      <c r="G1217" s="27" t="s">
        <v>4004</v>
      </c>
      <c r="H1217" s="65" t="str">
        <f t="shared" si="54"/>
        <v>No Change</v>
      </c>
      <c r="I1217" s="65" t="str">
        <f t="shared" si="55"/>
        <v>309999</v>
      </c>
      <c r="J1217" s="65" t="str">
        <f t="shared" si="56"/>
        <v>309999</v>
      </c>
    </row>
    <row r="1218" spans="1:10" x14ac:dyDescent="0.3">
      <c r="A1218" s="27" t="s">
        <v>1869</v>
      </c>
      <c r="B1218" s="27" t="str">
        <f>"31"</f>
        <v>31</v>
      </c>
      <c r="C1218" s="64" t="s">
        <v>4005</v>
      </c>
      <c r="D1218" s="27" t="s">
        <v>2229</v>
      </c>
      <c r="E1218" s="27" t="s">
        <v>2230</v>
      </c>
      <c r="F1218" s="27" t="str">
        <f>"31"</f>
        <v>31</v>
      </c>
      <c r="G1218" s="27" t="s">
        <v>4006</v>
      </c>
      <c r="H1218" s="65" t="str">
        <f t="shared" si="54"/>
        <v>No Change</v>
      </c>
      <c r="I1218" s="65" t="str">
        <f t="shared" si="55"/>
        <v/>
      </c>
      <c r="J1218" s="65" t="str">
        <f t="shared" si="56"/>
        <v/>
      </c>
    </row>
    <row r="1219" spans="1:10" x14ac:dyDescent="0.3">
      <c r="A1219" s="27" t="s">
        <v>1869</v>
      </c>
      <c r="B1219" s="27" t="str">
        <f>"31.01"</f>
        <v>31.01</v>
      </c>
      <c r="C1219" s="64" t="s">
        <v>4007</v>
      </c>
      <c r="D1219" s="27" t="s">
        <v>2229</v>
      </c>
      <c r="E1219" s="27" t="s">
        <v>2232</v>
      </c>
      <c r="F1219" s="27" t="str">
        <f>"31.01"</f>
        <v>31.01</v>
      </c>
      <c r="G1219" s="27" t="s">
        <v>4008</v>
      </c>
      <c r="H1219" s="65" t="str">
        <f t="shared" ref="H1219:H1282" si="57">IF(I1219=J1219,"No Change","Other")</f>
        <v>No Change</v>
      </c>
      <c r="I1219" s="65" t="str">
        <f t="shared" ref="I1219:I1282" si="58">SUBSTITUTE(IF(SUM(LEN(B1219))&lt;7,"",B1219),".","")</f>
        <v/>
      </c>
      <c r="J1219" s="65" t="str">
        <f t="shared" ref="J1219:J1282" si="59">SUBSTITUTE(IF(SUM(LEN(F1219))&lt;7,"",F1219),".","")</f>
        <v/>
      </c>
    </row>
    <row r="1220" spans="1:10" x14ac:dyDescent="0.3">
      <c r="A1220" s="27" t="s">
        <v>4009</v>
      </c>
      <c r="B1220" s="27" t="str">
        <f>"31.0101"</f>
        <v>31.0101</v>
      </c>
      <c r="C1220" s="64" t="s">
        <v>4007</v>
      </c>
      <c r="D1220" s="27" t="s">
        <v>2229</v>
      </c>
      <c r="E1220" s="27" t="s">
        <v>2232</v>
      </c>
      <c r="F1220" s="27" t="str">
        <f>"31.0101"</f>
        <v>31.0101</v>
      </c>
      <c r="G1220" s="27" t="s">
        <v>4008</v>
      </c>
      <c r="H1220" s="65" t="str">
        <f t="shared" si="57"/>
        <v>No Change</v>
      </c>
      <c r="I1220" s="65" t="str">
        <f t="shared" si="58"/>
        <v>310101</v>
      </c>
      <c r="J1220" s="65" t="str">
        <f t="shared" si="59"/>
        <v>310101</v>
      </c>
    </row>
    <row r="1221" spans="1:10" x14ac:dyDescent="0.3">
      <c r="A1221" s="27" t="s">
        <v>1869</v>
      </c>
      <c r="B1221" s="27" t="str">
        <f>"31.03"</f>
        <v>31.03</v>
      </c>
      <c r="C1221" s="64" t="s">
        <v>4010</v>
      </c>
      <c r="D1221" s="27" t="s">
        <v>2229</v>
      </c>
      <c r="E1221" s="27" t="s">
        <v>2232</v>
      </c>
      <c r="F1221" s="27" t="str">
        <f>"31.03"</f>
        <v>31.03</v>
      </c>
      <c r="G1221" s="27" t="s">
        <v>4011</v>
      </c>
      <c r="H1221" s="65" t="str">
        <f t="shared" si="57"/>
        <v>No Change</v>
      </c>
      <c r="I1221" s="65" t="str">
        <f t="shared" si="58"/>
        <v/>
      </c>
      <c r="J1221" s="65" t="str">
        <f t="shared" si="59"/>
        <v/>
      </c>
    </row>
    <row r="1222" spans="1:10" x14ac:dyDescent="0.3">
      <c r="A1222" s="27" t="s">
        <v>4012</v>
      </c>
      <c r="B1222" s="27" t="str">
        <f>"31.0301"</f>
        <v>31.0301</v>
      </c>
      <c r="C1222" s="64" t="s">
        <v>4013</v>
      </c>
      <c r="D1222" s="27" t="s">
        <v>2229</v>
      </c>
      <c r="E1222" s="27" t="s">
        <v>2232</v>
      </c>
      <c r="F1222" s="27" t="str">
        <f>"31.0301"</f>
        <v>31.0301</v>
      </c>
      <c r="G1222" s="27" t="s">
        <v>4014</v>
      </c>
      <c r="H1222" s="65" t="str">
        <f t="shared" si="57"/>
        <v>No Change</v>
      </c>
      <c r="I1222" s="65" t="str">
        <f t="shared" si="58"/>
        <v>310301</v>
      </c>
      <c r="J1222" s="65" t="str">
        <f t="shared" si="59"/>
        <v>310301</v>
      </c>
    </row>
    <row r="1223" spans="1:10" x14ac:dyDescent="0.3">
      <c r="A1223" s="27" t="s">
        <v>4015</v>
      </c>
      <c r="B1223" s="27" t="str">
        <f>"31.0302"</f>
        <v>31.0302</v>
      </c>
      <c r="C1223" s="64" t="s">
        <v>4016</v>
      </c>
      <c r="D1223" s="27" t="s">
        <v>2229</v>
      </c>
      <c r="E1223" s="27" t="s">
        <v>2232</v>
      </c>
      <c r="F1223" s="27" t="str">
        <f>"31.0302"</f>
        <v>31.0302</v>
      </c>
      <c r="G1223" s="27" t="s">
        <v>4016</v>
      </c>
      <c r="H1223" s="65" t="str">
        <f t="shared" si="57"/>
        <v>No Change</v>
      </c>
      <c r="I1223" s="65" t="str">
        <f t="shared" si="58"/>
        <v>310302</v>
      </c>
      <c r="J1223" s="65" t="str">
        <f t="shared" si="59"/>
        <v>310302</v>
      </c>
    </row>
    <row r="1224" spans="1:10" x14ac:dyDescent="0.3">
      <c r="A1224" s="27" t="s">
        <v>4017</v>
      </c>
      <c r="B1224" s="27" t="str">
        <f>"31.0399"</f>
        <v>31.0399</v>
      </c>
      <c r="C1224" s="64" t="s">
        <v>4018</v>
      </c>
      <c r="D1224" s="27" t="s">
        <v>2229</v>
      </c>
      <c r="E1224" s="27" t="s">
        <v>2232</v>
      </c>
      <c r="F1224" s="27" t="str">
        <f>"31.0399"</f>
        <v>31.0399</v>
      </c>
      <c r="G1224" s="27" t="s">
        <v>4019</v>
      </c>
      <c r="H1224" s="65" t="str">
        <f t="shared" si="57"/>
        <v>No Change</v>
      </c>
      <c r="I1224" s="65" t="str">
        <f t="shared" si="58"/>
        <v>310399</v>
      </c>
      <c r="J1224" s="65" t="str">
        <f t="shared" si="59"/>
        <v>310399</v>
      </c>
    </row>
    <row r="1225" spans="1:10" x14ac:dyDescent="0.3">
      <c r="A1225" s="27" t="s">
        <v>1869</v>
      </c>
      <c r="B1225" s="27" t="str">
        <f>"31.05"</f>
        <v>31.05</v>
      </c>
      <c r="C1225" s="64" t="s">
        <v>4020</v>
      </c>
      <c r="D1225" s="27" t="s">
        <v>2229</v>
      </c>
      <c r="E1225" s="27" t="s">
        <v>2230</v>
      </c>
      <c r="F1225" s="27" t="str">
        <f>"31.05"</f>
        <v>31.05</v>
      </c>
      <c r="G1225" s="27" t="s">
        <v>4021</v>
      </c>
      <c r="H1225" s="65" t="str">
        <f t="shared" si="57"/>
        <v>No Change</v>
      </c>
      <c r="I1225" s="65" t="str">
        <f t="shared" si="58"/>
        <v/>
      </c>
      <c r="J1225" s="65" t="str">
        <f t="shared" si="59"/>
        <v/>
      </c>
    </row>
    <row r="1226" spans="1:10" x14ac:dyDescent="0.3">
      <c r="A1226" s="27" t="s">
        <v>4022</v>
      </c>
      <c r="B1226" s="27" t="str">
        <f>"31.0501"</f>
        <v>31.0501</v>
      </c>
      <c r="C1226" s="64" t="s">
        <v>4023</v>
      </c>
      <c r="D1226" s="27" t="s">
        <v>2229</v>
      </c>
      <c r="E1226" s="27" t="s">
        <v>2230</v>
      </c>
      <c r="F1226" s="27" t="str">
        <f>"31.0501"</f>
        <v>31.0501</v>
      </c>
      <c r="G1226" s="27" t="s">
        <v>4024</v>
      </c>
      <c r="H1226" s="65" t="str">
        <f t="shared" si="57"/>
        <v>No Change</v>
      </c>
      <c r="I1226" s="65" t="str">
        <f t="shared" si="58"/>
        <v>310501</v>
      </c>
      <c r="J1226" s="65" t="str">
        <f t="shared" si="59"/>
        <v>310501</v>
      </c>
    </row>
    <row r="1227" spans="1:10" x14ac:dyDescent="0.3">
      <c r="A1227" s="27" t="s">
        <v>4025</v>
      </c>
      <c r="B1227" s="27" t="str">
        <f>"31.0504"</f>
        <v>31.0504</v>
      </c>
      <c r="C1227" s="64" t="s">
        <v>4026</v>
      </c>
      <c r="D1227" s="27" t="s">
        <v>2229</v>
      </c>
      <c r="E1227" s="27" t="s">
        <v>2232</v>
      </c>
      <c r="F1227" s="27" t="str">
        <f>"31.0504"</f>
        <v>31.0504</v>
      </c>
      <c r="G1227" s="27" t="s">
        <v>4026</v>
      </c>
      <c r="H1227" s="65" t="str">
        <f t="shared" si="57"/>
        <v>No Change</v>
      </c>
      <c r="I1227" s="65" t="str">
        <f t="shared" si="58"/>
        <v>310504</v>
      </c>
      <c r="J1227" s="65" t="str">
        <f t="shared" si="59"/>
        <v>310504</v>
      </c>
    </row>
    <row r="1228" spans="1:10" x14ac:dyDescent="0.3">
      <c r="A1228" s="27" t="s">
        <v>4027</v>
      </c>
      <c r="B1228" s="27" t="str">
        <f>"31.0505"</f>
        <v>31.0505</v>
      </c>
      <c r="C1228" s="64" t="s">
        <v>4028</v>
      </c>
      <c r="D1228" s="27" t="s">
        <v>2229</v>
      </c>
      <c r="E1228" s="27" t="s">
        <v>2230</v>
      </c>
      <c r="F1228" s="27" t="str">
        <f>"31.0505"</f>
        <v>31.0505</v>
      </c>
      <c r="G1228" s="27" t="s">
        <v>4029</v>
      </c>
      <c r="H1228" s="65" t="str">
        <f t="shared" si="57"/>
        <v>No Change</v>
      </c>
      <c r="I1228" s="65" t="str">
        <f t="shared" si="58"/>
        <v>310505</v>
      </c>
      <c r="J1228" s="65" t="str">
        <f t="shared" si="59"/>
        <v>310505</v>
      </c>
    </row>
    <row r="1229" spans="1:10" x14ac:dyDescent="0.3">
      <c r="A1229" s="27" t="s">
        <v>487</v>
      </c>
      <c r="B1229" s="27" t="str">
        <f>"31.0507"</f>
        <v>31.0507</v>
      </c>
      <c r="C1229" s="64" t="s">
        <v>488</v>
      </c>
      <c r="D1229" s="27" t="s">
        <v>2229</v>
      </c>
      <c r="E1229" s="27" t="s">
        <v>2232</v>
      </c>
      <c r="F1229" s="27" t="str">
        <f>"31.0507"</f>
        <v>31.0507</v>
      </c>
      <c r="G1229" s="27" t="s">
        <v>488</v>
      </c>
      <c r="H1229" s="65" t="str">
        <f t="shared" si="57"/>
        <v>No Change</v>
      </c>
      <c r="I1229" s="65" t="str">
        <f t="shared" si="58"/>
        <v>310507</v>
      </c>
      <c r="J1229" s="65" t="str">
        <f t="shared" si="59"/>
        <v>310507</v>
      </c>
    </row>
    <row r="1230" spans="1:10" x14ac:dyDescent="0.3">
      <c r="A1230" s="27" t="s">
        <v>4030</v>
      </c>
      <c r="B1230" s="27" t="str">
        <f>"31.0508"</f>
        <v>31.0508</v>
      </c>
      <c r="C1230" s="64" t="s">
        <v>4031</v>
      </c>
      <c r="D1230" s="27" t="s">
        <v>2229</v>
      </c>
      <c r="E1230" s="27" t="s">
        <v>2232</v>
      </c>
      <c r="F1230" s="27" t="str">
        <f>"31.0508"</f>
        <v>31.0508</v>
      </c>
      <c r="G1230" s="27" t="s">
        <v>4031</v>
      </c>
      <c r="H1230" s="65" t="str">
        <f t="shared" si="57"/>
        <v>No Change</v>
      </c>
      <c r="I1230" s="65" t="str">
        <f t="shared" si="58"/>
        <v>310508</v>
      </c>
      <c r="J1230" s="65" t="str">
        <f t="shared" si="59"/>
        <v>310508</v>
      </c>
    </row>
    <row r="1231" spans="1:10" x14ac:dyDescent="0.3">
      <c r="A1231" s="27" t="s">
        <v>4032</v>
      </c>
      <c r="B1231" s="27" t="str">
        <f>"31.0599"</f>
        <v>31.0599</v>
      </c>
      <c r="C1231" s="64" t="s">
        <v>4033</v>
      </c>
      <c r="D1231" s="27" t="s">
        <v>2229</v>
      </c>
      <c r="E1231" s="27" t="s">
        <v>2230</v>
      </c>
      <c r="F1231" s="27" t="str">
        <f>"31.0599"</f>
        <v>31.0599</v>
      </c>
      <c r="G1231" s="27" t="s">
        <v>4034</v>
      </c>
      <c r="H1231" s="65" t="str">
        <f t="shared" si="57"/>
        <v>No Change</v>
      </c>
      <c r="I1231" s="65" t="str">
        <f t="shared" si="58"/>
        <v>310599</v>
      </c>
      <c r="J1231" s="65" t="str">
        <f t="shared" si="59"/>
        <v>310599</v>
      </c>
    </row>
    <row r="1232" spans="1:10" x14ac:dyDescent="0.3">
      <c r="A1232" s="27" t="s">
        <v>1869</v>
      </c>
      <c r="B1232" s="27" t="str">
        <f>"31.06"</f>
        <v>31.06</v>
      </c>
      <c r="C1232" s="64" t="s">
        <v>4035</v>
      </c>
      <c r="D1232" s="27" t="s">
        <v>2229</v>
      </c>
      <c r="E1232" s="27" t="s">
        <v>2232</v>
      </c>
      <c r="F1232" s="27" t="str">
        <f>"31.06"</f>
        <v>31.06</v>
      </c>
      <c r="G1232" s="27" t="s">
        <v>4035</v>
      </c>
      <c r="H1232" s="65" t="str">
        <f t="shared" si="57"/>
        <v>No Change</v>
      </c>
      <c r="I1232" s="65" t="str">
        <f t="shared" si="58"/>
        <v/>
      </c>
      <c r="J1232" s="65" t="str">
        <f t="shared" si="59"/>
        <v/>
      </c>
    </row>
    <row r="1233" spans="1:10" x14ac:dyDescent="0.3">
      <c r="A1233" s="27" t="s">
        <v>4036</v>
      </c>
      <c r="B1233" s="27" t="str">
        <f>"31.0601"</f>
        <v>31.0601</v>
      </c>
      <c r="C1233" s="64" t="s">
        <v>4035</v>
      </c>
      <c r="D1233" s="27" t="s">
        <v>2229</v>
      </c>
      <c r="E1233" s="27" t="s">
        <v>2232</v>
      </c>
      <c r="F1233" s="27" t="str">
        <f>"31.0601"</f>
        <v>31.0601</v>
      </c>
      <c r="G1233" s="27" t="s">
        <v>4035</v>
      </c>
      <c r="H1233" s="65" t="str">
        <f t="shared" si="57"/>
        <v>No Change</v>
      </c>
      <c r="I1233" s="65" t="str">
        <f t="shared" si="58"/>
        <v>310601</v>
      </c>
      <c r="J1233" s="65" t="str">
        <f t="shared" si="59"/>
        <v>310601</v>
      </c>
    </row>
    <row r="1234" spans="1:10" x14ac:dyDescent="0.3">
      <c r="A1234" s="27" t="s">
        <v>1869</v>
      </c>
      <c r="B1234" s="27" t="str">
        <f>"31.99"</f>
        <v>31.99</v>
      </c>
      <c r="C1234" s="64" t="s">
        <v>4037</v>
      </c>
      <c r="D1234" s="27" t="s">
        <v>2229</v>
      </c>
      <c r="E1234" s="27" t="s">
        <v>2230</v>
      </c>
      <c r="F1234" s="27" t="str">
        <f>"31.99"</f>
        <v>31.99</v>
      </c>
      <c r="G1234" s="27" t="s">
        <v>4038</v>
      </c>
      <c r="H1234" s="65" t="str">
        <f t="shared" si="57"/>
        <v>No Change</v>
      </c>
      <c r="I1234" s="65" t="str">
        <f t="shared" si="58"/>
        <v/>
      </c>
      <c r="J1234" s="65" t="str">
        <f t="shared" si="59"/>
        <v/>
      </c>
    </row>
    <row r="1235" spans="1:10" x14ac:dyDescent="0.3">
      <c r="A1235" s="27" t="s">
        <v>4039</v>
      </c>
      <c r="B1235" s="27" t="str">
        <f>"31.9999"</f>
        <v>31.9999</v>
      </c>
      <c r="C1235" s="64" t="s">
        <v>4037</v>
      </c>
      <c r="D1235" s="27" t="s">
        <v>2229</v>
      </c>
      <c r="E1235" s="27" t="s">
        <v>2230</v>
      </c>
      <c r="F1235" s="27" t="str">
        <f>"31.9999"</f>
        <v>31.9999</v>
      </c>
      <c r="G1235" s="27" t="s">
        <v>4038</v>
      </c>
      <c r="H1235" s="65" t="str">
        <f t="shared" si="57"/>
        <v>No Change</v>
      </c>
      <c r="I1235" s="65" t="str">
        <f t="shared" si="58"/>
        <v>319999</v>
      </c>
      <c r="J1235" s="65" t="str">
        <f t="shared" si="59"/>
        <v>319999</v>
      </c>
    </row>
    <row r="1236" spans="1:10" x14ac:dyDescent="0.3">
      <c r="A1236" s="27" t="s">
        <v>1869</v>
      </c>
      <c r="B1236" s="27" t="str">
        <f>"32"</f>
        <v>32</v>
      </c>
      <c r="C1236" s="64" t="s">
        <v>4040</v>
      </c>
      <c r="D1236" s="27" t="s">
        <v>2229</v>
      </c>
      <c r="E1236" s="27" t="s">
        <v>2232</v>
      </c>
      <c r="F1236" s="27" t="str">
        <f>"32"</f>
        <v>32</v>
      </c>
      <c r="G1236" s="27" t="s">
        <v>4040</v>
      </c>
      <c r="H1236" s="65" t="str">
        <f t="shared" si="57"/>
        <v>No Change</v>
      </c>
      <c r="I1236" s="65" t="str">
        <f t="shared" si="58"/>
        <v/>
      </c>
      <c r="J1236" s="65" t="str">
        <f t="shared" si="59"/>
        <v/>
      </c>
    </row>
    <row r="1237" spans="1:10" x14ac:dyDescent="0.3">
      <c r="A1237" s="27" t="s">
        <v>1869</v>
      </c>
      <c r="B1237" s="27" t="str">
        <f>"32.01"</f>
        <v>32.01</v>
      </c>
      <c r="C1237" s="64" t="s">
        <v>4041</v>
      </c>
      <c r="D1237" s="27" t="s">
        <v>2229</v>
      </c>
      <c r="E1237" s="27" t="s">
        <v>2232</v>
      </c>
      <c r="F1237" s="27" t="str">
        <f>"32.01"</f>
        <v>32.01</v>
      </c>
      <c r="G1237" s="27" t="s">
        <v>4041</v>
      </c>
      <c r="H1237" s="65" t="str">
        <f t="shared" si="57"/>
        <v>No Change</v>
      </c>
      <c r="I1237" s="65" t="str">
        <f t="shared" si="58"/>
        <v/>
      </c>
      <c r="J1237" s="65" t="str">
        <f t="shared" si="59"/>
        <v/>
      </c>
    </row>
    <row r="1238" spans="1:10" x14ac:dyDescent="0.3">
      <c r="A1238" s="27" t="s">
        <v>4042</v>
      </c>
      <c r="B1238" s="27" t="str">
        <f>"32.0101"</f>
        <v>32.0101</v>
      </c>
      <c r="C1238" s="64" t="s">
        <v>4043</v>
      </c>
      <c r="D1238" s="27" t="s">
        <v>2229</v>
      </c>
      <c r="E1238" s="27" t="s">
        <v>2232</v>
      </c>
      <c r="F1238" s="27" t="str">
        <f>"32.0101"</f>
        <v>32.0101</v>
      </c>
      <c r="G1238" s="27" t="s">
        <v>4043</v>
      </c>
      <c r="H1238" s="65" t="str">
        <f t="shared" si="57"/>
        <v>No Change</v>
      </c>
      <c r="I1238" s="65" t="str">
        <f t="shared" si="58"/>
        <v>320101</v>
      </c>
      <c r="J1238" s="65" t="str">
        <f t="shared" si="59"/>
        <v>320101</v>
      </c>
    </row>
    <row r="1239" spans="1:10" x14ac:dyDescent="0.3">
      <c r="A1239" s="27" t="s">
        <v>4044</v>
      </c>
      <c r="B1239" s="27" t="str">
        <f>"32.0104"</f>
        <v>32.0104</v>
      </c>
      <c r="C1239" s="64" t="s">
        <v>4045</v>
      </c>
      <c r="D1239" s="27" t="s">
        <v>2229</v>
      </c>
      <c r="E1239" s="27" t="s">
        <v>2232</v>
      </c>
      <c r="F1239" s="27" t="str">
        <f>"32.0104"</f>
        <v>32.0104</v>
      </c>
      <c r="G1239" s="27" t="s">
        <v>4045</v>
      </c>
      <c r="H1239" s="65" t="str">
        <f t="shared" si="57"/>
        <v>No Change</v>
      </c>
      <c r="I1239" s="65" t="str">
        <f t="shared" si="58"/>
        <v>320104</v>
      </c>
      <c r="J1239" s="65" t="str">
        <f t="shared" si="59"/>
        <v>320104</v>
      </c>
    </row>
    <row r="1240" spans="1:10" x14ac:dyDescent="0.3">
      <c r="A1240" s="27" t="s">
        <v>4046</v>
      </c>
      <c r="B1240" s="27" t="str">
        <f>"32.0105"</f>
        <v>32.0105</v>
      </c>
      <c r="C1240" s="64" t="s">
        <v>4047</v>
      </c>
      <c r="D1240" s="27" t="s">
        <v>2229</v>
      </c>
      <c r="E1240" s="27" t="s">
        <v>2232</v>
      </c>
      <c r="F1240" s="27" t="str">
        <f>"32.0105"</f>
        <v>32.0105</v>
      </c>
      <c r="G1240" s="27" t="s">
        <v>4047</v>
      </c>
      <c r="H1240" s="65" t="str">
        <f t="shared" si="57"/>
        <v>No Change</v>
      </c>
      <c r="I1240" s="65" t="str">
        <f t="shared" si="58"/>
        <v>320105</v>
      </c>
      <c r="J1240" s="65" t="str">
        <f t="shared" si="59"/>
        <v>320105</v>
      </c>
    </row>
    <row r="1241" spans="1:10" x14ac:dyDescent="0.3">
      <c r="A1241" s="27" t="s">
        <v>4048</v>
      </c>
      <c r="B1241" s="27" t="str">
        <f>"32.0107"</f>
        <v>32.0107</v>
      </c>
      <c r="C1241" s="64" t="s">
        <v>4049</v>
      </c>
      <c r="D1241" s="27" t="s">
        <v>2229</v>
      </c>
      <c r="E1241" s="27" t="s">
        <v>2232</v>
      </c>
      <c r="F1241" s="27" t="str">
        <f>"32.0107"</f>
        <v>32.0107</v>
      </c>
      <c r="G1241" s="27" t="s">
        <v>4049</v>
      </c>
      <c r="H1241" s="65" t="str">
        <f t="shared" si="57"/>
        <v>No Change</v>
      </c>
      <c r="I1241" s="65" t="str">
        <f t="shared" si="58"/>
        <v>320107</v>
      </c>
      <c r="J1241" s="65" t="str">
        <f t="shared" si="59"/>
        <v>320107</v>
      </c>
    </row>
    <row r="1242" spans="1:10" x14ac:dyDescent="0.3">
      <c r="A1242" s="27" t="s">
        <v>4050</v>
      </c>
      <c r="B1242" s="27" t="str">
        <f>"32.0108"</f>
        <v>32.0108</v>
      </c>
      <c r="C1242" s="64" t="s">
        <v>4051</v>
      </c>
      <c r="D1242" s="27" t="s">
        <v>2229</v>
      </c>
      <c r="E1242" s="27" t="s">
        <v>2232</v>
      </c>
      <c r="F1242" s="27" t="str">
        <f>"32.0108"</f>
        <v>32.0108</v>
      </c>
      <c r="G1242" s="27" t="s">
        <v>4051</v>
      </c>
      <c r="H1242" s="65" t="str">
        <f t="shared" si="57"/>
        <v>No Change</v>
      </c>
      <c r="I1242" s="65" t="str">
        <f t="shared" si="58"/>
        <v>320108</v>
      </c>
      <c r="J1242" s="65" t="str">
        <f t="shared" si="59"/>
        <v>320108</v>
      </c>
    </row>
    <row r="1243" spans="1:10" x14ac:dyDescent="0.3">
      <c r="A1243" s="27" t="s">
        <v>4052</v>
      </c>
      <c r="B1243" s="27" t="str">
        <f>"32.0109"</f>
        <v>32.0109</v>
      </c>
      <c r="C1243" s="64" t="s">
        <v>3370</v>
      </c>
      <c r="D1243" s="27" t="s">
        <v>2229</v>
      </c>
      <c r="E1243" s="27" t="s">
        <v>2232</v>
      </c>
      <c r="F1243" s="27" t="str">
        <f>"32.0109"</f>
        <v>32.0109</v>
      </c>
      <c r="G1243" s="27" t="s">
        <v>3370</v>
      </c>
      <c r="H1243" s="65" t="str">
        <f t="shared" si="57"/>
        <v>No Change</v>
      </c>
      <c r="I1243" s="65" t="str">
        <f t="shared" si="58"/>
        <v>320109</v>
      </c>
      <c r="J1243" s="65" t="str">
        <f t="shared" si="59"/>
        <v>320109</v>
      </c>
    </row>
    <row r="1244" spans="1:10" x14ac:dyDescent="0.3">
      <c r="A1244" s="27" t="s">
        <v>4053</v>
      </c>
      <c r="B1244" s="27" t="str">
        <f>"32.0110"</f>
        <v>32.0110</v>
      </c>
      <c r="C1244" s="64" t="s">
        <v>4054</v>
      </c>
      <c r="D1244" s="27" t="s">
        <v>2229</v>
      </c>
      <c r="E1244" s="27" t="s">
        <v>2232</v>
      </c>
      <c r="F1244" s="27" t="str">
        <f>"32.0110"</f>
        <v>32.0110</v>
      </c>
      <c r="G1244" s="27" t="s">
        <v>4054</v>
      </c>
      <c r="H1244" s="65" t="str">
        <f t="shared" si="57"/>
        <v>No Change</v>
      </c>
      <c r="I1244" s="65" t="str">
        <f t="shared" si="58"/>
        <v>320110</v>
      </c>
      <c r="J1244" s="65" t="str">
        <f t="shared" si="59"/>
        <v>320110</v>
      </c>
    </row>
    <row r="1245" spans="1:10" x14ac:dyDescent="0.3">
      <c r="A1245" s="27" t="s">
        <v>4055</v>
      </c>
      <c r="B1245" s="27" t="str">
        <f>"32.0111"</f>
        <v>32.0111</v>
      </c>
      <c r="C1245" s="64" t="s">
        <v>4056</v>
      </c>
      <c r="D1245" s="27" t="s">
        <v>2229</v>
      </c>
      <c r="E1245" s="27" t="s">
        <v>2232</v>
      </c>
      <c r="F1245" s="27" t="str">
        <f>"32.0111"</f>
        <v>32.0111</v>
      </c>
      <c r="G1245" s="27" t="s">
        <v>4056</v>
      </c>
      <c r="H1245" s="65" t="str">
        <f t="shared" si="57"/>
        <v>No Change</v>
      </c>
      <c r="I1245" s="65" t="str">
        <f t="shared" si="58"/>
        <v>320111</v>
      </c>
      <c r="J1245" s="65" t="str">
        <f t="shared" si="59"/>
        <v>320111</v>
      </c>
    </row>
    <row r="1246" spans="1:10" x14ac:dyDescent="0.3">
      <c r="A1246" s="27" t="s">
        <v>1869</v>
      </c>
      <c r="D1246" s="27" t="s">
        <v>2255</v>
      </c>
      <c r="E1246" s="27" t="s">
        <v>2232</v>
      </c>
      <c r="F1246" s="27" t="str">
        <f>"32.0112"</f>
        <v>32.0112</v>
      </c>
      <c r="G1246" s="27" t="s">
        <v>4057</v>
      </c>
      <c r="H1246" s="65" t="str">
        <f t="shared" si="57"/>
        <v>Other</v>
      </c>
      <c r="I1246" s="65" t="str">
        <f t="shared" si="58"/>
        <v/>
      </c>
      <c r="J1246" s="65" t="str">
        <f t="shared" si="59"/>
        <v>320112</v>
      </c>
    </row>
    <row r="1247" spans="1:10" x14ac:dyDescent="0.3">
      <c r="A1247" s="27" t="s">
        <v>4058</v>
      </c>
      <c r="B1247" s="27" t="str">
        <f>"32.0199"</f>
        <v>32.0199</v>
      </c>
      <c r="C1247" s="64" t="s">
        <v>4059</v>
      </c>
      <c r="D1247" s="27" t="s">
        <v>2229</v>
      </c>
      <c r="E1247" s="27" t="s">
        <v>2232</v>
      </c>
      <c r="F1247" s="27" t="str">
        <f>"32.0199"</f>
        <v>32.0199</v>
      </c>
      <c r="G1247" s="27" t="s">
        <v>4059</v>
      </c>
      <c r="H1247" s="65" t="str">
        <f t="shared" si="57"/>
        <v>No Change</v>
      </c>
      <c r="I1247" s="65" t="str">
        <f t="shared" si="58"/>
        <v>320199</v>
      </c>
      <c r="J1247" s="65" t="str">
        <f t="shared" si="59"/>
        <v>320199</v>
      </c>
    </row>
    <row r="1248" spans="1:10" x14ac:dyDescent="0.3">
      <c r="A1248" s="27" t="s">
        <v>1869</v>
      </c>
      <c r="D1248" s="27" t="s">
        <v>2255</v>
      </c>
      <c r="E1248" s="27" t="s">
        <v>2232</v>
      </c>
      <c r="F1248" s="27" t="str">
        <f>"32.02"</f>
        <v>32.02</v>
      </c>
      <c r="G1248" s="27" t="s">
        <v>4060</v>
      </c>
      <c r="H1248" s="65" t="str">
        <f t="shared" si="57"/>
        <v>No Change</v>
      </c>
      <c r="I1248" s="65" t="str">
        <f t="shared" si="58"/>
        <v/>
      </c>
      <c r="J1248" s="65" t="str">
        <f t="shared" si="59"/>
        <v/>
      </c>
    </row>
    <row r="1249" spans="1:10" x14ac:dyDescent="0.3">
      <c r="A1249" s="27" t="s">
        <v>1869</v>
      </c>
      <c r="D1249" s="27" t="s">
        <v>2255</v>
      </c>
      <c r="E1249" s="27" t="s">
        <v>2232</v>
      </c>
      <c r="F1249" s="27" t="str">
        <f>"32.0201"</f>
        <v>32.0201</v>
      </c>
      <c r="G1249" s="27" t="s">
        <v>4061</v>
      </c>
      <c r="H1249" s="65" t="str">
        <f t="shared" si="57"/>
        <v>Other</v>
      </c>
      <c r="I1249" s="65" t="str">
        <f t="shared" si="58"/>
        <v/>
      </c>
      <c r="J1249" s="65" t="str">
        <f t="shared" si="59"/>
        <v>320201</v>
      </c>
    </row>
    <row r="1250" spans="1:10" x14ac:dyDescent="0.3">
      <c r="A1250" s="27" t="s">
        <v>1869</v>
      </c>
      <c r="D1250" s="27" t="s">
        <v>2255</v>
      </c>
      <c r="E1250" s="27" t="s">
        <v>2232</v>
      </c>
      <c r="F1250" s="27" t="str">
        <f>"32.0202"</f>
        <v>32.0202</v>
      </c>
      <c r="G1250" s="27" t="s">
        <v>4062</v>
      </c>
      <c r="H1250" s="65" t="str">
        <f t="shared" si="57"/>
        <v>Other</v>
      </c>
      <c r="I1250" s="65" t="str">
        <f t="shared" si="58"/>
        <v/>
      </c>
      <c r="J1250" s="65" t="str">
        <f t="shared" si="59"/>
        <v>320202</v>
      </c>
    </row>
    <row r="1251" spans="1:10" x14ac:dyDescent="0.3">
      <c r="A1251" s="27" t="s">
        <v>1869</v>
      </c>
      <c r="D1251" s="27" t="s">
        <v>2255</v>
      </c>
      <c r="E1251" s="27" t="s">
        <v>2232</v>
      </c>
      <c r="F1251" s="27" t="str">
        <f>"32.0203"</f>
        <v>32.0203</v>
      </c>
      <c r="G1251" s="27" t="s">
        <v>4063</v>
      </c>
      <c r="H1251" s="65" t="str">
        <f t="shared" si="57"/>
        <v>Other</v>
      </c>
      <c r="I1251" s="65" t="str">
        <f t="shared" si="58"/>
        <v/>
      </c>
      <c r="J1251" s="65" t="str">
        <f t="shared" si="59"/>
        <v>320203</v>
      </c>
    </row>
    <row r="1252" spans="1:10" x14ac:dyDescent="0.3">
      <c r="A1252" s="27" t="s">
        <v>1869</v>
      </c>
      <c r="D1252" s="27" t="s">
        <v>2255</v>
      </c>
      <c r="E1252" s="27" t="s">
        <v>2232</v>
      </c>
      <c r="F1252" s="27" t="str">
        <f>"32.0204"</f>
        <v>32.0204</v>
      </c>
      <c r="G1252" s="27" t="s">
        <v>4064</v>
      </c>
      <c r="H1252" s="65" t="str">
        <f t="shared" si="57"/>
        <v>Other</v>
      </c>
      <c r="I1252" s="65" t="str">
        <f t="shared" si="58"/>
        <v/>
      </c>
      <c r="J1252" s="65" t="str">
        <f t="shared" si="59"/>
        <v>320204</v>
      </c>
    </row>
    <row r="1253" spans="1:10" x14ac:dyDescent="0.3">
      <c r="A1253" s="27" t="s">
        <v>1869</v>
      </c>
      <c r="D1253" s="27" t="s">
        <v>2255</v>
      </c>
      <c r="E1253" s="27" t="s">
        <v>2232</v>
      </c>
      <c r="F1253" s="27" t="str">
        <f>"32.0205"</f>
        <v>32.0205</v>
      </c>
      <c r="G1253" s="27" t="s">
        <v>4065</v>
      </c>
      <c r="H1253" s="65" t="str">
        <f t="shared" si="57"/>
        <v>Other</v>
      </c>
      <c r="I1253" s="65" t="str">
        <f t="shared" si="58"/>
        <v/>
      </c>
      <c r="J1253" s="65" t="str">
        <f t="shared" si="59"/>
        <v>320205</v>
      </c>
    </row>
    <row r="1254" spans="1:10" x14ac:dyDescent="0.3">
      <c r="A1254" s="27" t="s">
        <v>1869</v>
      </c>
      <c r="D1254" s="27" t="s">
        <v>2255</v>
      </c>
      <c r="E1254" s="27" t="s">
        <v>2232</v>
      </c>
      <c r="F1254" s="27" t="str">
        <f>"32.0299"</f>
        <v>32.0299</v>
      </c>
      <c r="G1254" s="27" t="s">
        <v>4066</v>
      </c>
      <c r="H1254" s="65" t="str">
        <f t="shared" si="57"/>
        <v>Other</v>
      </c>
      <c r="I1254" s="65" t="str">
        <f t="shared" si="58"/>
        <v/>
      </c>
      <c r="J1254" s="65" t="str">
        <f t="shared" si="59"/>
        <v>320299</v>
      </c>
    </row>
    <row r="1255" spans="1:10" x14ac:dyDescent="0.3">
      <c r="A1255" s="27" t="s">
        <v>1869</v>
      </c>
      <c r="B1255" s="27" t="str">
        <f>"33"</f>
        <v>33</v>
      </c>
      <c r="C1255" s="64" t="s">
        <v>4067</v>
      </c>
      <c r="D1255" s="27" t="s">
        <v>2229</v>
      </c>
      <c r="E1255" s="27" t="s">
        <v>2232</v>
      </c>
      <c r="F1255" s="27" t="str">
        <f>"33"</f>
        <v>33</v>
      </c>
      <c r="G1255" s="27" t="s">
        <v>4067</v>
      </c>
      <c r="H1255" s="65" t="str">
        <f t="shared" si="57"/>
        <v>No Change</v>
      </c>
      <c r="I1255" s="65" t="str">
        <f t="shared" si="58"/>
        <v/>
      </c>
      <c r="J1255" s="65" t="str">
        <f t="shared" si="59"/>
        <v/>
      </c>
    </row>
    <row r="1256" spans="1:10" x14ac:dyDescent="0.3">
      <c r="A1256" s="27" t="s">
        <v>1869</v>
      </c>
      <c r="B1256" s="27" t="str">
        <f>"33.01"</f>
        <v>33.01</v>
      </c>
      <c r="C1256" s="64" t="s">
        <v>4068</v>
      </c>
      <c r="D1256" s="27" t="s">
        <v>2229</v>
      </c>
      <c r="E1256" s="27" t="s">
        <v>2232</v>
      </c>
      <c r="F1256" s="27" t="str">
        <f>"33.01"</f>
        <v>33.01</v>
      </c>
      <c r="G1256" s="27" t="s">
        <v>4068</v>
      </c>
      <c r="H1256" s="65" t="str">
        <f t="shared" si="57"/>
        <v>No Change</v>
      </c>
      <c r="I1256" s="65" t="str">
        <f t="shared" si="58"/>
        <v/>
      </c>
      <c r="J1256" s="65" t="str">
        <f t="shared" si="59"/>
        <v/>
      </c>
    </row>
    <row r="1257" spans="1:10" x14ac:dyDescent="0.3">
      <c r="A1257" s="27" t="s">
        <v>4069</v>
      </c>
      <c r="B1257" s="27" t="str">
        <f>"33.0101"</f>
        <v>33.0101</v>
      </c>
      <c r="C1257" s="64" t="s">
        <v>4070</v>
      </c>
      <c r="D1257" s="27" t="s">
        <v>2229</v>
      </c>
      <c r="E1257" s="27" t="s">
        <v>2232</v>
      </c>
      <c r="F1257" s="27" t="str">
        <f>"33.0101"</f>
        <v>33.0101</v>
      </c>
      <c r="G1257" s="27" t="s">
        <v>4070</v>
      </c>
      <c r="H1257" s="65" t="str">
        <f t="shared" si="57"/>
        <v>No Change</v>
      </c>
      <c r="I1257" s="65" t="str">
        <f t="shared" si="58"/>
        <v>330101</v>
      </c>
      <c r="J1257" s="65" t="str">
        <f t="shared" si="59"/>
        <v>330101</v>
      </c>
    </row>
    <row r="1258" spans="1:10" x14ac:dyDescent="0.3">
      <c r="A1258" s="27" t="s">
        <v>4071</v>
      </c>
      <c r="B1258" s="27" t="str">
        <f>"33.0102"</f>
        <v>33.0102</v>
      </c>
      <c r="C1258" s="64" t="s">
        <v>4072</v>
      </c>
      <c r="D1258" s="27" t="s">
        <v>2229</v>
      </c>
      <c r="E1258" s="27" t="s">
        <v>2232</v>
      </c>
      <c r="F1258" s="27" t="str">
        <f>"33.0102"</f>
        <v>33.0102</v>
      </c>
      <c r="G1258" s="27" t="s">
        <v>4072</v>
      </c>
      <c r="H1258" s="65" t="str">
        <f t="shared" si="57"/>
        <v>No Change</v>
      </c>
      <c r="I1258" s="65" t="str">
        <f t="shared" si="58"/>
        <v>330102</v>
      </c>
      <c r="J1258" s="65" t="str">
        <f t="shared" si="59"/>
        <v>330102</v>
      </c>
    </row>
    <row r="1259" spans="1:10" x14ac:dyDescent="0.3">
      <c r="A1259" s="27" t="s">
        <v>4073</v>
      </c>
      <c r="B1259" s="27" t="str">
        <f>"33.0103"</f>
        <v>33.0103</v>
      </c>
      <c r="C1259" s="64" t="s">
        <v>4074</v>
      </c>
      <c r="D1259" s="27" t="s">
        <v>2229</v>
      </c>
      <c r="E1259" s="27" t="s">
        <v>2232</v>
      </c>
      <c r="F1259" s="27" t="str">
        <f>"33.0103"</f>
        <v>33.0103</v>
      </c>
      <c r="G1259" s="27" t="s">
        <v>4074</v>
      </c>
      <c r="H1259" s="65" t="str">
        <f t="shared" si="57"/>
        <v>No Change</v>
      </c>
      <c r="I1259" s="65" t="str">
        <f t="shared" si="58"/>
        <v>330103</v>
      </c>
      <c r="J1259" s="65" t="str">
        <f t="shared" si="59"/>
        <v>330103</v>
      </c>
    </row>
    <row r="1260" spans="1:10" x14ac:dyDescent="0.3">
      <c r="A1260" s="27" t="s">
        <v>4075</v>
      </c>
      <c r="B1260" s="27" t="str">
        <f>"33.0104"</f>
        <v>33.0104</v>
      </c>
      <c r="C1260" s="64" t="s">
        <v>4076</v>
      </c>
      <c r="D1260" s="27" t="s">
        <v>2229</v>
      </c>
      <c r="E1260" s="27" t="s">
        <v>2232</v>
      </c>
      <c r="F1260" s="27" t="str">
        <f>"33.0104"</f>
        <v>33.0104</v>
      </c>
      <c r="G1260" s="27" t="s">
        <v>4076</v>
      </c>
      <c r="H1260" s="65" t="str">
        <f t="shared" si="57"/>
        <v>No Change</v>
      </c>
      <c r="I1260" s="65" t="str">
        <f t="shared" si="58"/>
        <v>330104</v>
      </c>
      <c r="J1260" s="65" t="str">
        <f t="shared" si="59"/>
        <v>330104</v>
      </c>
    </row>
    <row r="1261" spans="1:10" x14ac:dyDescent="0.3">
      <c r="A1261" s="27" t="s">
        <v>4077</v>
      </c>
      <c r="B1261" s="27" t="str">
        <f>"33.0105"</f>
        <v>33.0105</v>
      </c>
      <c r="C1261" s="64" t="s">
        <v>4078</v>
      </c>
      <c r="D1261" s="27" t="s">
        <v>2229</v>
      </c>
      <c r="E1261" s="27" t="s">
        <v>2232</v>
      </c>
      <c r="F1261" s="27" t="str">
        <f>"33.0105"</f>
        <v>33.0105</v>
      </c>
      <c r="G1261" s="27" t="s">
        <v>4078</v>
      </c>
      <c r="H1261" s="65" t="str">
        <f t="shared" si="57"/>
        <v>No Change</v>
      </c>
      <c r="I1261" s="65" t="str">
        <f t="shared" si="58"/>
        <v>330105</v>
      </c>
      <c r="J1261" s="65" t="str">
        <f t="shared" si="59"/>
        <v>330105</v>
      </c>
    </row>
    <row r="1262" spans="1:10" x14ac:dyDescent="0.3">
      <c r="A1262" s="27" t="s">
        <v>1869</v>
      </c>
      <c r="D1262" s="27" t="s">
        <v>2255</v>
      </c>
      <c r="E1262" s="27" t="s">
        <v>2232</v>
      </c>
      <c r="F1262" s="27" t="str">
        <f>"33.0106"</f>
        <v>33.0106</v>
      </c>
      <c r="G1262" s="27" t="s">
        <v>4079</v>
      </c>
      <c r="H1262" s="65" t="str">
        <f t="shared" si="57"/>
        <v>Other</v>
      </c>
      <c r="I1262" s="65" t="str">
        <f t="shared" si="58"/>
        <v/>
      </c>
      <c r="J1262" s="65" t="str">
        <f t="shared" si="59"/>
        <v>330106</v>
      </c>
    </row>
    <row r="1263" spans="1:10" x14ac:dyDescent="0.3">
      <c r="A1263" s="27" t="s">
        <v>4080</v>
      </c>
      <c r="B1263" s="27" t="str">
        <f>"33.0199"</f>
        <v>33.0199</v>
      </c>
      <c r="C1263" s="64" t="s">
        <v>4081</v>
      </c>
      <c r="D1263" s="27" t="s">
        <v>2229</v>
      </c>
      <c r="E1263" s="27" t="s">
        <v>2232</v>
      </c>
      <c r="F1263" s="27" t="str">
        <f>"33.0199"</f>
        <v>33.0199</v>
      </c>
      <c r="G1263" s="27" t="s">
        <v>4081</v>
      </c>
      <c r="H1263" s="65" t="str">
        <f t="shared" si="57"/>
        <v>No Change</v>
      </c>
      <c r="I1263" s="65" t="str">
        <f t="shared" si="58"/>
        <v>330199</v>
      </c>
      <c r="J1263" s="65" t="str">
        <f t="shared" si="59"/>
        <v>330199</v>
      </c>
    </row>
    <row r="1264" spans="1:10" x14ac:dyDescent="0.3">
      <c r="A1264" s="27" t="s">
        <v>1869</v>
      </c>
      <c r="B1264" s="27" t="str">
        <f>"34"</f>
        <v>34</v>
      </c>
      <c r="C1264" s="64" t="s">
        <v>4082</v>
      </c>
      <c r="D1264" s="27" t="s">
        <v>2229</v>
      </c>
      <c r="E1264" s="27" t="s">
        <v>2230</v>
      </c>
      <c r="F1264" s="27" t="str">
        <f>"34"</f>
        <v>34</v>
      </c>
      <c r="G1264" s="27" t="s">
        <v>4082</v>
      </c>
      <c r="H1264" s="65" t="str">
        <f t="shared" si="57"/>
        <v>No Change</v>
      </c>
      <c r="I1264" s="65" t="str">
        <f t="shared" si="58"/>
        <v/>
      </c>
      <c r="J1264" s="65" t="str">
        <f t="shared" si="59"/>
        <v/>
      </c>
    </row>
    <row r="1265" spans="1:10" x14ac:dyDescent="0.3">
      <c r="A1265" s="27" t="s">
        <v>1869</v>
      </c>
      <c r="B1265" s="27" t="str">
        <f>"34.01"</f>
        <v>34.01</v>
      </c>
      <c r="C1265" s="64" t="s">
        <v>4083</v>
      </c>
      <c r="D1265" s="27" t="s">
        <v>2229</v>
      </c>
      <c r="E1265" s="27" t="s">
        <v>2232</v>
      </c>
      <c r="F1265" s="27" t="str">
        <f>"34.01"</f>
        <v>34.01</v>
      </c>
      <c r="G1265" s="27" t="s">
        <v>4083</v>
      </c>
      <c r="H1265" s="65" t="str">
        <f t="shared" si="57"/>
        <v>No Change</v>
      </c>
      <c r="I1265" s="65" t="str">
        <f t="shared" si="58"/>
        <v/>
      </c>
      <c r="J1265" s="65" t="str">
        <f t="shared" si="59"/>
        <v/>
      </c>
    </row>
    <row r="1266" spans="1:10" x14ac:dyDescent="0.3">
      <c r="A1266" s="27" t="s">
        <v>4084</v>
      </c>
      <c r="B1266" s="27" t="str">
        <f>"34.0102"</f>
        <v>34.0102</v>
      </c>
      <c r="C1266" s="64" t="s">
        <v>4085</v>
      </c>
      <c r="D1266" s="27" t="s">
        <v>2229</v>
      </c>
      <c r="E1266" s="27" t="s">
        <v>2232</v>
      </c>
      <c r="F1266" s="27" t="str">
        <f>"34.0102"</f>
        <v>34.0102</v>
      </c>
      <c r="G1266" s="27" t="s">
        <v>4085</v>
      </c>
      <c r="H1266" s="65" t="str">
        <f t="shared" si="57"/>
        <v>No Change</v>
      </c>
      <c r="I1266" s="65" t="str">
        <f t="shared" si="58"/>
        <v>340102</v>
      </c>
      <c r="J1266" s="65" t="str">
        <f t="shared" si="59"/>
        <v>340102</v>
      </c>
    </row>
    <row r="1267" spans="1:10" x14ac:dyDescent="0.3">
      <c r="A1267" s="27" t="s">
        <v>4086</v>
      </c>
      <c r="B1267" s="27" t="str">
        <f>"34.0103"</f>
        <v>34.0103</v>
      </c>
      <c r="C1267" s="64" t="s">
        <v>4087</v>
      </c>
      <c r="D1267" s="27" t="s">
        <v>2229</v>
      </c>
      <c r="E1267" s="27" t="s">
        <v>2232</v>
      </c>
      <c r="F1267" s="27" t="str">
        <f>"34.0103"</f>
        <v>34.0103</v>
      </c>
      <c r="G1267" s="27" t="s">
        <v>4087</v>
      </c>
      <c r="H1267" s="65" t="str">
        <f t="shared" si="57"/>
        <v>No Change</v>
      </c>
      <c r="I1267" s="65" t="str">
        <f t="shared" si="58"/>
        <v>340103</v>
      </c>
      <c r="J1267" s="65" t="str">
        <f t="shared" si="59"/>
        <v>340103</v>
      </c>
    </row>
    <row r="1268" spans="1:10" x14ac:dyDescent="0.3">
      <c r="A1268" s="27" t="s">
        <v>4088</v>
      </c>
      <c r="B1268" s="27" t="str">
        <f>"34.0104"</f>
        <v>34.0104</v>
      </c>
      <c r="C1268" s="64" t="s">
        <v>4089</v>
      </c>
      <c r="D1268" s="27" t="s">
        <v>2229</v>
      </c>
      <c r="E1268" s="27" t="s">
        <v>2232</v>
      </c>
      <c r="F1268" s="27" t="str">
        <f>"34.0104"</f>
        <v>34.0104</v>
      </c>
      <c r="G1268" s="27" t="s">
        <v>4089</v>
      </c>
      <c r="H1268" s="65" t="str">
        <f t="shared" si="57"/>
        <v>No Change</v>
      </c>
      <c r="I1268" s="65" t="str">
        <f t="shared" si="58"/>
        <v>340104</v>
      </c>
      <c r="J1268" s="65" t="str">
        <f t="shared" si="59"/>
        <v>340104</v>
      </c>
    </row>
    <row r="1269" spans="1:10" x14ac:dyDescent="0.3">
      <c r="A1269" s="27" t="s">
        <v>1869</v>
      </c>
      <c r="D1269" s="27" t="s">
        <v>2255</v>
      </c>
      <c r="E1269" s="27" t="s">
        <v>2232</v>
      </c>
      <c r="F1269" s="27" t="str">
        <f>"34.0105"</f>
        <v>34.0105</v>
      </c>
      <c r="G1269" s="27" t="s">
        <v>4090</v>
      </c>
      <c r="H1269" s="65" t="str">
        <f t="shared" si="57"/>
        <v>Other</v>
      </c>
      <c r="I1269" s="65" t="str">
        <f t="shared" si="58"/>
        <v/>
      </c>
      <c r="J1269" s="65" t="str">
        <f t="shared" si="59"/>
        <v>340105</v>
      </c>
    </row>
    <row r="1270" spans="1:10" x14ac:dyDescent="0.3">
      <c r="A1270" s="27" t="s">
        <v>4091</v>
      </c>
      <c r="B1270" s="27" t="str">
        <f>"34.0199"</f>
        <v>34.0199</v>
      </c>
      <c r="C1270" s="64" t="s">
        <v>4092</v>
      </c>
      <c r="D1270" s="27" t="s">
        <v>2229</v>
      </c>
      <c r="E1270" s="27" t="s">
        <v>2232</v>
      </c>
      <c r="F1270" s="27" t="str">
        <f>"34.0199"</f>
        <v>34.0199</v>
      </c>
      <c r="G1270" s="27" t="s">
        <v>4092</v>
      </c>
      <c r="H1270" s="65" t="str">
        <f t="shared" si="57"/>
        <v>No Change</v>
      </c>
      <c r="I1270" s="65" t="str">
        <f t="shared" si="58"/>
        <v>340199</v>
      </c>
      <c r="J1270" s="65" t="str">
        <f t="shared" si="59"/>
        <v>340199</v>
      </c>
    </row>
    <row r="1271" spans="1:10" x14ac:dyDescent="0.3">
      <c r="A1271" s="27" t="s">
        <v>1869</v>
      </c>
      <c r="B1271" s="27" t="str">
        <f>"35"</f>
        <v>35</v>
      </c>
      <c r="C1271" s="64" t="s">
        <v>4093</v>
      </c>
      <c r="D1271" s="27" t="s">
        <v>2229</v>
      </c>
      <c r="E1271" s="27" t="s">
        <v>2232</v>
      </c>
      <c r="F1271" s="27" t="str">
        <f>"35"</f>
        <v>35</v>
      </c>
      <c r="G1271" s="27" t="s">
        <v>4093</v>
      </c>
      <c r="H1271" s="65" t="str">
        <f t="shared" si="57"/>
        <v>No Change</v>
      </c>
      <c r="I1271" s="65" t="str">
        <f t="shared" si="58"/>
        <v/>
      </c>
      <c r="J1271" s="65" t="str">
        <f t="shared" si="59"/>
        <v/>
      </c>
    </row>
    <row r="1272" spans="1:10" x14ac:dyDescent="0.3">
      <c r="A1272" s="27" t="s">
        <v>1869</v>
      </c>
      <c r="B1272" s="27" t="str">
        <f>"35.01"</f>
        <v>35.01</v>
      </c>
      <c r="C1272" s="64" t="s">
        <v>4094</v>
      </c>
      <c r="D1272" s="27" t="s">
        <v>2229</v>
      </c>
      <c r="E1272" s="27" t="s">
        <v>2232</v>
      </c>
      <c r="F1272" s="27" t="str">
        <f>"35.01"</f>
        <v>35.01</v>
      </c>
      <c r="G1272" s="27" t="s">
        <v>4094</v>
      </c>
      <c r="H1272" s="65" t="str">
        <f t="shared" si="57"/>
        <v>No Change</v>
      </c>
      <c r="I1272" s="65" t="str">
        <f t="shared" si="58"/>
        <v/>
      </c>
      <c r="J1272" s="65" t="str">
        <f t="shared" si="59"/>
        <v/>
      </c>
    </row>
    <row r="1273" spans="1:10" x14ac:dyDescent="0.3">
      <c r="A1273" s="27" t="s">
        <v>4095</v>
      </c>
      <c r="B1273" s="27" t="str">
        <f>"35.0101"</f>
        <v>35.0101</v>
      </c>
      <c r="C1273" s="64" t="s">
        <v>4096</v>
      </c>
      <c r="D1273" s="27" t="s">
        <v>2229</v>
      </c>
      <c r="E1273" s="27" t="s">
        <v>2232</v>
      </c>
      <c r="F1273" s="27" t="str">
        <f>"35.0101"</f>
        <v>35.0101</v>
      </c>
      <c r="G1273" s="27" t="s">
        <v>4096</v>
      </c>
      <c r="H1273" s="65" t="str">
        <f t="shared" si="57"/>
        <v>No Change</v>
      </c>
      <c r="I1273" s="65" t="str">
        <f t="shared" si="58"/>
        <v>350101</v>
      </c>
      <c r="J1273" s="65" t="str">
        <f t="shared" si="59"/>
        <v>350101</v>
      </c>
    </row>
    <row r="1274" spans="1:10" x14ac:dyDescent="0.3">
      <c r="A1274" s="27" t="s">
        <v>4097</v>
      </c>
      <c r="B1274" s="27" t="str">
        <f>"35.0102"</f>
        <v>35.0102</v>
      </c>
      <c r="C1274" s="64" t="s">
        <v>4098</v>
      </c>
      <c r="D1274" s="27" t="s">
        <v>2229</v>
      </c>
      <c r="E1274" s="27" t="s">
        <v>2232</v>
      </c>
      <c r="F1274" s="27" t="str">
        <f>"35.0102"</f>
        <v>35.0102</v>
      </c>
      <c r="G1274" s="27" t="s">
        <v>4098</v>
      </c>
      <c r="H1274" s="65" t="str">
        <f t="shared" si="57"/>
        <v>No Change</v>
      </c>
      <c r="I1274" s="65" t="str">
        <f t="shared" si="58"/>
        <v>350102</v>
      </c>
      <c r="J1274" s="65" t="str">
        <f t="shared" si="59"/>
        <v>350102</v>
      </c>
    </row>
    <row r="1275" spans="1:10" x14ac:dyDescent="0.3">
      <c r="A1275" s="27" t="s">
        <v>4099</v>
      </c>
      <c r="B1275" s="27" t="str">
        <f>"35.0103"</f>
        <v>35.0103</v>
      </c>
      <c r="C1275" s="64" t="s">
        <v>4100</v>
      </c>
      <c r="D1275" s="27" t="s">
        <v>2229</v>
      </c>
      <c r="E1275" s="27" t="s">
        <v>2232</v>
      </c>
      <c r="F1275" s="27" t="str">
        <f>"35.0103"</f>
        <v>35.0103</v>
      </c>
      <c r="G1275" s="27" t="s">
        <v>4100</v>
      </c>
      <c r="H1275" s="65" t="str">
        <f t="shared" si="57"/>
        <v>No Change</v>
      </c>
      <c r="I1275" s="65" t="str">
        <f t="shared" si="58"/>
        <v>350103</v>
      </c>
      <c r="J1275" s="65" t="str">
        <f t="shared" si="59"/>
        <v>350103</v>
      </c>
    </row>
    <row r="1276" spans="1:10" x14ac:dyDescent="0.3">
      <c r="A1276" s="27" t="s">
        <v>1869</v>
      </c>
      <c r="D1276" s="27" t="s">
        <v>2255</v>
      </c>
      <c r="E1276" s="27" t="s">
        <v>2232</v>
      </c>
      <c r="F1276" s="27" t="str">
        <f>"35.0105"</f>
        <v>35.0105</v>
      </c>
      <c r="G1276" s="27" t="s">
        <v>4101</v>
      </c>
      <c r="H1276" s="65" t="str">
        <f t="shared" si="57"/>
        <v>Other</v>
      </c>
      <c r="I1276" s="65" t="str">
        <f t="shared" si="58"/>
        <v/>
      </c>
      <c r="J1276" s="65" t="str">
        <f t="shared" si="59"/>
        <v>350105</v>
      </c>
    </row>
    <row r="1277" spans="1:10" x14ac:dyDescent="0.3">
      <c r="A1277" s="27" t="s">
        <v>4102</v>
      </c>
      <c r="B1277" s="27" t="str">
        <f>"35.0199"</f>
        <v>35.0199</v>
      </c>
      <c r="C1277" s="64" t="s">
        <v>4103</v>
      </c>
      <c r="D1277" s="27" t="s">
        <v>2229</v>
      </c>
      <c r="E1277" s="27" t="s">
        <v>2232</v>
      </c>
      <c r="F1277" s="27" t="str">
        <f>"35.0199"</f>
        <v>35.0199</v>
      </c>
      <c r="G1277" s="27" t="s">
        <v>4103</v>
      </c>
      <c r="H1277" s="65" t="str">
        <f t="shared" si="57"/>
        <v>No Change</v>
      </c>
      <c r="I1277" s="65" t="str">
        <f t="shared" si="58"/>
        <v>350199</v>
      </c>
      <c r="J1277" s="65" t="str">
        <f t="shared" si="59"/>
        <v>350199</v>
      </c>
    </row>
    <row r="1278" spans="1:10" x14ac:dyDescent="0.3">
      <c r="A1278" s="27" t="s">
        <v>1869</v>
      </c>
      <c r="B1278" s="27" t="str">
        <f>"36"</f>
        <v>36</v>
      </c>
      <c r="C1278" s="64" t="s">
        <v>4104</v>
      </c>
      <c r="D1278" s="27" t="s">
        <v>2229</v>
      </c>
      <c r="E1278" s="27" t="s">
        <v>2232</v>
      </c>
      <c r="F1278" s="27" t="str">
        <f>"36"</f>
        <v>36</v>
      </c>
      <c r="G1278" s="27" t="s">
        <v>4104</v>
      </c>
      <c r="H1278" s="65" t="str">
        <f t="shared" si="57"/>
        <v>No Change</v>
      </c>
      <c r="I1278" s="65" t="str">
        <f t="shared" si="58"/>
        <v/>
      </c>
      <c r="J1278" s="65" t="str">
        <f t="shared" si="59"/>
        <v/>
      </c>
    </row>
    <row r="1279" spans="1:10" x14ac:dyDescent="0.3">
      <c r="A1279" s="27" t="s">
        <v>1869</v>
      </c>
      <c r="B1279" s="27" t="str">
        <f>"36.01"</f>
        <v>36.01</v>
      </c>
      <c r="C1279" s="64" t="s">
        <v>4105</v>
      </c>
      <c r="D1279" s="27" t="s">
        <v>2229</v>
      </c>
      <c r="E1279" s="27" t="s">
        <v>2232</v>
      </c>
      <c r="F1279" s="27" t="str">
        <f>"36.01"</f>
        <v>36.01</v>
      </c>
      <c r="G1279" s="27" t="s">
        <v>4105</v>
      </c>
      <c r="H1279" s="65" t="str">
        <f t="shared" si="57"/>
        <v>No Change</v>
      </c>
      <c r="I1279" s="65" t="str">
        <f t="shared" si="58"/>
        <v/>
      </c>
      <c r="J1279" s="65" t="str">
        <f t="shared" si="59"/>
        <v/>
      </c>
    </row>
    <row r="1280" spans="1:10" x14ac:dyDescent="0.3">
      <c r="A1280" s="27" t="s">
        <v>4106</v>
      </c>
      <c r="B1280" s="27" t="str">
        <f>"36.0101"</f>
        <v>36.0101</v>
      </c>
      <c r="C1280" s="64" t="s">
        <v>4107</v>
      </c>
      <c r="D1280" s="27" t="s">
        <v>2229</v>
      </c>
      <c r="E1280" s="27" t="s">
        <v>2232</v>
      </c>
      <c r="F1280" s="27" t="str">
        <f>"36.0101"</f>
        <v>36.0101</v>
      </c>
      <c r="G1280" s="27" t="s">
        <v>4107</v>
      </c>
      <c r="H1280" s="65" t="str">
        <f t="shared" si="57"/>
        <v>No Change</v>
      </c>
      <c r="I1280" s="65" t="str">
        <f t="shared" si="58"/>
        <v>360101</v>
      </c>
      <c r="J1280" s="65" t="str">
        <f t="shared" si="59"/>
        <v>360101</v>
      </c>
    </row>
    <row r="1281" spans="1:10" x14ac:dyDescent="0.3">
      <c r="A1281" s="27" t="s">
        <v>4108</v>
      </c>
      <c r="B1281" s="27" t="str">
        <f>"36.0102"</f>
        <v>36.0102</v>
      </c>
      <c r="C1281" s="64" t="s">
        <v>4109</v>
      </c>
      <c r="D1281" s="27" t="s">
        <v>2229</v>
      </c>
      <c r="E1281" s="27" t="s">
        <v>2232</v>
      </c>
      <c r="F1281" s="27" t="str">
        <f>"36.0102"</f>
        <v>36.0102</v>
      </c>
      <c r="G1281" s="27" t="s">
        <v>4109</v>
      </c>
      <c r="H1281" s="65" t="str">
        <f t="shared" si="57"/>
        <v>No Change</v>
      </c>
      <c r="I1281" s="65" t="str">
        <f t="shared" si="58"/>
        <v>360102</v>
      </c>
      <c r="J1281" s="65" t="str">
        <f t="shared" si="59"/>
        <v>360102</v>
      </c>
    </row>
    <row r="1282" spans="1:10" x14ac:dyDescent="0.3">
      <c r="A1282" s="27" t="s">
        <v>4110</v>
      </c>
      <c r="B1282" s="27" t="str">
        <f>"36.0103"</f>
        <v>36.0103</v>
      </c>
      <c r="C1282" s="64" t="s">
        <v>4111</v>
      </c>
      <c r="D1282" s="27" t="s">
        <v>2229</v>
      </c>
      <c r="E1282" s="27" t="s">
        <v>2232</v>
      </c>
      <c r="F1282" s="27" t="str">
        <f>"36.0103"</f>
        <v>36.0103</v>
      </c>
      <c r="G1282" s="27" t="s">
        <v>4111</v>
      </c>
      <c r="H1282" s="65" t="str">
        <f t="shared" si="57"/>
        <v>No Change</v>
      </c>
      <c r="I1282" s="65" t="str">
        <f t="shared" si="58"/>
        <v>360103</v>
      </c>
      <c r="J1282" s="65" t="str">
        <f t="shared" si="59"/>
        <v>360103</v>
      </c>
    </row>
    <row r="1283" spans="1:10" x14ac:dyDescent="0.3">
      <c r="A1283" s="27" t="s">
        <v>4112</v>
      </c>
      <c r="B1283" s="27" t="str">
        <f>"36.0105"</f>
        <v>36.0105</v>
      </c>
      <c r="C1283" s="64" t="s">
        <v>4113</v>
      </c>
      <c r="D1283" s="27" t="s">
        <v>2229</v>
      </c>
      <c r="E1283" s="27" t="s">
        <v>2232</v>
      </c>
      <c r="F1283" s="27" t="str">
        <f>"36.0105"</f>
        <v>36.0105</v>
      </c>
      <c r="G1283" s="27" t="s">
        <v>4113</v>
      </c>
      <c r="H1283" s="65" t="str">
        <f t="shared" ref="H1283:H1346" si="60">IF(I1283=J1283,"No Change","Other")</f>
        <v>No Change</v>
      </c>
      <c r="I1283" s="65" t="str">
        <f t="shared" ref="I1283:I1346" si="61">SUBSTITUTE(IF(SUM(LEN(B1283))&lt;7,"",B1283),".","")</f>
        <v>360105</v>
      </c>
      <c r="J1283" s="65" t="str">
        <f t="shared" ref="J1283:J1346" si="62">SUBSTITUTE(IF(SUM(LEN(F1283))&lt;7,"",F1283),".","")</f>
        <v>360105</v>
      </c>
    </row>
    <row r="1284" spans="1:10" x14ac:dyDescent="0.3">
      <c r="A1284" s="27" t="s">
        <v>4114</v>
      </c>
      <c r="B1284" s="27" t="str">
        <f>"36.0106"</f>
        <v>36.0106</v>
      </c>
      <c r="C1284" s="64" t="s">
        <v>4115</v>
      </c>
      <c r="D1284" s="27" t="s">
        <v>2229</v>
      </c>
      <c r="E1284" s="27" t="s">
        <v>2232</v>
      </c>
      <c r="F1284" s="27" t="str">
        <f>"36.0106"</f>
        <v>36.0106</v>
      </c>
      <c r="G1284" s="27" t="s">
        <v>4115</v>
      </c>
      <c r="H1284" s="65" t="str">
        <f t="shared" si="60"/>
        <v>No Change</v>
      </c>
      <c r="I1284" s="65" t="str">
        <f t="shared" si="61"/>
        <v>360106</v>
      </c>
      <c r="J1284" s="65" t="str">
        <f t="shared" si="62"/>
        <v>360106</v>
      </c>
    </row>
    <row r="1285" spans="1:10" x14ac:dyDescent="0.3">
      <c r="A1285" s="27" t="s">
        <v>4116</v>
      </c>
      <c r="B1285" s="27" t="str">
        <f>"36.0107"</f>
        <v>36.0107</v>
      </c>
      <c r="C1285" s="64" t="s">
        <v>4117</v>
      </c>
      <c r="D1285" s="27" t="s">
        <v>2229</v>
      </c>
      <c r="E1285" s="27" t="s">
        <v>2232</v>
      </c>
      <c r="F1285" s="27" t="str">
        <f>"36.0107"</f>
        <v>36.0107</v>
      </c>
      <c r="G1285" s="27" t="s">
        <v>4117</v>
      </c>
      <c r="H1285" s="65" t="str">
        <f t="shared" si="60"/>
        <v>No Change</v>
      </c>
      <c r="I1285" s="65" t="str">
        <f t="shared" si="61"/>
        <v>360107</v>
      </c>
      <c r="J1285" s="65" t="str">
        <f t="shared" si="62"/>
        <v>360107</v>
      </c>
    </row>
    <row r="1286" spans="1:10" x14ac:dyDescent="0.3">
      <c r="A1286" s="27" t="s">
        <v>4118</v>
      </c>
      <c r="B1286" s="27" t="str">
        <f>"36.0108"</f>
        <v>36.0108</v>
      </c>
      <c r="C1286" s="64" t="s">
        <v>4119</v>
      </c>
      <c r="D1286" s="27" t="s">
        <v>2229</v>
      </c>
      <c r="E1286" s="27" t="s">
        <v>2232</v>
      </c>
      <c r="F1286" s="27" t="str">
        <f>"36.0108"</f>
        <v>36.0108</v>
      </c>
      <c r="G1286" s="27" t="s">
        <v>4119</v>
      </c>
      <c r="H1286" s="65" t="str">
        <f t="shared" si="60"/>
        <v>No Change</v>
      </c>
      <c r="I1286" s="65" t="str">
        <f t="shared" si="61"/>
        <v>360108</v>
      </c>
      <c r="J1286" s="65" t="str">
        <f t="shared" si="62"/>
        <v>360108</v>
      </c>
    </row>
    <row r="1287" spans="1:10" x14ac:dyDescent="0.3">
      <c r="A1287" s="27" t="s">
        <v>4120</v>
      </c>
      <c r="B1287" s="27" t="str">
        <f>"36.0109"</f>
        <v>36.0109</v>
      </c>
      <c r="C1287" s="64" t="s">
        <v>4121</v>
      </c>
      <c r="D1287" s="27" t="s">
        <v>2229</v>
      </c>
      <c r="E1287" s="27" t="s">
        <v>2232</v>
      </c>
      <c r="F1287" s="27" t="str">
        <f>"36.0109"</f>
        <v>36.0109</v>
      </c>
      <c r="G1287" s="27" t="s">
        <v>4121</v>
      </c>
      <c r="H1287" s="65" t="str">
        <f t="shared" si="60"/>
        <v>No Change</v>
      </c>
      <c r="I1287" s="65" t="str">
        <f t="shared" si="61"/>
        <v>360109</v>
      </c>
      <c r="J1287" s="65" t="str">
        <f t="shared" si="62"/>
        <v>360109</v>
      </c>
    </row>
    <row r="1288" spans="1:10" x14ac:dyDescent="0.3">
      <c r="A1288" s="27" t="s">
        <v>4122</v>
      </c>
      <c r="B1288" s="27" t="str">
        <f>"36.0110"</f>
        <v>36.0110</v>
      </c>
      <c r="C1288" s="64" t="s">
        <v>4123</v>
      </c>
      <c r="D1288" s="27" t="s">
        <v>2229</v>
      </c>
      <c r="E1288" s="27" t="s">
        <v>2232</v>
      </c>
      <c r="F1288" s="27" t="str">
        <f>"36.0110"</f>
        <v>36.0110</v>
      </c>
      <c r="G1288" s="27" t="s">
        <v>4123</v>
      </c>
      <c r="H1288" s="65" t="str">
        <f t="shared" si="60"/>
        <v>No Change</v>
      </c>
      <c r="I1288" s="65" t="str">
        <f t="shared" si="61"/>
        <v>360110</v>
      </c>
      <c r="J1288" s="65" t="str">
        <f t="shared" si="62"/>
        <v>360110</v>
      </c>
    </row>
    <row r="1289" spans="1:10" x14ac:dyDescent="0.3">
      <c r="A1289" s="27" t="s">
        <v>4124</v>
      </c>
      <c r="B1289" s="27" t="str">
        <f>"36.0111"</f>
        <v>36.0111</v>
      </c>
      <c r="C1289" s="64" t="s">
        <v>4125</v>
      </c>
      <c r="D1289" s="27" t="s">
        <v>2229</v>
      </c>
      <c r="E1289" s="27" t="s">
        <v>2232</v>
      </c>
      <c r="F1289" s="27" t="str">
        <f>"36.0111"</f>
        <v>36.0111</v>
      </c>
      <c r="G1289" s="27" t="s">
        <v>4125</v>
      </c>
      <c r="H1289" s="65" t="str">
        <f t="shared" si="60"/>
        <v>No Change</v>
      </c>
      <c r="I1289" s="65" t="str">
        <f t="shared" si="61"/>
        <v>360111</v>
      </c>
      <c r="J1289" s="65" t="str">
        <f t="shared" si="62"/>
        <v>360111</v>
      </c>
    </row>
    <row r="1290" spans="1:10" x14ac:dyDescent="0.3">
      <c r="A1290" s="27" t="s">
        <v>4126</v>
      </c>
      <c r="B1290" s="27" t="str">
        <f>"36.0112"</f>
        <v>36.0112</v>
      </c>
      <c r="C1290" s="64" t="s">
        <v>4127</v>
      </c>
      <c r="D1290" s="27" t="s">
        <v>2229</v>
      </c>
      <c r="E1290" s="27" t="s">
        <v>2232</v>
      </c>
      <c r="F1290" s="27" t="str">
        <f>"36.0112"</f>
        <v>36.0112</v>
      </c>
      <c r="G1290" s="27" t="s">
        <v>4127</v>
      </c>
      <c r="H1290" s="65" t="str">
        <f t="shared" si="60"/>
        <v>No Change</v>
      </c>
      <c r="I1290" s="65" t="str">
        <f t="shared" si="61"/>
        <v>360112</v>
      </c>
      <c r="J1290" s="65" t="str">
        <f t="shared" si="62"/>
        <v>360112</v>
      </c>
    </row>
    <row r="1291" spans="1:10" x14ac:dyDescent="0.3">
      <c r="A1291" s="27" t="s">
        <v>4128</v>
      </c>
      <c r="B1291" s="27" t="str">
        <f>"36.0113"</f>
        <v>36.0113</v>
      </c>
      <c r="C1291" s="64" t="s">
        <v>4129</v>
      </c>
      <c r="D1291" s="27" t="s">
        <v>2229</v>
      </c>
      <c r="E1291" s="27" t="s">
        <v>2232</v>
      </c>
      <c r="F1291" s="27" t="str">
        <f>"36.0113"</f>
        <v>36.0113</v>
      </c>
      <c r="G1291" s="27" t="s">
        <v>4129</v>
      </c>
      <c r="H1291" s="65" t="str">
        <f t="shared" si="60"/>
        <v>No Change</v>
      </c>
      <c r="I1291" s="65" t="str">
        <f t="shared" si="61"/>
        <v>360113</v>
      </c>
      <c r="J1291" s="65" t="str">
        <f t="shared" si="62"/>
        <v>360113</v>
      </c>
    </row>
    <row r="1292" spans="1:10" x14ac:dyDescent="0.3">
      <c r="A1292" s="27" t="s">
        <v>4130</v>
      </c>
      <c r="B1292" s="27" t="str">
        <f>"36.0114"</f>
        <v>36.0114</v>
      </c>
      <c r="C1292" s="64" t="s">
        <v>4131</v>
      </c>
      <c r="D1292" s="27" t="s">
        <v>2229</v>
      </c>
      <c r="E1292" s="27" t="s">
        <v>2232</v>
      </c>
      <c r="F1292" s="27" t="str">
        <f>"36.0114"</f>
        <v>36.0114</v>
      </c>
      <c r="G1292" s="27" t="s">
        <v>4131</v>
      </c>
      <c r="H1292" s="65" t="str">
        <f t="shared" si="60"/>
        <v>No Change</v>
      </c>
      <c r="I1292" s="65" t="str">
        <f t="shared" si="61"/>
        <v>360114</v>
      </c>
      <c r="J1292" s="65" t="str">
        <f t="shared" si="62"/>
        <v>360114</v>
      </c>
    </row>
    <row r="1293" spans="1:10" x14ac:dyDescent="0.3">
      <c r="A1293" s="27" t="s">
        <v>4132</v>
      </c>
      <c r="B1293" s="27" t="str">
        <f>"36.0115"</f>
        <v>36.0115</v>
      </c>
      <c r="C1293" s="64" t="s">
        <v>4133</v>
      </c>
      <c r="D1293" s="27" t="s">
        <v>2229</v>
      </c>
      <c r="E1293" s="27" t="s">
        <v>2232</v>
      </c>
      <c r="F1293" s="27" t="str">
        <f>"36.0115"</f>
        <v>36.0115</v>
      </c>
      <c r="G1293" s="27" t="s">
        <v>4133</v>
      </c>
      <c r="H1293" s="65" t="str">
        <f t="shared" si="60"/>
        <v>No Change</v>
      </c>
      <c r="I1293" s="65" t="str">
        <f t="shared" si="61"/>
        <v>360115</v>
      </c>
      <c r="J1293" s="65" t="str">
        <f t="shared" si="62"/>
        <v>360115</v>
      </c>
    </row>
    <row r="1294" spans="1:10" x14ac:dyDescent="0.3">
      <c r="A1294" s="27" t="s">
        <v>4134</v>
      </c>
      <c r="B1294" s="27" t="str">
        <f>"36.0116"</f>
        <v>36.0116</v>
      </c>
      <c r="C1294" s="64" t="s">
        <v>4135</v>
      </c>
      <c r="D1294" s="27" t="s">
        <v>2229</v>
      </c>
      <c r="E1294" s="27" t="s">
        <v>2232</v>
      </c>
      <c r="F1294" s="27" t="str">
        <f>"36.0116"</f>
        <v>36.0116</v>
      </c>
      <c r="G1294" s="27" t="s">
        <v>4135</v>
      </c>
      <c r="H1294" s="65" t="str">
        <f t="shared" si="60"/>
        <v>No Change</v>
      </c>
      <c r="I1294" s="65" t="str">
        <f t="shared" si="61"/>
        <v>360116</v>
      </c>
      <c r="J1294" s="65" t="str">
        <f t="shared" si="62"/>
        <v>360116</v>
      </c>
    </row>
    <row r="1295" spans="1:10" x14ac:dyDescent="0.3">
      <c r="A1295" s="27" t="s">
        <v>4136</v>
      </c>
      <c r="B1295" s="27" t="str">
        <f>"36.0117"</f>
        <v>36.0117</v>
      </c>
      <c r="C1295" s="64" t="s">
        <v>4137</v>
      </c>
      <c r="D1295" s="27" t="s">
        <v>2229</v>
      </c>
      <c r="E1295" s="27" t="s">
        <v>2232</v>
      </c>
      <c r="F1295" s="27" t="str">
        <f>"36.0117"</f>
        <v>36.0117</v>
      </c>
      <c r="G1295" s="27" t="s">
        <v>4137</v>
      </c>
      <c r="H1295" s="65" t="str">
        <f t="shared" si="60"/>
        <v>No Change</v>
      </c>
      <c r="I1295" s="65" t="str">
        <f t="shared" si="61"/>
        <v>360117</v>
      </c>
      <c r="J1295" s="65" t="str">
        <f t="shared" si="62"/>
        <v>360117</v>
      </c>
    </row>
    <row r="1296" spans="1:10" x14ac:dyDescent="0.3">
      <c r="A1296" s="27" t="s">
        <v>4138</v>
      </c>
      <c r="B1296" s="27" t="str">
        <f>"36.0118"</f>
        <v>36.0118</v>
      </c>
      <c r="C1296" s="64" t="s">
        <v>4139</v>
      </c>
      <c r="D1296" s="27" t="s">
        <v>2229</v>
      </c>
      <c r="E1296" s="27" t="s">
        <v>2232</v>
      </c>
      <c r="F1296" s="27" t="str">
        <f>"36.0118"</f>
        <v>36.0118</v>
      </c>
      <c r="G1296" s="27" t="s">
        <v>4139</v>
      </c>
      <c r="H1296" s="65" t="str">
        <f t="shared" si="60"/>
        <v>No Change</v>
      </c>
      <c r="I1296" s="65" t="str">
        <f t="shared" si="61"/>
        <v>360118</v>
      </c>
      <c r="J1296" s="65" t="str">
        <f t="shared" si="62"/>
        <v>360118</v>
      </c>
    </row>
    <row r="1297" spans="1:10" x14ac:dyDescent="0.3">
      <c r="A1297" s="27" t="s">
        <v>4140</v>
      </c>
      <c r="B1297" s="27" t="str">
        <f>"36.0119"</f>
        <v>36.0119</v>
      </c>
      <c r="C1297" s="64" t="s">
        <v>4141</v>
      </c>
      <c r="D1297" s="27" t="s">
        <v>2274</v>
      </c>
      <c r="E1297" s="27" t="s">
        <v>2232</v>
      </c>
      <c r="F1297" s="27" t="str">
        <f>"36.0202"</f>
        <v>36.0202</v>
      </c>
      <c r="G1297" s="27" t="s">
        <v>4141</v>
      </c>
      <c r="H1297" s="65" t="str">
        <f t="shared" si="60"/>
        <v>Other</v>
      </c>
      <c r="I1297" s="65" t="str">
        <f t="shared" si="61"/>
        <v>360119</v>
      </c>
      <c r="J1297" s="65" t="str">
        <f t="shared" si="62"/>
        <v>360202</v>
      </c>
    </row>
    <row r="1298" spans="1:10" x14ac:dyDescent="0.3">
      <c r="A1298" s="27" t="s">
        <v>1869</v>
      </c>
      <c r="D1298" s="27" t="s">
        <v>2255</v>
      </c>
      <c r="E1298" s="27" t="s">
        <v>2232</v>
      </c>
      <c r="F1298" s="27" t="str">
        <f>"36.0120"</f>
        <v>36.0120</v>
      </c>
      <c r="G1298" s="27" t="s">
        <v>4142</v>
      </c>
      <c r="H1298" s="65" t="str">
        <f t="shared" si="60"/>
        <v>Other</v>
      </c>
      <c r="I1298" s="65" t="str">
        <f t="shared" si="61"/>
        <v/>
      </c>
      <c r="J1298" s="65" t="str">
        <f t="shared" si="62"/>
        <v>360120</v>
      </c>
    </row>
    <row r="1299" spans="1:10" x14ac:dyDescent="0.3">
      <c r="A1299" s="27" t="s">
        <v>1869</v>
      </c>
      <c r="D1299" s="27" t="s">
        <v>2255</v>
      </c>
      <c r="E1299" s="27" t="s">
        <v>2232</v>
      </c>
      <c r="F1299" s="27" t="str">
        <f>"36.0121"</f>
        <v>36.0121</v>
      </c>
      <c r="G1299" s="27" t="s">
        <v>4143</v>
      </c>
      <c r="H1299" s="65" t="str">
        <f t="shared" si="60"/>
        <v>Other</v>
      </c>
      <c r="I1299" s="65" t="str">
        <f t="shared" si="61"/>
        <v/>
      </c>
      <c r="J1299" s="65" t="str">
        <f t="shared" si="62"/>
        <v>360121</v>
      </c>
    </row>
    <row r="1300" spans="1:10" x14ac:dyDescent="0.3">
      <c r="A1300" s="27" t="s">
        <v>1869</v>
      </c>
      <c r="D1300" s="27" t="s">
        <v>2255</v>
      </c>
      <c r="E1300" s="27" t="s">
        <v>2232</v>
      </c>
      <c r="F1300" s="27" t="str">
        <f>"36.0122"</f>
        <v>36.0122</v>
      </c>
      <c r="G1300" s="27" t="s">
        <v>4144</v>
      </c>
      <c r="H1300" s="65" t="str">
        <f t="shared" si="60"/>
        <v>Other</v>
      </c>
      <c r="I1300" s="65" t="str">
        <f t="shared" si="61"/>
        <v/>
      </c>
      <c r="J1300" s="65" t="str">
        <f t="shared" si="62"/>
        <v>360122</v>
      </c>
    </row>
    <row r="1301" spans="1:10" x14ac:dyDescent="0.3">
      <c r="A1301" s="27" t="s">
        <v>1869</v>
      </c>
      <c r="D1301" s="27" t="s">
        <v>2255</v>
      </c>
      <c r="E1301" s="27" t="s">
        <v>2232</v>
      </c>
      <c r="F1301" s="27" t="str">
        <f>"36.0123"</f>
        <v>36.0123</v>
      </c>
      <c r="G1301" s="27" t="s">
        <v>4145</v>
      </c>
      <c r="H1301" s="65" t="str">
        <f t="shared" si="60"/>
        <v>Other</v>
      </c>
      <c r="I1301" s="65" t="str">
        <f t="shared" si="61"/>
        <v/>
      </c>
      <c r="J1301" s="65" t="str">
        <f t="shared" si="62"/>
        <v>360123</v>
      </c>
    </row>
    <row r="1302" spans="1:10" x14ac:dyDescent="0.3">
      <c r="A1302" s="27" t="s">
        <v>4146</v>
      </c>
      <c r="B1302" s="27" t="str">
        <f>"36.0199"</f>
        <v>36.0199</v>
      </c>
      <c r="C1302" s="64" t="s">
        <v>4147</v>
      </c>
      <c r="D1302" s="27" t="s">
        <v>2229</v>
      </c>
      <c r="E1302" s="27" t="s">
        <v>2232</v>
      </c>
      <c r="F1302" s="27" t="str">
        <f>"36.0199"</f>
        <v>36.0199</v>
      </c>
      <c r="G1302" s="27" t="s">
        <v>4147</v>
      </c>
      <c r="H1302" s="65" t="str">
        <f t="shared" si="60"/>
        <v>No Change</v>
      </c>
      <c r="I1302" s="65" t="str">
        <f t="shared" si="61"/>
        <v>360199</v>
      </c>
      <c r="J1302" s="65" t="str">
        <f t="shared" si="62"/>
        <v>360199</v>
      </c>
    </row>
    <row r="1303" spans="1:10" x14ac:dyDescent="0.3">
      <c r="A1303" s="27" t="s">
        <v>1869</v>
      </c>
      <c r="D1303" s="27" t="s">
        <v>2255</v>
      </c>
      <c r="E1303" s="27" t="s">
        <v>2232</v>
      </c>
      <c r="F1303" s="27" t="str">
        <f>"36.02"</f>
        <v>36.02</v>
      </c>
      <c r="G1303" s="27" t="s">
        <v>4148</v>
      </c>
      <c r="H1303" s="65" t="str">
        <f t="shared" si="60"/>
        <v>No Change</v>
      </c>
      <c r="I1303" s="65" t="str">
        <f t="shared" si="61"/>
        <v/>
      </c>
      <c r="J1303" s="65" t="str">
        <f t="shared" si="62"/>
        <v/>
      </c>
    </row>
    <row r="1304" spans="1:10" x14ac:dyDescent="0.3">
      <c r="A1304" s="27" t="s">
        <v>1869</v>
      </c>
      <c r="D1304" s="27" t="s">
        <v>2255</v>
      </c>
      <c r="E1304" s="27" t="s">
        <v>2232</v>
      </c>
      <c r="F1304" s="27" t="str">
        <f>"36.0203"</f>
        <v>36.0203</v>
      </c>
      <c r="G1304" s="27" t="s">
        <v>4149</v>
      </c>
      <c r="H1304" s="65" t="str">
        <f t="shared" si="60"/>
        <v>Other</v>
      </c>
      <c r="I1304" s="65" t="str">
        <f t="shared" si="61"/>
        <v/>
      </c>
      <c r="J1304" s="65" t="str">
        <f t="shared" si="62"/>
        <v>360203</v>
      </c>
    </row>
    <row r="1305" spans="1:10" x14ac:dyDescent="0.3">
      <c r="A1305" s="27" t="s">
        <v>1869</v>
      </c>
      <c r="D1305" s="27" t="s">
        <v>2255</v>
      </c>
      <c r="E1305" s="27" t="s">
        <v>2232</v>
      </c>
      <c r="F1305" s="27" t="str">
        <f>"36.0204"</f>
        <v>36.0204</v>
      </c>
      <c r="G1305" s="27" t="s">
        <v>4150</v>
      </c>
      <c r="H1305" s="65" t="str">
        <f t="shared" si="60"/>
        <v>Other</v>
      </c>
      <c r="I1305" s="65" t="str">
        <f t="shared" si="61"/>
        <v/>
      </c>
      <c r="J1305" s="65" t="str">
        <f t="shared" si="62"/>
        <v>360204</v>
      </c>
    </row>
    <row r="1306" spans="1:10" x14ac:dyDescent="0.3">
      <c r="A1306" s="27" t="s">
        <v>1869</v>
      </c>
      <c r="D1306" s="27" t="s">
        <v>2255</v>
      </c>
      <c r="E1306" s="27" t="s">
        <v>2232</v>
      </c>
      <c r="F1306" s="27" t="str">
        <f>"36.0205"</f>
        <v>36.0205</v>
      </c>
      <c r="G1306" s="27" t="s">
        <v>4151</v>
      </c>
      <c r="H1306" s="65" t="str">
        <f t="shared" si="60"/>
        <v>Other</v>
      </c>
      <c r="I1306" s="65" t="str">
        <f t="shared" si="61"/>
        <v/>
      </c>
      <c r="J1306" s="65" t="str">
        <f t="shared" si="62"/>
        <v>360205</v>
      </c>
    </row>
    <row r="1307" spans="1:10" x14ac:dyDescent="0.3">
      <c r="A1307" s="27" t="s">
        <v>1869</v>
      </c>
      <c r="D1307" s="27" t="s">
        <v>2255</v>
      </c>
      <c r="E1307" s="27" t="s">
        <v>2232</v>
      </c>
      <c r="F1307" s="27" t="str">
        <f>"36.0206"</f>
        <v>36.0206</v>
      </c>
      <c r="G1307" s="27" t="s">
        <v>4152</v>
      </c>
      <c r="H1307" s="65" t="str">
        <f t="shared" si="60"/>
        <v>Other</v>
      </c>
      <c r="I1307" s="65" t="str">
        <f t="shared" si="61"/>
        <v/>
      </c>
      <c r="J1307" s="65" t="str">
        <f t="shared" si="62"/>
        <v>360206</v>
      </c>
    </row>
    <row r="1308" spans="1:10" x14ac:dyDescent="0.3">
      <c r="A1308" s="27" t="s">
        <v>1869</v>
      </c>
      <c r="D1308" s="27" t="s">
        <v>2255</v>
      </c>
      <c r="E1308" s="27" t="s">
        <v>2232</v>
      </c>
      <c r="F1308" s="27" t="str">
        <f>"36.0207"</f>
        <v>36.0207</v>
      </c>
      <c r="G1308" s="27" t="s">
        <v>4153</v>
      </c>
      <c r="H1308" s="65" t="str">
        <f t="shared" si="60"/>
        <v>Other</v>
      </c>
      <c r="I1308" s="65" t="str">
        <f t="shared" si="61"/>
        <v/>
      </c>
      <c r="J1308" s="65" t="str">
        <f t="shared" si="62"/>
        <v>360207</v>
      </c>
    </row>
    <row r="1309" spans="1:10" x14ac:dyDescent="0.3">
      <c r="A1309" s="27" t="s">
        <v>1869</v>
      </c>
      <c r="D1309" s="27" t="s">
        <v>2255</v>
      </c>
      <c r="E1309" s="27" t="s">
        <v>2232</v>
      </c>
      <c r="F1309" s="27" t="str">
        <f>"36.0299"</f>
        <v>36.0299</v>
      </c>
      <c r="G1309" s="27" t="s">
        <v>4154</v>
      </c>
      <c r="H1309" s="65" t="str">
        <f t="shared" si="60"/>
        <v>Other</v>
      </c>
      <c r="I1309" s="65" t="str">
        <f t="shared" si="61"/>
        <v/>
      </c>
      <c r="J1309" s="65" t="str">
        <f t="shared" si="62"/>
        <v>360299</v>
      </c>
    </row>
    <row r="1310" spans="1:10" x14ac:dyDescent="0.3">
      <c r="A1310" s="27" t="s">
        <v>1869</v>
      </c>
      <c r="B1310" s="27" t="str">
        <f>"37"</f>
        <v>37</v>
      </c>
      <c r="C1310" s="64" t="s">
        <v>4155</v>
      </c>
      <c r="D1310" s="27" t="s">
        <v>2229</v>
      </c>
      <c r="E1310" s="27" t="s">
        <v>2232</v>
      </c>
      <c r="F1310" s="27" t="str">
        <f>"37"</f>
        <v>37</v>
      </c>
      <c r="G1310" s="27" t="s">
        <v>4155</v>
      </c>
      <c r="H1310" s="65" t="str">
        <f t="shared" si="60"/>
        <v>No Change</v>
      </c>
      <c r="I1310" s="65" t="str">
        <f t="shared" si="61"/>
        <v/>
      </c>
      <c r="J1310" s="65" t="str">
        <f t="shared" si="62"/>
        <v/>
      </c>
    </row>
    <row r="1311" spans="1:10" x14ac:dyDescent="0.3">
      <c r="A1311" s="27" t="s">
        <v>1869</v>
      </c>
      <c r="B1311" s="27" t="str">
        <f>"37.01"</f>
        <v>37.01</v>
      </c>
      <c r="C1311" s="64" t="s">
        <v>4156</v>
      </c>
      <c r="D1311" s="27" t="s">
        <v>2229</v>
      </c>
      <c r="E1311" s="27" t="s">
        <v>2232</v>
      </c>
      <c r="F1311" s="27" t="str">
        <f>"37.01"</f>
        <v>37.01</v>
      </c>
      <c r="G1311" s="27" t="s">
        <v>4156</v>
      </c>
      <c r="H1311" s="65" t="str">
        <f t="shared" si="60"/>
        <v>No Change</v>
      </c>
      <c r="I1311" s="65" t="str">
        <f t="shared" si="61"/>
        <v/>
      </c>
      <c r="J1311" s="65" t="str">
        <f t="shared" si="62"/>
        <v/>
      </c>
    </row>
    <row r="1312" spans="1:10" x14ac:dyDescent="0.3">
      <c r="A1312" s="27" t="s">
        <v>4157</v>
      </c>
      <c r="B1312" s="27" t="str">
        <f>"37.0101"</f>
        <v>37.0101</v>
      </c>
      <c r="C1312" s="64" t="s">
        <v>4158</v>
      </c>
      <c r="D1312" s="27" t="s">
        <v>2229</v>
      </c>
      <c r="E1312" s="27" t="s">
        <v>2232</v>
      </c>
      <c r="F1312" s="27" t="str">
        <f>"37.0101"</f>
        <v>37.0101</v>
      </c>
      <c r="G1312" s="27" t="s">
        <v>4158</v>
      </c>
      <c r="H1312" s="65" t="str">
        <f t="shared" si="60"/>
        <v>No Change</v>
      </c>
      <c r="I1312" s="65" t="str">
        <f t="shared" si="61"/>
        <v>370101</v>
      </c>
      <c r="J1312" s="65" t="str">
        <f t="shared" si="62"/>
        <v>370101</v>
      </c>
    </row>
    <row r="1313" spans="1:10" x14ac:dyDescent="0.3">
      <c r="A1313" s="27" t="s">
        <v>4159</v>
      </c>
      <c r="B1313" s="27" t="str">
        <f>"37.0102"</f>
        <v>37.0102</v>
      </c>
      <c r="C1313" s="64" t="s">
        <v>4160</v>
      </c>
      <c r="D1313" s="27" t="s">
        <v>2229</v>
      </c>
      <c r="E1313" s="27" t="s">
        <v>2232</v>
      </c>
      <c r="F1313" s="27" t="str">
        <f>"37.0102"</f>
        <v>37.0102</v>
      </c>
      <c r="G1313" s="27" t="s">
        <v>4160</v>
      </c>
      <c r="H1313" s="65" t="str">
        <f t="shared" si="60"/>
        <v>No Change</v>
      </c>
      <c r="I1313" s="65" t="str">
        <f t="shared" si="61"/>
        <v>370102</v>
      </c>
      <c r="J1313" s="65" t="str">
        <f t="shared" si="62"/>
        <v>370102</v>
      </c>
    </row>
    <row r="1314" spans="1:10" x14ac:dyDescent="0.3">
      <c r="A1314" s="27" t="s">
        <v>4161</v>
      </c>
      <c r="B1314" s="27" t="str">
        <f>"37.0103"</f>
        <v>37.0103</v>
      </c>
      <c r="C1314" s="64" t="s">
        <v>4162</v>
      </c>
      <c r="D1314" s="27" t="s">
        <v>2229</v>
      </c>
      <c r="E1314" s="27" t="s">
        <v>2232</v>
      </c>
      <c r="F1314" s="27" t="str">
        <f>"37.0103"</f>
        <v>37.0103</v>
      </c>
      <c r="G1314" s="27" t="s">
        <v>4162</v>
      </c>
      <c r="H1314" s="65" t="str">
        <f t="shared" si="60"/>
        <v>No Change</v>
      </c>
      <c r="I1314" s="65" t="str">
        <f t="shared" si="61"/>
        <v>370103</v>
      </c>
      <c r="J1314" s="65" t="str">
        <f t="shared" si="62"/>
        <v>370103</v>
      </c>
    </row>
    <row r="1315" spans="1:10" x14ac:dyDescent="0.3">
      <c r="A1315" s="27" t="s">
        <v>4163</v>
      </c>
      <c r="B1315" s="27" t="str">
        <f>"37.0104"</f>
        <v>37.0104</v>
      </c>
      <c r="C1315" s="64" t="s">
        <v>4164</v>
      </c>
      <c r="D1315" s="27" t="s">
        <v>2229</v>
      </c>
      <c r="E1315" s="27" t="s">
        <v>2232</v>
      </c>
      <c r="F1315" s="27" t="str">
        <f>"37.0104"</f>
        <v>37.0104</v>
      </c>
      <c r="G1315" s="27" t="s">
        <v>4164</v>
      </c>
      <c r="H1315" s="65" t="str">
        <f t="shared" si="60"/>
        <v>No Change</v>
      </c>
      <c r="I1315" s="65" t="str">
        <f t="shared" si="61"/>
        <v>370104</v>
      </c>
      <c r="J1315" s="65" t="str">
        <f t="shared" si="62"/>
        <v>370104</v>
      </c>
    </row>
    <row r="1316" spans="1:10" x14ac:dyDescent="0.3">
      <c r="A1316" s="27" t="s">
        <v>1869</v>
      </c>
      <c r="D1316" s="27" t="s">
        <v>2255</v>
      </c>
      <c r="E1316" s="27" t="s">
        <v>2232</v>
      </c>
      <c r="F1316" s="27" t="str">
        <f>"37.0106"</f>
        <v>37.0106</v>
      </c>
      <c r="G1316" s="27" t="s">
        <v>4165</v>
      </c>
      <c r="H1316" s="65" t="str">
        <f t="shared" si="60"/>
        <v>Other</v>
      </c>
      <c r="I1316" s="65" t="str">
        <f t="shared" si="61"/>
        <v/>
      </c>
      <c r="J1316" s="65" t="str">
        <f t="shared" si="62"/>
        <v>370106</v>
      </c>
    </row>
    <row r="1317" spans="1:10" x14ac:dyDescent="0.3">
      <c r="A1317" s="27" t="s">
        <v>1869</v>
      </c>
      <c r="D1317" s="27" t="s">
        <v>2255</v>
      </c>
      <c r="E1317" s="27" t="s">
        <v>2232</v>
      </c>
      <c r="F1317" s="27" t="str">
        <f>"37.0107"</f>
        <v>37.0107</v>
      </c>
      <c r="G1317" s="27" t="s">
        <v>4166</v>
      </c>
      <c r="H1317" s="65" t="str">
        <f t="shared" si="60"/>
        <v>Other</v>
      </c>
      <c r="I1317" s="65" t="str">
        <f t="shared" si="61"/>
        <v/>
      </c>
      <c r="J1317" s="65" t="str">
        <f t="shared" si="62"/>
        <v>370107</v>
      </c>
    </row>
    <row r="1318" spans="1:10" x14ac:dyDescent="0.3">
      <c r="A1318" s="27" t="s">
        <v>4167</v>
      </c>
      <c r="B1318" s="27" t="str">
        <f>"37.0199"</f>
        <v>37.0199</v>
      </c>
      <c r="C1318" s="64" t="s">
        <v>4168</v>
      </c>
      <c r="D1318" s="27" t="s">
        <v>2229</v>
      </c>
      <c r="E1318" s="27" t="s">
        <v>2232</v>
      </c>
      <c r="F1318" s="27" t="str">
        <f>"37.0199"</f>
        <v>37.0199</v>
      </c>
      <c r="G1318" s="27" t="s">
        <v>4168</v>
      </c>
      <c r="H1318" s="65" t="str">
        <f t="shared" si="60"/>
        <v>No Change</v>
      </c>
      <c r="I1318" s="65" t="str">
        <f t="shared" si="61"/>
        <v>370199</v>
      </c>
      <c r="J1318" s="65" t="str">
        <f t="shared" si="62"/>
        <v>370199</v>
      </c>
    </row>
    <row r="1319" spans="1:10" x14ac:dyDescent="0.3">
      <c r="A1319" s="27" t="s">
        <v>1869</v>
      </c>
      <c r="B1319" s="27" t="str">
        <f>"38"</f>
        <v>38</v>
      </c>
      <c r="C1319" s="64" t="s">
        <v>4169</v>
      </c>
      <c r="D1319" s="27" t="s">
        <v>2229</v>
      </c>
      <c r="E1319" s="27" t="s">
        <v>2232</v>
      </c>
      <c r="F1319" s="27" t="str">
        <f>"38"</f>
        <v>38</v>
      </c>
      <c r="G1319" s="27" t="s">
        <v>4169</v>
      </c>
      <c r="H1319" s="65" t="str">
        <f t="shared" si="60"/>
        <v>No Change</v>
      </c>
      <c r="I1319" s="65" t="str">
        <f t="shared" si="61"/>
        <v/>
      </c>
      <c r="J1319" s="65" t="str">
        <f t="shared" si="62"/>
        <v/>
      </c>
    </row>
    <row r="1320" spans="1:10" x14ac:dyDescent="0.3">
      <c r="A1320" s="27" t="s">
        <v>1869</v>
      </c>
      <c r="B1320" s="27" t="str">
        <f>"38.00"</f>
        <v>38.00</v>
      </c>
      <c r="C1320" s="64" t="s">
        <v>4170</v>
      </c>
      <c r="D1320" s="27" t="s">
        <v>2229</v>
      </c>
      <c r="E1320" s="27" t="s">
        <v>2232</v>
      </c>
      <c r="F1320" s="27" t="str">
        <f>"38.00"</f>
        <v>38.00</v>
      </c>
      <c r="G1320" s="27" t="s">
        <v>4170</v>
      </c>
      <c r="H1320" s="65" t="str">
        <f t="shared" si="60"/>
        <v>No Change</v>
      </c>
      <c r="I1320" s="65" t="str">
        <f t="shared" si="61"/>
        <v/>
      </c>
      <c r="J1320" s="65" t="str">
        <f t="shared" si="62"/>
        <v/>
      </c>
    </row>
    <row r="1321" spans="1:10" x14ac:dyDescent="0.3">
      <c r="A1321" s="27" t="s">
        <v>4171</v>
      </c>
      <c r="B1321" s="27" t="str">
        <f>"38.0001"</f>
        <v>38.0001</v>
      </c>
      <c r="C1321" s="64" t="s">
        <v>4170</v>
      </c>
      <c r="D1321" s="27" t="s">
        <v>2229</v>
      </c>
      <c r="E1321" s="27" t="s">
        <v>2232</v>
      </c>
      <c r="F1321" s="27" t="str">
        <f>"38.0001"</f>
        <v>38.0001</v>
      </c>
      <c r="G1321" s="27" t="s">
        <v>4170</v>
      </c>
      <c r="H1321" s="65" t="str">
        <f t="shared" si="60"/>
        <v>No Change</v>
      </c>
      <c r="I1321" s="65" t="str">
        <f t="shared" si="61"/>
        <v>380001</v>
      </c>
      <c r="J1321" s="65" t="str">
        <f t="shared" si="62"/>
        <v>380001</v>
      </c>
    </row>
    <row r="1322" spans="1:10" x14ac:dyDescent="0.3">
      <c r="A1322" s="27" t="s">
        <v>1869</v>
      </c>
      <c r="B1322" s="27" t="str">
        <f>"38.01"</f>
        <v>38.01</v>
      </c>
      <c r="C1322" s="64" t="s">
        <v>4172</v>
      </c>
      <c r="D1322" s="27" t="s">
        <v>2229</v>
      </c>
      <c r="E1322" s="27" t="s">
        <v>2232</v>
      </c>
      <c r="F1322" s="27" t="str">
        <f>"38.01"</f>
        <v>38.01</v>
      </c>
      <c r="G1322" s="27" t="s">
        <v>4172</v>
      </c>
      <c r="H1322" s="65" t="str">
        <f t="shared" si="60"/>
        <v>No Change</v>
      </c>
      <c r="I1322" s="65" t="str">
        <f t="shared" si="61"/>
        <v/>
      </c>
      <c r="J1322" s="65" t="str">
        <f t="shared" si="62"/>
        <v/>
      </c>
    </row>
    <row r="1323" spans="1:10" x14ac:dyDescent="0.3">
      <c r="A1323" s="27" t="s">
        <v>4173</v>
      </c>
      <c r="B1323" s="27" t="str">
        <f>"38.0101"</f>
        <v>38.0101</v>
      </c>
      <c r="C1323" s="64" t="s">
        <v>4172</v>
      </c>
      <c r="D1323" s="27" t="s">
        <v>2229</v>
      </c>
      <c r="E1323" s="27" t="s">
        <v>2232</v>
      </c>
      <c r="F1323" s="27" t="str">
        <f>"38.0101"</f>
        <v>38.0101</v>
      </c>
      <c r="G1323" s="27" t="s">
        <v>4172</v>
      </c>
      <c r="H1323" s="65" t="str">
        <f t="shared" si="60"/>
        <v>No Change</v>
      </c>
      <c r="I1323" s="65" t="str">
        <f t="shared" si="61"/>
        <v>380101</v>
      </c>
      <c r="J1323" s="65" t="str">
        <f t="shared" si="62"/>
        <v>380101</v>
      </c>
    </row>
    <row r="1324" spans="1:10" x14ac:dyDescent="0.3">
      <c r="A1324" s="27" t="s">
        <v>4174</v>
      </c>
      <c r="B1324" s="27" t="str">
        <f>"38.0102"</f>
        <v>38.0102</v>
      </c>
      <c r="C1324" s="64" t="s">
        <v>4175</v>
      </c>
      <c r="D1324" s="27" t="s">
        <v>2229</v>
      </c>
      <c r="E1324" s="27" t="s">
        <v>2232</v>
      </c>
      <c r="F1324" s="27" t="str">
        <f>"38.0102"</f>
        <v>38.0102</v>
      </c>
      <c r="G1324" s="27" t="s">
        <v>4175</v>
      </c>
      <c r="H1324" s="65" t="str">
        <f t="shared" si="60"/>
        <v>No Change</v>
      </c>
      <c r="I1324" s="65" t="str">
        <f t="shared" si="61"/>
        <v>380102</v>
      </c>
      <c r="J1324" s="65" t="str">
        <f t="shared" si="62"/>
        <v>380102</v>
      </c>
    </row>
    <row r="1325" spans="1:10" x14ac:dyDescent="0.3">
      <c r="A1325" s="27" t="s">
        <v>4176</v>
      </c>
      <c r="B1325" s="27" t="str">
        <f>"38.0103"</f>
        <v>38.0103</v>
      </c>
      <c r="C1325" s="64" t="s">
        <v>4177</v>
      </c>
      <c r="D1325" s="27" t="s">
        <v>2229</v>
      </c>
      <c r="E1325" s="27" t="s">
        <v>2232</v>
      </c>
      <c r="F1325" s="27" t="str">
        <f>"38.0103"</f>
        <v>38.0103</v>
      </c>
      <c r="G1325" s="27" t="s">
        <v>4177</v>
      </c>
      <c r="H1325" s="65" t="str">
        <f t="shared" si="60"/>
        <v>No Change</v>
      </c>
      <c r="I1325" s="65" t="str">
        <f t="shared" si="61"/>
        <v>380103</v>
      </c>
      <c r="J1325" s="65" t="str">
        <f t="shared" si="62"/>
        <v>380103</v>
      </c>
    </row>
    <row r="1326" spans="1:10" x14ac:dyDescent="0.3">
      <c r="A1326" s="27" t="s">
        <v>4178</v>
      </c>
      <c r="B1326" s="27" t="str">
        <f>"38.0104"</f>
        <v>38.0104</v>
      </c>
      <c r="C1326" s="64" t="s">
        <v>4179</v>
      </c>
      <c r="D1326" s="27" t="s">
        <v>2229</v>
      </c>
      <c r="E1326" s="27" t="s">
        <v>2232</v>
      </c>
      <c r="F1326" s="27" t="str">
        <f>"38.0104"</f>
        <v>38.0104</v>
      </c>
      <c r="G1326" s="27" t="s">
        <v>4179</v>
      </c>
      <c r="H1326" s="65" t="str">
        <f t="shared" si="60"/>
        <v>No Change</v>
      </c>
      <c r="I1326" s="65" t="str">
        <f t="shared" si="61"/>
        <v>380104</v>
      </c>
      <c r="J1326" s="65" t="str">
        <f t="shared" si="62"/>
        <v>380104</v>
      </c>
    </row>
    <row r="1327" spans="1:10" x14ac:dyDescent="0.3">
      <c r="A1327" s="27" t="s">
        <v>4180</v>
      </c>
      <c r="B1327" s="27" t="str">
        <f>"38.0199"</f>
        <v>38.0199</v>
      </c>
      <c r="C1327" s="64" t="s">
        <v>4181</v>
      </c>
      <c r="D1327" s="27" t="s">
        <v>2229</v>
      </c>
      <c r="E1327" s="27" t="s">
        <v>2232</v>
      </c>
      <c r="F1327" s="27" t="str">
        <f>"38.0199"</f>
        <v>38.0199</v>
      </c>
      <c r="G1327" s="27" t="s">
        <v>4181</v>
      </c>
      <c r="H1327" s="65" t="str">
        <f t="shared" si="60"/>
        <v>No Change</v>
      </c>
      <c r="I1327" s="65" t="str">
        <f t="shared" si="61"/>
        <v>380199</v>
      </c>
      <c r="J1327" s="65" t="str">
        <f t="shared" si="62"/>
        <v>380199</v>
      </c>
    </row>
    <row r="1328" spans="1:10" x14ac:dyDescent="0.3">
      <c r="A1328" s="27" t="s">
        <v>1869</v>
      </c>
      <c r="B1328" s="27" t="str">
        <f>"38.02"</f>
        <v>38.02</v>
      </c>
      <c r="C1328" s="64" t="s">
        <v>4182</v>
      </c>
      <c r="D1328" s="27" t="s">
        <v>2229</v>
      </c>
      <c r="E1328" s="27" t="s">
        <v>2232</v>
      </c>
      <c r="F1328" s="27" t="str">
        <f>"38.02"</f>
        <v>38.02</v>
      </c>
      <c r="G1328" s="27" t="s">
        <v>4182</v>
      </c>
      <c r="H1328" s="65" t="str">
        <f t="shared" si="60"/>
        <v>No Change</v>
      </c>
      <c r="I1328" s="65" t="str">
        <f t="shared" si="61"/>
        <v/>
      </c>
      <c r="J1328" s="65" t="str">
        <f t="shared" si="62"/>
        <v/>
      </c>
    </row>
    <row r="1329" spans="1:10" x14ac:dyDescent="0.3">
      <c r="A1329" s="27" t="s">
        <v>4183</v>
      </c>
      <c r="B1329" s="27" t="str">
        <f>"38.0201"</f>
        <v>38.0201</v>
      </c>
      <c r="C1329" s="64" t="s">
        <v>4182</v>
      </c>
      <c r="D1329" s="27" t="s">
        <v>2229</v>
      </c>
      <c r="E1329" s="27" t="s">
        <v>2232</v>
      </c>
      <c r="F1329" s="27" t="str">
        <f>"38.0201"</f>
        <v>38.0201</v>
      </c>
      <c r="G1329" s="27" t="s">
        <v>4182</v>
      </c>
      <c r="H1329" s="65" t="str">
        <f t="shared" si="60"/>
        <v>No Change</v>
      </c>
      <c r="I1329" s="65" t="str">
        <f t="shared" si="61"/>
        <v>380201</v>
      </c>
      <c r="J1329" s="65" t="str">
        <f t="shared" si="62"/>
        <v>380201</v>
      </c>
    </row>
    <row r="1330" spans="1:10" x14ac:dyDescent="0.3">
      <c r="A1330" s="27" t="s">
        <v>4184</v>
      </c>
      <c r="B1330" s="27" t="str">
        <f>"38.0202"</f>
        <v>38.0202</v>
      </c>
      <c r="C1330" s="64" t="s">
        <v>4185</v>
      </c>
      <c r="D1330" s="27" t="s">
        <v>2229</v>
      </c>
      <c r="E1330" s="27" t="s">
        <v>2232</v>
      </c>
      <c r="F1330" s="27" t="str">
        <f>"38.0202"</f>
        <v>38.0202</v>
      </c>
      <c r="G1330" s="27" t="s">
        <v>4185</v>
      </c>
      <c r="H1330" s="65" t="str">
        <f t="shared" si="60"/>
        <v>No Change</v>
      </c>
      <c r="I1330" s="65" t="str">
        <f t="shared" si="61"/>
        <v>380202</v>
      </c>
      <c r="J1330" s="65" t="str">
        <f t="shared" si="62"/>
        <v>380202</v>
      </c>
    </row>
    <row r="1331" spans="1:10" x14ac:dyDescent="0.3">
      <c r="A1331" s="27" t="s">
        <v>4186</v>
      </c>
      <c r="B1331" s="27" t="str">
        <f>"38.0203"</f>
        <v>38.0203</v>
      </c>
      <c r="C1331" s="64" t="s">
        <v>4187</v>
      </c>
      <c r="D1331" s="27" t="s">
        <v>2229</v>
      </c>
      <c r="E1331" s="27" t="s">
        <v>2232</v>
      </c>
      <c r="F1331" s="27" t="str">
        <f>"38.0203"</f>
        <v>38.0203</v>
      </c>
      <c r="G1331" s="27" t="s">
        <v>4187</v>
      </c>
      <c r="H1331" s="65" t="str">
        <f t="shared" si="60"/>
        <v>No Change</v>
      </c>
      <c r="I1331" s="65" t="str">
        <f t="shared" si="61"/>
        <v>380203</v>
      </c>
      <c r="J1331" s="65" t="str">
        <f t="shared" si="62"/>
        <v>380203</v>
      </c>
    </row>
    <row r="1332" spans="1:10" x14ac:dyDescent="0.3">
      <c r="A1332" s="27" t="s">
        <v>4188</v>
      </c>
      <c r="B1332" s="27" t="str">
        <f>"38.0204"</f>
        <v>38.0204</v>
      </c>
      <c r="C1332" s="64" t="s">
        <v>4189</v>
      </c>
      <c r="D1332" s="27" t="s">
        <v>2229</v>
      </c>
      <c r="E1332" s="27" t="s">
        <v>2232</v>
      </c>
      <c r="F1332" s="27" t="str">
        <f>"38.0204"</f>
        <v>38.0204</v>
      </c>
      <c r="G1332" s="27" t="s">
        <v>4189</v>
      </c>
      <c r="H1332" s="65" t="str">
        <f t="shared" si="60"/>
        <v>No Change</v>
      </c>
      <c r="I1332" s="65" t="str">
        <f t="shared" si="61"/>
        <v>380204</v>
      </c>
      <c r="J1332" s="65" t="str">
        <f t="shared" si="62"/>
        <v>380204</v>
      </c>
    </row>
    <row r="1333" spans="1:10" x14ac:dyDescent="0.3">
      <c r="A1333" s="27" t="s">
        <v>4190</v>
      </c>
      <c r="B1333" s="27" t="str">
        <f>"38.0205"</f>
        <v>38.0205</v>
      </c>
      <c r="C1333" s="64" t="s">
        <v>4191</v>
      </c>
      <c r="D1333" s="27" t="s">
        <v>2229</v>
      </c>
      <c r="E1333" s="27" t="s">
        <v>2232</v>
      </c>
      <c r="F1333" s="27" t="str">
        <f>"38.0205"</f>
        <v>38.0205</v>
      </c>
      <c r="G1333" s="27" t="s">
        <v>4191</v>
      </c>
      <c r="H1333" s="65" t="str">
        <f t="shared" si="60"/>
        <v>No Change</v>
      </c>
      <c r="I1333" s="65" t="str">
        <f t="shared" si="61"/>
        <v>380205</v>
      </c>
      <c r="J1333" s="65" t="str">
        <f t="shared" si="62"/>
        <v>380205</v>
      </c>
    </row>
    <row r="1334" spans="1:10" x14ac:dyDescent="0.3">
      <c r="A1334" s="27" t="s">
        <v>4192</v>
      </c>
      <c r="B1334" s="27" t="str">
        <f>"38.0206"</f>
        <v>38.0206</v>
      </c>
      <c r="C1334" s="64" t="s">
        <v>4193</v>
      </c>
      <c r="D1334" s="27" t="s">
        <v>2229</v>
      </c>
      <c r="E1334" s="27" t="s">
        <v>2232</v>
      </c>
      <c r="F1334" s="27" t="str">
        <f>"38.0206"</f>
        <v>38.0206</v>
      </c>
      <c r="G1334" s="27" t="s">
        <v>4193</v>
      </c>
      <c r="H1334" s="65" t="str">
        <f t="shared" si="60"/>
        <v>No Change</v>
      </c>
      <c r="I1334" s="65" t="str">
        <f t="shared" si="61"/>
        <v>380206</v>
      </c>
      <c r="J1334" s="65" t="str">
        <f t="shared" si="62"/>
        <v>380206</v>
      </c>
    </row>
    <row r="1335" spans="1:10" x14ac:dyDescent="0.3">
      <c r="A1335" s="27" t="s">
        <v>1869</v>
      </c>
      <c r="D1335" s="27" t="s">
        <v>2255</v>
      </c>
      <c r="E1335" s="27" t="s">
        <v>2232</v>
      </c>
      <c r="F1335" s="27" t="str">
        <f>"38.0208"</f>
        <v>38.0208</v>
      </c>
      <c r="G1335" s="27" t="s">
        <v>4194</v>
      </c>
      <c r="H1335" s="65" t="str">
        <f t="shared" si="60"/>
        <v>Other</v>
      </c>
      <c r="I1335" s="65" t="str">
        <f t="shared" si="61"/>
        <v/>
      </c>
      <c r="J1335" s="65" t="str">
        <f t="shared" si="62"/>
        <v>380208</v>
      </c>
    </row>
    <row r="1336" spans="1:10" x14ac:dyDescent="0.3">
      <c r="A1336" s="27" t="s">
        <v>1869</v>
      </c>
      <c r="D1336" s="27" t="s">
        <v>2255</v>
      </c>
      <c r="E1336" s="27" t="s">
        <v>2232</v>
      </c>
      <c r="F1336" s="27" t="str">
        <f>"38.0209"</f>
        <v>38.0209</v>
      </c>
      <c r="G1336" s="27" t="s">
        <v>4195</v>
      </c>
      <c r="H1336" s="65" t="str">
        <f t="shared" si="60"/>
        <v>Other</v>
      </c>
      <c r="I1336" s="65" t="str">
        <f t="shared" si="61"/>
        <v/>
      </c>
      <c r="J1336" s="65" t="str">
        <f t="shared" si="62"/>
        <v>380209</v>
      </c>
    </row>
    <row r="1337" spans="1:10" x14ac:dyDescent="0.3">
      <c r="A1337" s="27" t="s">
        <v>4196</v>
      </c>
      <c r="B1337" s="27" t="str">
        <f>"38.0299"</f>
        <v>38.0299</v>
      </c>
      <c r="C1337" s="64" t="s">
        <v>4197</v>
      </c>
      <c r="D1337" s="27" t="s">
        <v>2229</v>
      </c>
      <c r="E1337" s="27" t="s">
        <v>2232</v>
      </c>
      <c r="F1337" s="27" t="str">
        <f>"38.0299"</f>
        <v>38.0299</v>
      </c>
      <c r="G1337" s="27" t="s">
        <v>4197</v>
      </c>
      <c r="H1337" s="65" t="str">
        <f t="shared" si="60"/>
        <v>No Change</v>
      </c>
      <c r="I1337" s="65" t="str">
        <f t="shared" si="61"/>
        <v>380299</v>
      </c>
      <c r="J1337" s="65" t="str">
        <f t="shared" si="62"/>
        <v>380299</v>
      </c>
    </row>
    <row r="1338" spans="1:10" x14ac:dyDescent="0.3">
      <c r="A1338" s="27" t="s">
        <v>1869</v>
      </c>
      <c r="B1338" s="27" t="str">
        <f>"38.99"</f>
        <v>38.99</v>
      </c>
      <c r="C1338" s="64" t="s">
        <v>4198</v>
      </c>
      <c r="D1338" s="27" t="s">
        <v>2229</v>
      </c>
      <c r="E1338" s="27" t="s">
        <v>2232</v>
      </c>
      <c r="F1338" s="27" t="str">
        <f>"38.99"</f>
        <v>38.99</v>
      </c>
      <c r="G1338" s="27" t="s">
        <v>4198</v>
      </c>
      <c r="H1338" s="65" t="str">
        <f t="shared" si="60"/>
        <v>No Change</v>
      </c>
      <c r="I1338" s="65" t="str">
        <f t="shared" si="61"/>
        <v/>
      </c>
      <c r="J1338" s="65" t="str">
        <f t="shared" si="62"/>
        <v/>
      </c>
    </row>
    <row r="1339" spans="1:10" x14ac:dyDescent="0.3">
      <c r="A1339" s="27" t="s">
        <v>4199</v>
      </c>
      <c r="B1339" s="27" t="str">
        <f>"38.9999"</f>
        <v>38.9999</v>
      </c>
      <c r="C1339" s="64" t="s">
        <v>4198</v>
      </c>
      <c r="D1339" s="27" t="s">
        <v>2229</v>
      </c>
      <c r="E1339" s="27" t="s">
        <v>2232</v>
      </c>
      <c r="F1339" s="27" t="str">
        <f>"38.9999"</f>
        <v>38.9999</v>
      </c>
      <c r="G1339" s="27" t="s">
        <v>4198</v>
      </c>
      <c r="H1339" s="65" t="str">
        <f t="shared" si="60"/>
        <v>No Change</v>
      </c>
      <c r="I1339" s="65" t="str">
        <f t="shared" si="61"/>
        <v>389999</v>
      </c>
      <c r="J1339" s="65" t="str">
        <f t="shared" si="62"/>
        <v>389999</v>
      </c>
    </row>
    <row r="1340" spans="1:10" x14ac:dyDescent="0.3">
      <c r="A1340" s="27" t="s">
        <v>1869</v>
      </c>
      <c r="B1340" s="27" t="str">
        <f>"39"</f>
        <v>39</v>
      </c>
      <c r="C1340" s="64" t="s">
        <v>4200</v>
      </c>
      <c r="D1340" s="27" t="s">
        <v>2229</v>
      </c>
      <c r="E1340" s="27" t="s">
        <v>2232</v>
      </c>
      <c r="F1340" s="27" t="str">
        <f>"39"</f>
        <v>39</v>
      </c>
      <c r="G1340" s="27" t="s">
        <v>4200</v>
      </c>
      <c r="H1340" s="65" t="str">
        <f t="shared" si="60"/>
        <v>No Change</v>
      </c>
      <c r="I1340" s="65" t="str">
        <f t="shared" si="61"/>
        <v/>
      </c>
      <c r="J1340" s="65" t="str">
        <f t="shared" si="62"/>
        <v/>
      </c>
    </row>
    <row r="1341" spans="1:10" x14ac:dyDescent="0.3">
      <c r="A1341" s="27" t="s">
        <v>1869</v>
      </c>
      <c r="B1341" s="27" t="str">
        <f>"39.02"</f>
        <v>39.02</v>
      </c>
      <c r="C1341" s="64" t="s">
        <v>4201</v>
      </c>
      <c r="D1341" s="27" t="s">
        <v>2229</v>
      </c>
      <c r="E1341" s="27" t="s">
        <v>2232</v>
      </c>
      <c r="F1341" s="27" t="str">
        <f>"39.02"</f>
        <v>39.02</v>
      </c>
      <c r="G1341" s="27" t="s">
        <v>4201</v>
      </c>
      <c r="H1341" s="65" t="str">
        <f t="shared" si="60"/>
        <v>No Change</v>
      </c>
      <c r="I1341" s="65" t="str">
        <f t="shared" si="61"/>
        <v/>
      </c>
      <c r="J1341" s="65" t="str">
        <f t="shared" si="62"/>
        <v/>
      </c>
    </row>
    <row r="1342" spans="1:10" x14ac:dyDescent="0.3">
      <c r="A1342" s="27" t="s">
        <v>4202</v>
      </c>
      <c r="B1342" s="27" t="str">
        <f>"39.0201"</f>
        <v>39.0201</v>
      </c>
      <c r="C1342" s="64" t="s">
        <v>4201</v>
      </c>
      <c r="D1342" s="27" t="s">
        <v>2229</v>
      </c>
      <c r="E1342" s="27" t="s">
        <v>2232</v>
      </c>
      <c r="F1342" s="27" t="str">
        <f>"39.0201"</f>
        <v>39.0201</v>
      </c>
      <c r="G1342" s="27" t="s">
        <v>4201</v>
      </c>
      <c r="H1342" s="65" t="str">
        <f t="shared" si="60"/>
        <v>No Change</v>
      </c>
      <c r="I1342" s="65" t="str">
        <f t="shared" si="61"/>
        <v>390201</v>
      </c>
      <c r="J1342" s="65" t="str">
        <f t="shared" si="62"/>
        <v>390201</v>
      </c>
    </row>
    <row r="1343" spans="1:10" x14ac:dyDescent="0.3">
      <c r="A1343" s="27" t="s">
        <v>1869</v>
      </c>
      <c r="B1343" s="27" t="str">
        <f>"39.03"</f>
        <v>39.03</v>
      </c>
      <c r="C1343" s="64" t="s">
        <v>4203</v>
      </c>
      <c r="D1343" s="27" t="s">
        <v>2229</v>
      </c>
      <c r="E1343" s="27" t="s">
        <v>2232</v>
      </c>
      <c r="F1343" s="27" t="str">
        <f>"39.03"</f>
        <v>39.03</v>
      </c>
      <c r="G1343" s="27" t="s">
        <v>4203</v>
      </c>
      <c r="H1343" s="65" t="str">
        <f t="shared" si="60"/>
        <v>No Change</v>
      </c>
      <c r="I1343" s="65" t="str">
        <f t="shared" si="61"/>
        <v/>
      </c>
      <c r="J1343" s="65" t="str">
        <f t="shared" si="62"/>
        <v/>
      </c>
    </row>
    <row r="1344" spans="1:10" x14ac:dyDescent="0.3">
      <c r="A1344" s="27" t="s">
        <v>4204</v>
      </c>
      <c r="B1344" s="27" t="str">
        <f>"39.0301"</f>
        <v>39.0301</v>
      </c>
      <c r="C1344" s="64" t="s">
        <v>4203</v>
      </c>
      <c r="D1344" s="27" t="s">
        <v>2229</v>
      </c>
      <c r="E1344" s="27" t="s">
        <v>2230</v>
      </c>
      <c r="F1344" s="27" t="str">
        <f>"39.0301"</f>
        <v>39.0301</v>
      </c>
      <c r="G1344" s="27" t="s">
        <v>4205</v>
      </c>
      <c r="H1344" s="65" t="str">
        <f t="shared" si="60"/>
        <v>No Change</v>
      </c>
      <c r="I1344" s="65" t="str">
        <f t="shared" si="61"/>
        <v>390301</v>
      </c>
      <c r="J1344" s="65" t="str">
        <f t="shared" si="62"/>
        <v>390301</v>
      </c>
    </row>
    <row r="1345" spans="1:10" x14ac:dyDescent="0.3">
      <c r="A1345" s="27" t="s">
        <v>1869</v>
      </c>
      <c r="D1345" s="27" t="s">
        <v>2255</v>
      </c>
      <c r="E1345" s="27" t="s">
        <v>2232</v>
      </c>
      <c r="F1345" s="27" t="str">
        <f>"39.0302"</f>
        <v>39.0302</v>
      </c>
      <c r="G1345" s="27" t="s">
        <v>4206</v>
      </c>
      <c r="H1345" s="65" t="str">
        <f t="shared" si="60"/>
        <v>Other</v>
      </c>
      <c r="I1345" s="65" t="str">
        <f t="shared" si="61"/>
        <v/>
      </c>
      <c r="J1345" s="65" t="str">
        <f t="shared" si="62"/>
        <v>390302</v>
      </c>
    </row>
    <row r="1346" spans="1:10" x14ac:dyDescent="0.3">
      <c r="A1346" s="27" t="s">
        <v>1869</v>
      </c>
      <c r="D1346" s="27" t="s">
        <v>2255</v>
      </c>
      <c r="E1346" s="27" t="s">
        <v>2232</v>
      </c>
      <c r="F1346" s="27" t="str">
        <f>"39.0399"</f>
        <v>39.0399</v>
      </c>
      <c r="G1346" s="27" t="s">
        <v>4207</v>
      </c>
      <c r="H1346" s="65" t="str">
        <f t="shared" si="60"/>
        <v>Other</v>
      </c>
      <c r="I1346" s="65" t="str">
        <f t="shared" si="61"/>
        <v/>
      </c>
      <c r="J1346" s="65" t="str">
        <f t="shared" si="62"/>
        <v>390399</v>
      </c>
    </row>
    <row r="1347" spans="1:10" x14ac:dyDescent="0.3">
      <c r="A1347" s="27" t="s">
        <v>1869</v>
      </c>
      <c r="B1347" s="27" t="str">
        <f>"39.04"</f>
        <v>39.04</v>
      </c>
      <c r="C1347" s="64" t="s">
        <v>4208</v>
      </c>
      <c r="D1347" s="27" t="s">
        <v>2229</v>
      </c>
      <c r="E1347" s="27" t="s">
        <v>2232</v>
      </c>
      <c r="F1347" s="27" t="str">
        <f>"39.04"</f>
        <v>39.04</v>
      </c>
      <c r="G1347" s="27" t="s">
        <v>4208</v>
      </c>
      <c r="H1347" s="65" t="str">
        <f t="shared" ref="H1347:H1410" si="63">IF(I1347=J1347,"No Change","Other")</f>
        <v>No Change</v>
      </c>
      <c r="I1347" s="65" t="str">
        <f t="shared" ref="I1347:I1410" si="64">SUBSTITUTE(IF(SUM(LEN(B1347))&lt;7,"",B1347),".","")</f>
        <v/>
      </c>
      <c r="J1347" s="65" t="str">
        <f t="shared" ref="J1347:J1410" si="65">SUBSTITUTE(IF(SUM(LEN(F1347))&lt;7,"",F1347),".","")</f>
        <v/>
      </c>
    </row>
    <row r="1348" spans="1:10" x14ac:dyDescent="0.3">
      <c r="A1348" s="27" t="s">
        <v>4209</v>
      </c>
      <c r="B1348" s="27" t="str">
        <f>"39.0401"</f>
        <v>39.0401</v>
      </c>
      <c r="C1348" s="64" t="s">
        <v>4208</v>
      </c>
      <c r="D1348" s="27" t="s">
        <v>2229</v>
      </c>
      <c r="E1348" s="27" t="s">
        <v>2232</v>
      </c>
      <c r="F1348" s="27" t="str">
        <f>"39.0401"</f>
        <v>39.0401</v>
      </c>
      <c r="G1348" s="27" t="s">
        <v>4208</v>
      </c>
      <c r="H1348" s="65" t="str">
        <f t="shared" si="63"/>
        <v>No Change</v>
      </c>
      <c r="I1348" s="65" t="str">
        <f t="shared" si="64"/>
        <v>390401</v>
      </c>
      <c r="J1348" s="65" t="str">
        <f t="shared" si="65"/>
        <v>390401</v>
      </c>
    </row>
    <row r="1349" spans="1:10" x14ac:dyDescent="0.3">
      <c r="A1349" s="27" t="s">
        <v>1869</v>
      </c>
      <c r="B1349" s="27" t="str">
        <f>"39.05"</f>
        <v>39.05</v>
      </c>
      <c r="C1349" s="64" t="s">
        <v>4210</v>
      </c>
      <c r="D1349" s="27" t="s">
        <v>2229</v>
      </c>
      <c r="E1349" s="27" t="s">
        <v>2230</v>
      </c>
      <c r="F1349" s="27" t="str">
        <f>"39.05"</f>
        <v>39.05</v>
      </c>
      <c r="G1349" s="27" t="s">
        <v>4211</v>
      </c>
      <c r="H1349" s="65" t="str">
        <f t="shared" si="63"/>
        <v>No Change</v>
      </c>
      <c r="I1349" s="65" t="str">
        <f t="shared" si="64"/>
        <v/>
      </c>
      <c r="J1349" s="65" t="str">
        <f t="shared" si="65"/>
        <v/>
      </c>
    </row>
    <row r="1350" spans="1:10" x14ac:dyDescent="0.3">
      <c r="A1350" s="27" t="s">
        <v>4212</v>
      </c>
      <c r="B1350" s="27" t="str">
        <f>"39.0501"</f>
        <v>39.0501</v>
      </c>
      <c r="C1350" s="64" t="s">
        <v>4210</v>
      </c>
      <c r="D1350" s="27" t="s">
        <v>2229</v>
      </c>
      <c r="E1350" s="27" t="s">
        <v>2232</v>
      </c>
      <c r="F1350" s="27" t="str">
        <f>"39.0501"</f>
        <v>39.0501</v>
      </c>
      <c r="G1350" s="27" t="s">
        <v>4210</v>
      </c>
      <c r="H1350" s="65" t="str">
        <f t="shared" si="63"/>
        <v>No Change</v>
      </c>
      <c r="I1350" s="65" t="str">
        <f t="shared" si="64"/>
        <v>390501</v>
      </c>
      <c r="J1350" s="65" t="str">
        <f t="shared" si="65"/>
        <v>390501</v>
      </c>
    </row>
    <row r="1351" spans="1:10" x14ac:dyDescent="0.3">
      <c r="A1351" s="27" t="s">
        <v>1869</v>
      </c>
      <c r="D1351" s="27" t="s">
        <v>2255</v>
      </c>
      <c r="E1351" s="27" t="s">
        <v>2232</v>
      </c>
      <c r="F1351" s="27" t="str">
        <f>"39.0502"</f>
        <v>39.0502</v>
      </c>
      <c r="G1351" s="27" t="s">
        <v>4213</v>
      </c>
      <c r="H1351" s="65" t="str">
        <f t="shared" si="63"/>
        <v>Other</v>
      </c>
      <c r="I1351" s="65" t="str">
        <f t="shared" si="64"/>
        <v/>
      </c>
      <c r="J1351" s="65" t="str">
        <f t="shared" si="65"/>
        <v>390502</v>
      </c>
    </row>
    <row r="1352" spans="1:10" x14ac:dyDescent="0.3">
      <c r="A1352" s="27" t="s">
        <v>1869</v>
      </c>
      <c r="D1352" s="27" t="s">
        <v>2255</v>
      </c>
      <c r="E1352" s="27" t="s">
        <v>2232</v>
      </c>
      <c r="F1352" s="27" t="str">
        <f>"39.0599"</f>
        <v>39.0599</v>
      </c>
      <c r="G1352" s="27" t="s">
        <v>4214</v>
      </c>
      <c r="H1352" s="65" t="str">
        <f t="shared" si="63"/>
        <v>Other</v>
      </c>
      <c r="I1352" s="65" t="str">
        <f t="shared" si="64"/>
        <v/>
      </c>
      <c r="J1352" s="65" t="str">
        <f t="shared" si="65"/>
        <v>390599</v>
      </c>
    </row>
    <row r="1353" spans="1:10" x14ac:dyDescent="0.3">
      <c r="A1353" s="27" t="s">
        <v>1869</v>
      </c>
      <c r="B1353" s="27" t="str">
        <f>"39.06"</f>
        <v>39.06</v>
      </c>
      <c r="C1353" s="64" t="s">
        <v>4215</v>
      </c>
      <c r="D1353" s="27" t="s">
        <v>2229</v>
      </c>
      <c r="E1353" s="27" t="s">
        <v>2232</v>
      </c>
      <c r="F1353" s="27" t="str">
        <f>"39.06"</f>
        <v>39.06</v>
      </c>
      <c r="G1353" s="27" t="s">
        <v>4215</v>
      </c>
      <c r="H1353" s="65" t="str">
        <f t="shared" si="63"/>
        <v>No Change</v>
      </c>
      <c r="I1353" s="65" t="str">
        <f t="shared" si="64"/>
        <v/>
      </c>
      <c r="J1353" s="65" t="str">
        <f t="shared" si="65"/>
        <v/>
      </c>
    </row>
    <row r="1354" spans="1:10" x14ac:dyDescent="0.3">
      <c r="A1354" s="27" t="s">
        <v>4216</v>
      </c>
      <c r="B1354" s="27" t="str">
        <f>"39.0601"</f>
        <v>39.0601</v>
      </c>
      <c r="C1354" s="64" t="s">
        <v>4217</v>
      </c>
      <c r="D1354" s="27" t="s">
        <v>2229</v>
      </c>
      <c r="E1354" s="27" t="s">
        <v>2232</v>
      </c>
      <c r="F1354" s="27" t="str">
        <f>"39.0601"</f>
        <v>39.0601</v>
      </c>
      <c r="G1354" s="27" t="s">
        <v>4217</v>
      </c>
      <c r="H1354" s="65" t="str">
        <f t="shared" si="63"/>
        <v>No Change</v>
      </c>
      <c r="I1354" s="65" t="str">
        <f t="shared" si="64"/>
        <v>390601</v>
      </c>
      <c r="J1354" s="65" t="str">
        <f t="shared" si="65"/>
        <v>390601</v>
      </c>
    </row>
    <row r="1355" spans="1:10" x14ac:dyDescent="0.3">
      <c r="A1355" s="27" t="s">
        <v>4218</v>
      </c>
      <c r="B1355" s="27" t="str">
        <f>"39.0602"</f>
        <v>39.0602</v>
      </c>
      <c r="C1355" s="64" t="s">
        <v>4219</v>
      </c>
      <c r="D1355" s="27" t="s">
        <v>2229</v>
      </c>
      <c r="E1355" s="27" t="s">
        <v>2232</v>
      </c>
      <c r="F1355" s="27" t="str">
        <f>"39.0602"</f>
        <v>39.0602</v>
      </c>
      <c r="G1355" s="27" t="s">
        <v>4219</v>
      </c>
      <c r="H1355" s="65" t="str">
        <f t="shared" si="63"/>
        <v>No Change</v>
      </c>
      <c r="I1355" s="65" t="str">
        <f t="shared" si="64"/>
        <v>390602</v>
      </c>
      <c r="J1355" s="65" t="str">
        <f t="shared" si="65"/>
        <v>390602</v>
      </c>
    </row>
    <row r="1356" spans="1:10" x14ac:dyDescent="0.3">
      <c r="A1356" s="27" t="s">
        <v>4220</v>
      </c>
      <c r="B1356" s="27" t="str">
        <f>"39.0604"</f>
        <v>39.0604</v>
      </c>
      <c r="C1356" s="64" t="s">
        <v>4221</v>
      </c>
      <c r="D1356" s="27" t="s">
        <v>2229</v>
      </c>
      <c r="E1356" s="27" t="s">
        <v>2232</v>
      </c>
      <c r="F1356" s="27" t="str">
        <f>"39.0604"</f>
        <v>39.0604</v>
      </c>
      <c r="G1356" s="27" t="s">
        <v>4221</v>
      </c>
      <c r="H1356" s="65" t="str">
        <f t="shared" si="63"/>
        <v>No Change</v>
      </c>
      <c r="I1356" s="65" t="str">
        <f t="shared" si="64"/>
        <v>390604</v>
      </c>
      <c r="J1356" s="65" t="str">
        <f t="shared" si="65"/>
        <v>390604</v>
      </c>
    </row>
    <row r="1357" spans="1:10" x14ac:dyDescent="0.3">
      <c r="A1357" s="27" t="s">
        <v>4222</v>
      </c>
      <c r="B1357" s="27" t="str">
        <f>"39.0605"</f>
        <v>39.0605</v>
      </c>
      <c r="C1357" s="64" t="s">
        <v>4223</v>
      </c>
      <c r="D1357" s="27" t="s">
        <v>2229</v>
      </c>
      <c r="E1357" s="27" t="s">
        <v>2232</v>
      </c>
      <c r="F1357" s="27" t="str">
        <f>"39.0605"</f>
        <v>39.0605</v>
      </c>
      <c r="G1357" s="27" t="s">
        <v>4223</v>
      </c>
      <c r="H1357" s="65" t="str">
        <f t="shared" si="63"/>
        <v>No Change</v>
      </c>
      <c r="I1357" s="65" t="str">
        <f t="shared" si="64"/>
        <v>390605</v>
      </c>
      <c r="J1357" s="65" t="str">
        <f t="shared" si="65"/>
        <v>390605</v>
      </c>
    </row>
    <row r="1358" spans="1:10" x14ac:dyDescent="0.3">
      <c r="A1358" s="27" t="s">
        <v>4224</v>
      </c>
      <c r="B1358" s="27" t="str">
        <f>"39.0606"</f>
        <v>39.0606</v>
      </c>
      <c r="C1358" s="64" t="s">
        <v>4225</v>
      </c>
      <c r="D1358" s="27" t="s">
        <v>2274</v>
      </c>
      <c r="E1358" s="27" t="s">
        <v>2230</v>
      </c>
      <c r="F1358" s="27" t="str">
        <f>"38.0207"</f>
        <v>38.0207</v>
      </c>
      <c r="G1358" s="27" t="s">
        <v>4225</v>
      </c>
      <c r="H1358" s="65" t="str">
        <f t="shared" si="63"/>
        <v>Other</v>
      </c>
      <c r="I1358" s="65" t="str">
        <f t="shared" si="64"/>
        <v>390606</v>
      </c>
      <c r="J1358" s="65" t="str">
        <f t="shared" si="65"/>
        <v>380207</v>
      </c>
    </row>
    <row r="1359" spans="1:10" x14ac:dyDescent="0.3">
      <c r="A1359" s="27" t="s">
        <v>4226</v>
      </c>
      <c r="B1359" s="27" t="str">
        <f>"39.0699"</f>
        <v>39.0699</v>
      </c>
      <c r="C1359" s="64" t="s">
        <v>4227</v>
      </c>
      <c r="D1359" s="27" t="s">
        <v>2229</v>
      </c>
      <c r="E1359" s="27" t="s">
        <v>2232</v>
      </c>
      <c r="F1359" s="27" t="str">
        <f>"39.0699"</f>
        <v>39.0699</v>
      </c>
      <c r="G1359" s="27" t="s">
        <v>4227</v>
      </c>
      <c r="H1359" s="65" t="str">
        <f t="shared" si="63"/>
        <v>No Change</v>
      </c>
      <c r="I1359" s="65" t="str">
        <f t="shared" si="64"/>
        <v>390699</v>
      </c>
      <c r="J1359" s="65" t="str">
        <f t="shared" si="65"/>
        <v>390699</v>
      </c>
    </row>
    <row r="1360" spans="1:10" x14ac:dyDescent="0.3">
      <c r="A1360" s="27" t="s">
        <v>1869</v>
      </c>
      <c r="B1360" s="27" t="str">
        <f>"39.07"</f>
        <v>39.07</v>
      </c>
      <c r="C1360" s="64" t="s">
        <v>4228</v>
      </c>
      <c r="D1360" s="27" t="s">
        <v>2229</v>
      </c>
      <c r="E1360" s="27" t="s">
        <v>2232</v>
      </c>
      <c r="F1360" s="27" t="str">
        <f>"39.07"</f>
        <v>39.07</v>
      </c>
      <c r="G1360" s="27" t="s">
        <v>4228</v>
      </c>
      <c r="H1360" s="65" t="str">
        <f t="shared" si="63"/>
        <v>No Change</v>
      </c>
      <c r="I1360" s="65" t="str">
        <f t="shared" si="64"/>
        <v/>
      </c>
      <c r="J1360" s="65" t="str">
        <f t="shared" si="65"/>
        <v/>
      </c>
    </row>
    <row r="1361" spans="1:10" x14ac:dyDescent="0.3">
      <c r="A1361" s="27" t="s">
        <v>4229</v>
      </c>
      <c r="B1361" s="27" t="str">
        <f>"39.0701"</f>
        <v>39.0701</v>
      </c>
      <c r="C1361" s="64" t="s">
        <v>4230</v>
      </c>
      <c r="D1361" s="27" t="s">
        <v>2229</v>
      </c>
      <c r="E1361" s="27" t="s">
        <v>2232</v>
      </c>
      <c r="F1361" s="27" t="str">
        <f>"39.0701"</f>
        <v>39.0701</v>
      </c>
      <c r="G1361" s="27" t="s">
        <v>4230</v>
      </c>
      <c r="H1361" s="65" t="str">
        <f t="shared" si="63"/>
        <v>No Change</v>
      </c>
      <c r="I1361" s="65" t="str">
        <f t="shared" si="64"/>
        <v>390701</v>
      </c>
      <c r="J1361" s="65" t="str">
        <f t="shared" si="65"/>
        <v>390701</v>
      </c>
    </row>
    <row r="1362" spans="1:10" x14ac:dyDescent="0.3">
      <c r="A1362" s="27" t="s">
        <v>4231</v>
      </c>
      <c r="B1362" s="27" t="str">
        <f>"39.0702"</f>
        <v>39.0702</v>
      </c>
      <c r="C1362" s="64" t="s">
        <v>4232</v>
      </c>
      <c r="D1362" s="27" t="s">
        <v>2229</v>
      </c>
      <c r="E1362" s="27" t="s">
        <v>2232</v>
      </c>
      <c r="F1362" s="27" t="str">
        <f>"39.0702"</f>
        <v>39.0702</v>
      </c>
      <c r="G1362" s="27" t="s">
        <v>4232</v>
      </c>
      <c r="H1362" s="65" t="str">
        <f t="shared" si="63"/>
        <v>No Change</v>
      </c>
      <c r="I1362" s="65" t="str">
        <f t="shared" si="64"/>
        <v>390702</v>
      </c>
      <c r="J1362" s="65" t="str">
        <f t="shared" si="65"/>
        <v>390702</v>
      </c>
    </row>
    <row r="1363" spans="1:10" x14ac:dyDescent="0.3">
      <c r="A1363" s="27" t="s">
        <v>4233</v>
      </c>
      <c r="B1363" s="27" t="str">
        <f>"39.0703"</f>
        <v>39.0703</v>
      </c>
      <c r="C1363" s="64" t="s">
        <v>4234</v>
      </c>
      <c r="D1363" s="27" t="s">
        <v>2229</v>
      </c>
      <c r="E1363" s="27" t="s">
        <v>2232</v>
      </c>
      <c r="F1363" s="27" t="str">
        <f>"39.0703"</f>
        <v>39.0703</v>
      </c>
      <c r="G1363" s="27" t="s">
        <v>4234</v>
      </c>
      <c r="H1363" s="65" t="str">
        <f t="shared" si="63"/>
        <v>No Change</v>
      </c>
      <c r="I1363" s="65" t="str">
        <f t="shared" si="64"/>
        <v>390703</v>
      </c>
      <c r="J1363" s="65" t="str">
        <f t="shared" si="65"/>
        <v>390703</v>
      </c>
    </row>
    <row r="1364" spans="1:10" x14ac:dyDescent="0.3">
      <c r="A1364" s="27" t="s">
        <v>4235</v>
      </c>
      <c r="B1364" s="27" t="str">
        <f>"39.0704"</f>
        <v>39.0704</v>
      </c>
      <c r="C1364" s="64" t="s">
        <v>4236</v>
      </c>
      <c r="D1364" s="27" t="s">
        <v>2229</v>
      </c>
      <c r="E1364" s="27" t="s">
        <v>2232</v>
      </c>
      <c r="F1364" s="27" t="str">
        <f>"39.0704"</f>
        <v>39.0704</v>
      </c>
      <c r="G1364" s="27" t="s">
        <v>4236</v>
      </c>
      <c r="H1364" s="65" t="str">
        <f t="shared" si="63"/>
        <v>No Change</v>
      </c>
      <c r="I1364" s="65" t="str">
        <f t="shared" si="64"/>
        <v>390704</v>
      </c>
      <c r="J1364" s="65" t="str">
        <f t="shared" si="65"/>
        <v>390704</v>
      </c>
    </row>
    <row r="1365" spans="1:10" x14ac:dyDescent="0.3">
      <c r="A1365" s="27" t="s">
        <v>4237</v>
      </c>
      <c r="B1365" s="27" t="str">
        <f>"39.0705"</f>
        <v>39.0705</v>
      </c>
      <c r="C1365" s="64" t="s">
        <v>4238</v>
      </c>
      <c r="D1365" s="27" t="s">
        <v>2229</v>
      </c>
      <c r="E1365" s="27" t="s">
        <v>2232</v>
      </c>
      <c r="F1365" s="27" t="str">
        <f>"39.0705"</f>
        <v>39.0705</v>
      </c>
      <c r="G1365" s="27" t="s">
        <v>4238</v>
      </c>
      <c r="H1365" s="65" t="str">
        <f t="shared" si="63"/>
        <v>No Change</v>
      </c>
      <c r="I1365" s="65" t="str">
        <f t="shared" si="64"/>
        <v>390705</v>
      </c>
      <c r="J1365" s="65" t="str">
        <f t="shared" si="65"/>
        <v>390705</v>
      </c>
    </row>
    <row r="1366" spans="1:10" x14ac:dyDescent="0.3">
      <c r="A1366" s="27" t="s">
        <v>1869</v>
      </c>
      <c r="D1366" s="27" t="s">
        <v>2255</v>
      </c>
      <c r="E1366" s="27" t="s">
        <v>2232</v>
      </c>
      <c r="F1366" s="27" t="str">
        <f>"39.0706"</f>
        <v>39.0706</v>
      </c>
      <c r="G1366" s="27" t="s">
        <v>4239</v>
      </c>
      <c r="H1366" s="65" t="str">
        <f t="shared" si="63"/>
        <v>Other</v>
      </c>
      <c r="I1366" s="65" t="str">
        <f t="shared" si="64"/>
        <v/>
      </c>
      <c r="J1366" s="65" t="str">
        <f t="shared" si="65"/>
        <v>390706</v>
      </c>
    </row>
    <row r="1367" spans="1:10" x14ac:dyDescent="0.3">
      <c r="A1367" s="27" t="s">
        <v>4240</v>
      </c>
      <c r="B1367" s="27" t="str">
        <f>"39.0799"</f>
        <v>39.0799</v>
      </c>
      <c r="C1367" s="64" t="s">
        <v>4241</v>
      </c>
      <c r="D1367" s="27" t="s">
        <v>2229</v>
      </c>
      <c r="E1367" s="27" t="s">
        <v>2232</v>
      </c>
      <c r="F1367" s="27" t="str">
        <f>"39.0799"</f>
        <v>39.0799</v>
      </c>
      <c r="G1367" s="27" t="s">
        <v>4241</v>
      </c>
      <c r="H1367" s="65" t="str">
        <f t="shared" si="63"/>
        <v>No Change</v>
      </c>
      <c r="I1367" s="65" t="str">
        <f t="shared" si="64"/>
        <v>390799</v>
      </c>
      <c r="J1367" s="65" t="str">
        <f t="shared" si="65"/>
        <v>390799</v>
      </c>
    </row>
    <row r="1368" spans="1:10" x14ac:dyDescent="0.3">
      <c r="A1368" s="27" t="s">
        <v>1869</v>
      </c>
      <c r="D1368" s="27" t="s">
        <v>2255</v>
      </c>
      <c r="E1368" s="27" t="s">
        <v>2232</v>
      </c>
      <c r="F1368" s="27" t="str">
        <f>"39.08"</f>
        <v>39.08</v>
      </c>
      <c r="G1368" s="27" t="s">
        <v>4242</v>
      </c>
      <c r="H1368" s="65" t="str">
        <f t="shared" si="63"/>
        <v>No Change</v>
      </c>
      <c r="I1368" s="65" t="str">
        <f t="shared" si="64"/>
        <v/>
      </c>
      <c r="J1368" s="65" t="str">
        <f t="shared" si="65"/>
        <v/>
      </c>
    </row>
    <row r="1369" spans="1:10" x14ac:dyDescent="0.3">
      <c r="A1369" s="27" t="s">
        <v>1869</v>
      </c>
      <c r="D1369" s="27" t="s">
        <v>2255</v>
      </c>
      <c r="E1369" s="27" t="s">
        <v>2232</v>
      </c>
      <c r="F1369" s="27" t="str">
        <f>"39.0801"</f>
        <v>39.0801</v>
      </c>
      <c r="G1369" s="27" t="s">
        <v>4243</v>
      </c>
      <c r="H1369" s="65" t="str">
        <f t="shared" si="63"/>
        <v>Other</v>
      </c>
      <c r="I1369" s="65" t="str">
        <f t="shared" si="64"/>
        <v/>
      </c>
      <c r="J1369" s="65" t="str">
        <f t="shared" si="65"/>
        <v>390801</v>
      </c>
    </row>
    <row r="1370" spans="1:10" x14ac:dyDescent="0.3">
      <c r="A1370" s="27" t="s">
        <v>1869</v>
      </c>
      <c r="D1370" s="27" t="s">
        <v>2255</v>
      </c>
      <c r="E1370" s="27" t="s">
        <v>2232</v>
      </c>
      <c r="F1370" s="27" t="str">
        <f>"39.0802"</f>
        <v>39.0802</v>
      </c>
      <c r="G1370" s="27" t="s">
        <v>4244</v>
      </c>
      <c r="H1370" s="65" t="str">
        <f t="shared" si="63"/>
        <v>Other</v>
      </c>
      <c r="I1370" s="65" t="str">
        <f t="shared" si="64"/>
        <v/>
      </c>
      <c r="J1370" s="65" t="str">
        <f t="shared" si="65"/>
        <v>390802</v>
      </c>
    </row>
    <row r="1371" spans="1:10" x14ac:dyDescent="0.3">
      <c r="A1371" s="27" t="s">
        <v>1869</v>
      </c>
      <c r="D1371" s="27" t="s">
        <v>2255</v>
      </c>
      <c r="E1371" s="27" t="s">
        <v>2232</v>
      </c>
      <c r="F1371" s="27" t="str">
        <f>"39.0899"</f>
        <v>39.0899</v>
      </c>
      <c r="G1371" s="27" t="s">
        <v>4245</v>
      </c>
      <c r="H1371" s="65" t="str">
        <f t="shared" si="63"/>
        <v>Other</v>
      </c>
      <c r="I1371" s="65" t="str">
        <f t="shared" si="64"/>
        <v/>
      </c>
      <c r="J1371" s="65" t="str">
        <f t="shared" si="65"/>
        <v>390899</v>
      </c>
    </row>
    <row r="1372" spans="1:10" x14ac:dyDescent="0.3">
      <c r="A1372" s="27" t="s">
        <v>1869</v>
      </c>
      <c r="B1372" s="27" t="str">
        <f>"39.99"</f>
        <v>39.99</v>
      </c>
      <c r="C1372" s="64" t="s">
        <v>4246</v>
      </c>
      <c r="D1372" s="27" t="s">
        <v>2229</v>
      </c>
      <c r="E1372" s="27" t="s">
        <v>2232</v>
      </c>
      <c r="F1372" s="27" t="str">
        <f>"39.99"</f>
        <v>39.99</v>
      </c>
      <c r="G1372" s="27" t="s">
        <v>4246</v>
      </c>
      <c r="H1372" s="65" t="str">
        <f t="shared" si="63"/>
        <v>No Change</v>
      </c>
      <c r="I1372" s="65" t="str">
        <f t="shared" si="64"/>
        <v/>
      </c>
      <c r="J1372" s="65" t="str">
        <f t="shared" si="65"/>
        <v/>
      </c>
    </row>
    <row r="1373" spans="1:10" x14ac:dyDescent="0.3">
      <c r="A1373" s="27" t="s">
        <v>4247</v>
      </c>
      <c r="B1373" s="27" t="str">
        <f>"39.9999"</f>
        <v>39.9999</v>
      </c>
      <c r="C1373" s="64" t="s">
        <v>4246</v>
      </c>
      <c r="D1373" s="27" t="s">
        <v>2229</v>
      </c>
      <c r="E1373" s="27" t="s">
        <v>2232</v>
      </c>
      <c r="F1373" s="27" t="str">
        <f>"39.9999"</f>
        <v>39.9999</v>
      </c>
      <c r="G1373" s="27" t="s">
        <v>4246</v>
      </c>
      <c r="H1373" s="65" t="str">
        <f t="shared" si="63"/>
        <v>No Change</v>
      </c>
      <c r="I1373" s="65" t="str">
        <f t="shared" si="64"/>
        <v>399999</v>
      </c>
      <c r="J1373" s="65" t="str">
        <f t="shared" si="65"/>
        <v>399999</v>
      </c>
    </row>
    <row r="1374" spans="1:10" x14ac:dyDescent="0.3">
      <c r="A1374" s="27" t="s">
        <v>1869</v>
      </c>
      <c r="B1374" s="27" t="str">
        <f>"40"</f>
        <v>40</v>
      </c>
      <c r="C1374" s="64" t="s">
        <v>4248</v>
      </c>
      <c r="D1374" s="27" t="s">
        <v>2229</v>
      </c>
      <c r="E1374" s="27" t="s">
        <v>2232</v>
      </c>
      <c r="F1374" s="27" t="str">
        <f>"40"</f>
        <v>40</v>
      </c>
      <c r="G1374" s="27" t="s">
        <v>4248</v>
      </c>
      <c r="H1374" s="65" t="str">
        <f t="shared" si="63"/>
        <v>No Change</v>
      </c>
      <c r="I1374" s="65" t="str">
        <f t="shared" si="64"/>
        <v/>
      </c>
      <c r="J1374" s="65" t="str">
        <f t="shared" si="65"/>
        <v/>
      </c>
    </row>
    <row r="1375" spans="1:10" x14ac:dyDescent="0.3">
      <c r="A1375" s="27" t="s">
        <v>1869</v>
      </c>
      <c r="B1375" s="27" t="str">
        <f>"40.01"</f>
        <v>40.01</v>
      </c>
      <c r="C1375" s="64" t="s">
        <v>4249</v>
      </c>
      <c r="D1375" s="27" t="s">
        <v>2229</v>
      </c>
      <c r="E1375" s="27" t="s">
        <v>2230</v>
      </c>
      <c r="F1375" s="27" t="str">
        <f>"40.01"</f>
        <v>40.01</v>
      </c>
      <c r="G1375" s="27" t="s">
        <v>4250</v>
      </c>
      <c r="H1375" s="65" t="str">
        <f t="shared" si="63"/>
        <v>No Change</v>
      </c>
      <c r="I1375" s="65" t="str">
        <f t="shared" si="64"/>
        <v/>
      </c>
      <c r="J1375" s="65" t="str">
        <f t="shared" si="65"/>
        <v/>
      </c>
    </row>
    <row r="1376" spans="1:10" x14ac:dyDescent="0.3">
      <c r="A1376" s="27" t="s">
        <v>4251</v>
      </c>
      <c r="B1376" s="27" t="str">
        <f>"40.0101"</f>
        <v>40.0101</v>
      </c>
      <c r="C1376" s="64" t="s">
        <v>4249</v>
      </c>
      <c r="D1376" s="27" t="s">
        <v>2229</v>
      </c>
      <c r="E1376" s="27" t="s">
        <v>2230</v>
      </c>
      <c r="F1376" s="27" t="str">
        <f>"40.0101"</f>
        <v>40.0101</v>
      </c>
      <c r="G1376" s="27" t="s">
        <v>4250</v>
      </c>
      <c r="H1376" s="65" t="str">
        <f t="shared" si="63"/>
        <v>No Change</v>
      </c>
      <c r="I1376" s="65" t="str">
        <f t="shared" si="64"/>
        <v>400101</v>
      </c>
      <c r="J1376" s="65" t="str">
        <f t="shared" si="65"/>
        <v>400101</v>
      </c>
    </row>
    <row r="1377" spans="1:10" x14ac:dyDescent="0.3">
      <c r="A1377" s="27" t="s">
        <v>1869</v>
      </c>
      <c r="B1377" s="27" t="str">
        <f>"40.02"</f>
        <v>40.02</v>
      </c>
      <c r="C1377" s="64" t="s">
        <v>4252</v>
      </c>
      <c r="D1377" s="27" t="s">
        <v>2229</v>
      </c>
      <c r="E1377" s="27" t="s">
        <v>2232</v>
      </c>
      <c r="F1377" s="27" t="str">
        <f>"40.02"</f>
        <v>40.02</v>
      </c>
      <c r="G1377" s="27" t="s">
        <v>4252</v>
      </c>
      <c r="H1377" s="65" t="str">
        <f t="shared" si="63"/>
        <v>No Change</v>
      </c>
      <c r="I1377" s="65" t="str">
        <f t="shared" si="64"/>
        <v/>
      </c>
      <c r="J1377" s="65" t="str">
        <f t="shared" si="65"/>
        <v/>
      </c>
    </row>
    <row r="1378" spans="1:10" x14ac:dyDescent="0.3">
      <c r="A1378" s="27" t="s">
        <v>4253</v>
      </c>
      <c r="B1378" s="27" t="str">
        <f>"40.0201"</f>
        <v>40.0201</v>
      </c>
      <c r="C1378" s="64" t="s">
        <v>4254</v>
      </c>
      <c r="D1378" s="27" t="s">
        <v>2229</v>
      </c>
      <c r="E1378" s="27" t="s">
        <v>2232</v>
      </c>
      <c r="F1378" s="27" t="str">
        <f>"40.0201"</f>
        <v>40.0201</v>
      </c>
      <c r="G1378" s="27" t="s">
        <v>4254</v>
      </c>
      <c r="H1378" s="65" t="str">
        <f t="shared" si="63"/>
        <v>No Change</v>
      </c>
      <c r="I1378" s="65" t="str">
        <f t="shared" si="64"/>
        <v>400201</v>
      </c>
      <c r="J1378" s="65" t="str">
        <f t="shared" si="65"/>
        <v>400201</v>
      </c>
    </row>
    <row r="1379" spans="1:10" x14ac:dyDescent="0.3">
      <c r="A1379" s="27" t="s">
        <v>4255</v>
      </c>
      <c r="B1379" s="27" t="str">
        <f>"40.0202"</f>
        <v>40.0202</v>
      </c>
      <c r="C1379" s="64" t="s">
        <v>4256</v>
      </c>
      <c r="D1379" s="27" t="s">
        <v>2229</v>
      </c>
      <c r="E1379" s="27" t="s">
        <v>2232</v>
      </c>
      <c r="F1379" s="27" t="str">
        <f>"40.0202"</f>
        <v>40.0202</v>
      </c>
      <c r="G1379" s="27" t="s">
        <v>4256</v>
      </c>
      <c r="H1379" s="65" t="str">
        <f t="shared" si="63"/>
        <v>No Change</v>
      </c>
      <c r="I1379" s="65" t="str">
        <f t="shared" si="64"/>
        <v>400202</v>
      </c>
      <c r="J1379" s="65" t="str">
        <f t="shared" si="65"/>
        <v>400202</v>
      </c>
    </row>
    <row r="1380" spans="1:10" x14ac:dyDescent="0.3">
      <c r="A1380" s="27" t="s">
        <v>4257</v>
      </c>
      <c r="B1380" s="27" t="str">
        <f>"40.0203"</f>
        <v>40.0203</v>
      </c>
      <c r="C1380" s="64" t="s">
        <v>4258</v>
      </c>
      <c r="D1380" s="27" t="s">
        <v>2229</v>
      </c>
      <c r="E1380" s="27" t="s">
        <v>2232</v>
      </c>
      <c r="F1380" s="27" t="str">
        <f>"40.0203"</f>
        <v>40.0203</v>
      </c>
      <c r="G1380" s="27" t="s">
        <v>4258</v>
      </c>
      <c r="H1380" s="65" t="str">
        <f t="shared" si="63"/>
        <v>No Change</v>
      </c>
      <c r="I1380" s="65" t="str">
        <f t="shared" si="64"/>
        <v>400203</v>
      </c>
      <c r="J1380" s="65" t="str">
        <f t="shared" si="65"/>
        <v>400203</v>
      </c>
    </row>
    <row r="1381" spans="1:10" x14ac:dyDescent="0.3">
      <c r="A1381" s="27" t="s">
        <v>4259</v>
      </c>
      <c r="B1381" s="27" t="str">
        <f>"40.0299"</f>
        <v>40.0299</v>
      </c>
      <c r="C1381" s="64" t="s">
        <v>4260</v>
      </c>
      <c r="D1381" s="27" t="s">
        <v>2229</v>
      </c>
      <c r="E1381" s="27" t="s">
        <v>2232</v>
      </c>
      <c r="F1381" s="27" t="str">
        <f>"40.0299"</f>
        <v>40.0299</v>
      </c>
      <c r="G1381" s="27" t="s">
        <v>4260</v>
      </c>
      <c r="H1381" s="65" t="str">
        <f t="shared" si="63"/>
        <v>No Change</v>
      </c>
      <c r="I1381" s="65" t="str">
        <f t="shared" si="64"/>
        <v>400299</v>
      </c>
      <c r="J1381" s="65" t="str">
        <f t="shared" si="65"/>
        <v>400299</v>
      </c>
    </row>
    <row r="1382" spans="1:10" x14ac:dyDescent="0.3">
      <c r="A1382" s="27" t="s">
        <v>1869</v>
      </c>
      <c r="B1382" s="27" t="str">
        <f>"40.04"</f>
        <v>40.04</v>
      </c>
      <c r="C1382" s="64" t="s">
        <v>4261</v>
      </c>
      <c r="D1382" s="27" t="s">
        <v>2229</v>
      </c>
      <c r="E1382" s="27" t="s">
        <v>2232</v>
      </c>
      <c r="F1382" s="27" t="str">
        <f>"40.04"</f>
        <v>40.04</v>
      </c>
      <c r="G1382" s="27" t="s">
        <v>4261</v>
      </c>
      <c r="H1382" s="65" t="str">
        <f t="shared" si="63"/>
        <v>No Change</v>
      </c>
      <c r="I1382" s="65" t="str">
        <f t="shared" si="64"/>
        <v/>
      </c>
      <c r="J1382" s="65" t="str">
        <f t="shared" si="65"/>
        <v/>
      </c>
    </row>
    <row r="1383" spans="1:10" x14ac:dyDescent="0.3">
      <c r="A1383" s="27" t="s">
        <v>4262</v>
      </c>
      <c r="B1383" s="27" t="str">
        <f>"40.0401"</f>
        <v>40.0401</v>
      </c>
      <c r="C1383" s="64" t="s">
        <v>4263</v>
      </c>
      <c r="D1383" s="27" t="s">
        <v>2229</v>
      </c>
      <c r="E1383" s="27" t="s">
        <v>2232</v>
      </c>
      <c r="F1383" s="27" t="str">
        <f>"40.0401"</f>
        <v>40.0401</v>
      </c>
      <c r="G1383" s="27" t="s">
        <v>4263</v>
      </c>
      <c r="H1383" s="65" t="str">
        <f t="shared" si="63"/>
        <v>No Change</v>
      </c>
      <c r="I1383" s="65" t="str">
        <f t="shared" si="64"/>
        <v>400401</v>
      </c>
      <c r="J1383" s="65" t="str">
        <f t="shared" si="65"/>
        <v>400401</v>
      </c>
    </row>
    <row r="1384" spans="1:10" x14ac:dyDescent="0.3">
      <c r="A1384" s="27" t="s">
        <v>4264</v>
      </c>
      <c r="B1384" s="27" t="str">
        <f>"40.0402"</f>
        <v>40.0402</v>
      </c>
      <c r="C1384" s="64" t="s">
        <v>4265</v>
      </c>
      <c r="D1384" s="27" t="s">
        <v>2229</v>
      </c>
      <c r="E1384" s="27" t="s">
        <v>2232</v>
      </c>
      <c r="F1384" s="27" t="str">
        <f>"40.0402"</f>
        <v>40.0402</v>
      </c>
      <c r="G1384" s="27" t="s">
        <v>4265</v>
      </c>
      <c r="H1384" s="65" t="str">
        <f t="shared" si="63"/>
        <v>No Change</v>
      </c>
      <c r="I1384" s="65" t="str">
        <f t="shared" si="64"/>
        <v>400402</v>
      </c>
      <c r="J1384" s="65" t="str">
        <f t="shared" si="65"/>
        <v>400402</v>
      </c>
    </row>
    <row r="1385" spans="1:10" x14ac:dyDescent="0.3">
      <c r="A1385" s="27" t="s">
        <v>4266</v>
      </c>
      <c r="B1385" s="27" t="str">
        <f>"40.0403"</f>
        <v>40.0403</v>
      </c>
      <c r="C1385" s="64" t="s">
        <v>4267</v>
      </c>
      <c r="D1385" s="27" t="s">
        <v>2229</v>
      </c>
      <c r="E1385" s="27" t="s">
        <v>2232</v>
      </c>
      <c r="F1385" s="27" t="str">
        <f>"40.0403"</f>
        <v>40.0403</v>
      </c>
      <c r="G1385" s="27" t="s">
        <v>4267</v>
      </c>
      <c r="H1385" s="65" t="str">
        <f t="shared" si="63"/>
        <v>No Change</v>
      </c>
      <c r="I1385" s="65" t="str">
        <f t="shared" si="64"/>
        <v>400403</v>
      </c>
      <c r="J1385" s="65" t="str">
        <f t="shared" si="65"/>
        <v>400403</v>
      </c>
    </row>
    <row r="1386" spans="1:10" x14ac:dyDescent="0.3">
      <c r="A1386" s="27" t="s">
        <v>4268</v>
      </c>
      <c r="B1386" s="27" t="str">
        <f>"40.0404"</f>
        <v>40.0404</v>
      </c>
      <c r="C1386" s="64" t="s">
        <v>4269</v>
      </c>
      <c r="D1386" s="27" t="s">
        <v>2229</v>
      </c>
      <c r="E1386" s="27" t="s">
        <v>2232</v>
      </c>
      <c r="F1386" s="27" t="str">
        <f>"40.0404"</f>
        <v>40.0404</v>
      </c>
      <c r="G1386" s="27" t="s">
        <v>4269</v>
      </c>
      <c r="H1386" s="65" t="str">
        <f t="shared" si="63"/>
        <v>No Change</v>
      </c>
      <c r="I1386" s="65" t="str">
        <f t="shared" si="64"/>
        <v>400404</v>
      </c>
      <c r="J1386" s="65" t="str">
        <f t="shared" si="65"/>
        <v>400404</v>
      </c>
    </row>
    <row r="1387" spans="1:10" x14ac:dyDescent="0.3">
      <c r="A1387" s="27" t="s">
        <v>4270</v>
      </c>
      <c r="B1387" s="27" t="str">
        <f>"40.0499"</f>
        <v>40.0499</v>
      </c>
      <c r="C1387" s="64" t="s">
        <v>4271</v>
      </c>
      <c r="D1387" s="27" t="s">
        <v>2229</v>
      </c>
      <c r="E1387" s="27" t="s">
        <v>2232</v>
      </c>
      <c r="F1387" s="27" t="str">
        <f>"40.0499"</f>
        <v>40.0499</v>
      </c>
      <c r="G1387" s="27" t="s">
        <v>4271</v>
      </c>
      <c r="H1387" s="65" t="str">
        <f t="shared" si="63"/>
        <v>No Change</v>
      </c>
      <c r="I1387" s="65" t="str">
        <f t="shared" si="64"/>
        <v>400499</v>
      </c>
      <c r="J1387" s="65" t="str">
        <f t="shared" si="65"/>
        <v>400499</v>
      </c>
    </row>
    <row r="1388" spans="1:10" x14ac:dyDescent="0.3">
      <c r="A1388" s="27" t="s">
        <v>1869</v>
      </c>
      <c r="B1388" s="27" t="str">
        <f>"40.05"</f>
        <v>40.05</v>
      </c>
      <c r="C1388" s="64" t="s">
        <v>4272</v>
      </c>
      <c r="D1388" s="27" t="s">
        <v>2229</v>
      </c>
      <c r="E1388" s="27" t="s">
        <v>2232</v>
      </c>
      <c r="F1388" s="27" t="str">
        <f>"40.05"</f>
        <v>40.05</v>
      </c>
      <c r="G1388" s="27" t="s">
        <v>4272</v>
      </c>
      <c r="H1388" s="65" t="str">
        <f t="shared" si="63"/>
        <v>No Change</v>
      </c>
      <c r="I1388" s="65" t="str">
        <f t="shared" si="64"/>
        <v/>
      </c>
      <c r="J1388" s="65" t="str">
        <f t="shared" si="65"/>
        <v/>
      </c>
    </row>
    <row r="1389" spans="1:10" x14ac:dyDescent="0.3">
      <c r="A1389" s="27" t="s">
        <v>4273</v>
      </c>
      <c r="B1389" s="27" t="str">
        <f>"40.0501"</f>
        <v>40.0501</v>
      </c>
      <c r="C1389" s="64" t="s">
        <v>4274</v>
      </c>
      <c r="D1389" s="27" t="s">
        <v>2229</v>
      </c>
      <c r="E1389" s="27" t="s">
        <v>2232</v>
      </c>
      <c r="F1389" s="27" t="str">
        <f>"40.0501"</f>
        <v>40.0501</v>
      </c>
      <c r="G1389" s="27" t="s">
        <v>4274</v>
      </c>
      <c r="H1389" s="65" t="str">
        <f t="shared" si="63"/>
        <v>No Change</v>
      </c>
      <c r="I1389" s="65" t="str">
        <f t="shared" si="64"/>
        <v>400501</v>
      </c>
      <c r="J1389" s="65" t="str">
        <f t="shared" si="65"/>
        <v>400501</v>
      </c>
    </row>
    <row r="1390" spans="1:10" x14ac:dyDescent="0.3">
      <c r="A1390" s="27" t="s">
        <v>4275</v>
      </c>
      <c r="B1390" s="27" t="str">
        <f>"40.0502"</f>
        <v>40.0502</v>
      </c>
      <c r="C1390" s="64" t="s">
        <v>4276</v>
      </c>
      <c r="D1390" s="27" t="s">
        <v>2229</v>
      </c>
      <c r="E1390" s="27" t="s">
        <v>2232</v>
      </c>
      <c r="F1390" s="27" t="str">
        <f>"40.0502"</f>
        <v>40.0502</v>
      </c>
      <c r="G1390" s="27" t="s">
        <v>4276</v>
      </c>
      <c r="H1390" s="65" t="str">
        <f t="shared" si="63"/>
        <v>No Change</v>
      </c>
      <c r="I1390" s="65" t="str">
        <f t="shared" si="64"/>
        <v>400502</v>
      </c>
      <c r="J1390" s="65" t="str">
        <f t="shared" si="65"/>
        <v>400502</v>
      </c>
    </row>
    <row r="1391" spans="1:10" x14ac:dyDescent="0.3">
      <c r="A1391" s="27" t="s">
        <v>4277</v>
      </c>
      <c r="B1391" s="27" t="str">
        <f>"40.0503"</f>
        <v>40.0503</v>
      </c>
      <c r="C1391" s="64" t="s">
        <v>4278</v>
      </c>
      <c r="D1391" s="27" t="s">
        <v>2229</v>
      </c>
      <c r="E1391" s="27" t="s">
        <v>2232</v>
      </c>
      <c r="F1391" s="27" t="str">
        <f>"40.0503"</f>
        <v>40.0503</v>
      </c>
      <c r="G1391" s="27" t="s">
        <v>4278</v>
      </c>
      <c r="H1391" s="65" t="str">
        <f t="shared" si="63"/>
        <v>No Change</v>
      </c>
      <c r="I1391" s="65" t="str">
        <f t="shared" si="64"/>
        <v>400503</v>
      </c>
      <c r="J1391" s="65" t="str">
        <f t="shared" si="65"/>
        <v>400503</v>
      </c>
    </row>
    <row r="1392" spans="1:10" x14ac:dyDescent="0.3">
      <c r="A1392" s="27" t="s">
        <v>4279</v>
      </c>
      <c r="B1392" s="27" t="str">
        <f>"40.0504"</f>
        <v>40.0504</v>
      </c>
      <c r="C1392" s="64" t="s">
        <v>4280</v>
      </c>
      <c r="D1392" s="27" t="s">
        <v>2229</v>
      </c>
      <c r="E1392" s="27" t="s">
        <v>2232</v>
      </c>
      <c r="F1392" s="27" t="str">
        <f>"40.0504"</f>
        <v>40.0504</v>
      </c>
      <c r="G1392" s="27" t="s">
        <v>4280</v>
      </c>
      <c r="H1392" s="65" t="str">
        <f t="shared" si="63"/>
        <v>No Change</v>
      </c>
      <c r="I1392" s="65" t="str">
        <f t="shared" si="64"/>
        <v>400504</v>
      </c>
      <c r="J1392" s="65" t="str">
        <f t="shared" si="65"/>
        <v>400504</v>
      </c>
    </row>
    <row r="1393" spans="1:10" x14ac:dyDescent="0.3">
      <c r="A1393" s="27" t="s">
        <v>4281</v>
      </c>
      <c r="B1393" s="27" t="str">
        <f>"40.0506"</f>
        <v>40.0506</v>
      </c>
      <c r="C1393" s="64" t="s">
        <v>4282</v>
      </c>
      <c r="D1393" s="27" t="s">
        <v>2229</v>
      </c>
      <c r="E1393" s="27" t="s">
        <v>2232</v>
      </c>
      <c r="F1393" s="27" t="str">
        <f>"40.0506"</f>
        <v>40.0506</v>
      </c>
      <c r="G1393" s="27" t="s">
        <v>4282</v>
      </c>
      <c r="H1393" s="65" t="str">
        <f t="shared" si="63"/>
        <v>No Change</v>
      </c>
      <c r="I1393" s="65" t="str">
        <f t="shared" si="64"/>
        <v>400506</v>
      </c>
      <c r="J1393" s="65" t="str">
        <f t="shared" si="65"/>
        <v>400506</v>
      </c>
    </row>
    <row r="1394" spans="1:10" x14ac:dyDescent="0.3">
      <c r="A1394" s="27" t="s">
        <v>4283</v>
      </c>
      <c r="B1394" s="27" t="str">
        <f>"40.0507"</f>
        <v>40.0507</v>
      </c>
      <c r="C1394" s="64" t="s">
        <v>4284</v>
      </c>
      <c r="D1394" s="27" t="s">
        <v>2229</v>
      </c>
      <c r="E1394" s="27" t="s">
        <v>2232</v>
      </c>
      <c r="F1394" s="27" t="str">
        <f>"40.0507"</f>
        <v>40.0507</v>
      </c>
      <c r="G1394" s="27" t="s">
        <v>4284</v>
      </c>
      <c r="H1394" s="65" t="str">
        <f t="shared" si="63"/>
        <v>No Change</v>
      </c>
      <c r="I1394" s="65" t="str">
        <f t="shared" si="64"/>
        <v>400507</v>
      </c>
      <c r="J1394" s="65" t="str">
        <f t="shared" si="65"/>
        <v>400507</v>
      </c>
    </row>
    <row r="1395" spans="1:10" x14ac:dyDescent="0.3">
      <c r="A1395" s="27" t="s">
        <v>4285</v>
      </c>
      <c r="B1395" s="27" t="str">
        <f>"40.0508"</f>
        <v>40.0508</v>
      </c>
      <c r="C1395" s="64" t="s">
        <v>4286</v>
      </c>
      <c r="D1395" s="27" t="s">
        <v>2229</v>
      </c>
      <c r="E1395" s="27" t="s">
        <v>2232</v>
      </c>
      <c r="F1395" s="27" t="str">
        <f>"40.0508"</f>
        <v>40.0508</v>
      </c>
      <c r="G1395" s="27" t="s">
        <v>4286</v>
      </c>
      <c r="H1395" s="65" t="str">
        <f t="shared" si="63"/>
        <v>No Change</v>
      </c>
      <c r="I1395" s="65" t="str">
        <f t="shared" si="64"/>
        <v>400508</v>
      </c>
      <c r="J1395" s="65" t="str">
        <f t="shared" si="65"/>
        <v>400508</v>
      </c>
    </row>
    <row r="1396" spans="1:10" x14ac:dyDescent="0.3">
      <c r="A1396" s="27" t="s">
        <v>4287</v>
      </c>
      <c r="B1396" s="27" t="str">
        <f>"40.0509"</f>
        <v>40.0509</v>
      </c>
      <c r="C1396" s="64" t="s">
        <v>4288</v>
      </c>
      <c r="D1396" s="27" t="s">
        <v>2229</v>
      </c>
      <c r="E1396" s="27" t="s">
        <v>2232</v>
      </c>
      <c r="F1396" s="27" t="str">
        <f>"40.0509"</f>
        <v>40.0509</v>
      </c>
      <c r="G1396" s="27" t="s">
        <v>4288</v>
      </c>
      <c r="H1396" s="65" t="str">
        <f t="shared" si="63"/>
        <v>No Change</v>
      </c>
      <c r="I1396" s="65" t="str">
        <f t="shared" si="64"/>
        <v>400509</v>
      </c>
      <c r="J1396" s="65" t="str">
        <f t="shared" si="65"/>
        <v>400509</v>
      </c>
    </row>
    <row r="1397" spans="1:10" x14ac:dyDescent="0.3">
      <c r="A1397" s="27" t="s">
        <v>4289</v>
      </c>
      <c r="B1397" s="27" t="str">
        <f>"40.0510"</f>
        <v>40.0510</v>
      </c>
      <c r="C1397" s="64" t="s">
        <v>4290</v>
      </c>
      <c r="D1397" s="27" t="s">
        <v>2229</v>
      </c>
      <c r="E1397" s="27" t="s">
        <v>2232</v>
      </c>
      <c r="F1397" s="27" t="str">
        <f>"40.0510"</f>
        <v>40.0510</v>
      </c>
      <c r="G1397" s="27" t="s">
        <v>4290</v>
      </c>
      <c r="H1397" s="65" t="str">
        <f t="shared" si="63"/>
        <v>No Change</v>
      </c>
      <c r="I1397" s="65" t="str">
        <f t="shared" si="64"/>
        <v>400510</v>
      </c>
      <c r="J1397" s="65" t="str">
        <f t="shared" si="65"/>
        <v>400510</v>
      </c>
    </row>
    <row r="1398" spans="1:10" x14ac:dyDescent="0.3">
      <c r="A1398" s="27" t="s">
        <v>4291</v>
      </c>
      <c r="B1398" s="27" t="str">
        <f>"40.0511"</f>
        <v>40.0511</v>
      </c>
      <c r="C1398" s="64" t="s">
        <v>4292</v>
      </c>
      <c r="D1398" s="27" t="s">
        <v>2229</v>
      </c>
      <c r="E1398" s="27" t="s">
        <v>2232</v>
      </c>
      <c r="F1398" s="27" t="str">
        <f>"40.0511"</f>
        <v>40.0511</v>
      </c>
      <c r="G1398" s="27" t="s">
        <v>4292</v>
      </c>
      <c r="H1398" s="65" t="str">
        <f t="shared" si="63"/>
        <v>No Change</v>
      </c>
      <c r="I1398" s="65" t="str">
        <f t="shared" si="64"/>
        <v>400511</v>
      </c>
      <c r="J1398" s="65" t="str">
        <f t="shared" si="65"/>
        <v>400511</v>
      </c>
    </row>
    <row r="1399" spans="1:10" x14ac:dyDescent="0.3">
      <c r="A1399" s="27" t="s">
        <v>1869</v>
      </c>
      <c r="D1399" s="27" t="s">
        <v>2255</v>
      </c>
      <c r="E1399" s="27" t="s">
        <v>2232</v>
      </c>
      <c r="F1399" s="27" t="str">
        <f>"40.0512"</f>
        <v>40.0512</v>
      </c>
      <c r="G1399" s="27" t="s">
        <v>4293</v>
      </c>
      <c r="H1399" s="65" t="str">
        <f t="shared" si="63"/>
        <v>Other</v>
      </c>
      <c r="I1399" s="65" t="str">
        <f t="shared" si="64"/>
        <v/>
      </c>
      <c r="J1399" s="65" t="str">
        <f t="shared" si="65"/>
        <v>400512</v>
      </c>
    </row>
    <row r="1400" spans="1:10" x14ac:dyDescent="0.3">
      <c r="A1400" s="27" t="s">
        <v>4294</v>
      </c>
      <c r="B1400" s="27" t="str">
        <f>"40.0599"</f>
        <v>40.0599</v>
      </c>
      <c r="C1400" s="64" t="s">
        <v>4295</v>
      </c>
      <c r="D1400" s="27" t="s">
        <v>2229</v>
      </c>
      <c r="E1400" s="27" t="s">
        <v>2232</v>
      </c>
      <c r="F1400" s="27" t="str">
        <f>"40.0599"</f>
        <v>40.0599</v>
      </c>
      <c r="G1400" s="27" t="s">
        <v>4295</v>
      </c>
      <c r="H1400" s="65" t="str">
        <f t="shared" si="63"/>
        <v>No Change</v>
      </c>
      <c r="I1400" s="65" t="str">
        <f t="shared" si="64"/>
        <v>400599</v>
      </c>
      <c r="J1400" s="65" t="str">
        <f t="shared" si="65"/>
        <v>400599</v>
      </c>
    </row>
    <row r="1401" spans="1:10" x14ac:dyDescent="0.3">
      <c r="A1401" s="27" t="s">
        <v>1869</v>
      </c>
      <c r="B1401" s="27" t="str">
        <f>"40.06"</f>
        <v>40.06</v>
      </c>
      <c r="C1401" s="64" t="s">
        <v>4296</v>
      </c>
      <c r="D1401" s="27" t="s">
        <v>2229</v>
      </c>
      <c r="E1401" s="27" t="s">
        <v>2232</v>
      </c>
      <c r="F1401" s="27" t="str">
        <f>"40.06"</f>
        <v>40.06</v>
      </c>
      <c r="G1401" s="27" t="s">
        <v>4296</v>
      </c>
      <c r="H1401" s="65" t="str">
        <f t="shared" si="63"/>
        <v>No Change</v>
      </c>
      <c r="I1401" s="65" t="str">
        <f t="shared" si="64"/>
        <v/>
      </c>
      <c r="J1401" s="65" t="str">
        <f t="shared" si="65"/>
        <v/>
      </c>
    </row>
    <row r="1402" spans="1:10" x14ac:dyDescent="0.3">
      <c r="A1402" s="27" t="s">
        <v>4297</v>
      </c>
      <c r="B1402" s="27" t="str">
        <f>"40.0601"</f>
        <v>40.0601</v>
      </c>
      <c r="C1402" s="64" t="s">
        <v>4298</v>
      </c>
      <c r="D1402" s="27" t="s">
        <v>2229</v>
      </c>
      <c r="E1402" s="27" t="s">
        <v>2232</v>
      </c>
      <c r="F1402" s="27" t="str">
        <f>"40.0601"</f>
        <v>40.0601</v>
      </c>
      <c r="G1402" s="27" t="s">
        <v>4298</v>
      </c>
      <c r="H1402" s="65" t="str">
        <f t="shared" si="63"/>
        <v>No Change</v>
      </c>
      <c r="I1402" s="65" t="str">
        <f t="shared" si="64"/>
        <v>400601</v>
      </c>
      <c r="J1402" s="65" t="str">
        <f t="shared" si="65"/>
        <v>400601</v>
      </c>
    </row>
    <row r="1403" spans="1:10" x14ac:dyDescent="0.3">
      <c r="A1403" s="27" t="s">
        <v>4299</v>
      </c>
      <c r="B1403" s="27" t="str">
        <f>"40.0602"</f>
        <v>40.0602</v>
      </c>
      <c r="C1403" s="64" t="s">
        <v>4300</v>
      </c>
      <c r="D1403" s="27" t="s">
        <v>2229</v>
      </c>
      <c r="E1403" s="27" t="s">
        <v>2232</v>
      </c>
      <c r="F1403" s="27" t="str">
        <f>"40.0602"</f>
        <v>40.0602</v>
      </c>
      <c r="G1403" s="27" t="s">
        <v>4300</v>
      </c>
      <c r="H1403" s="65" t="str">
        <f t="shared" si="63"/>
        <v>No Change</v>
      </c>
      <c r="I1403" s="65" t="str">
        <f t="shared" si="64"/>
        <v>400602</v>
      </c>
      <c r="J1403" s="65" t="str">
        <f t="shared" si="65"/>
        <v>400602</v>
      </c>
    </row>
    <row r="1404" spans="1:10" x14ac:dyDescent="0.3">
      <c r="A1404" s="27" t="s">
        <v>4301</v>
      </c>
      <c r="B1404" s="27" t="str">
        <f>"40.0603"</f>
        <v>40.0603</v>
      </c>
      <c r="C1404" s="64" t="s">
        <v>4302</v>
      </c>
      <c r="D1404" s="27" t="s">
        <v>2229</v>
      </c>
      <c r="E1404" s="27" t="s">
        <v>2232</v>
      </c>
      <c r="F1404" s="27" t="str">
        <f>"40.0603"</f>
        <v>40.0603</v>
      </c>
      <c r="G1404" s="27" t="s">
        <v>4302</v>
      </c>
      <c r="H1404" s="65" t="str">
        <f t="shared" si="63"/>
        <v>No Change</v>
      </c>
      <c r="I1404" s="65" t="str">
        <f t="shared" si="64"/>
        <v>400603</v>
      </c>
      <c r="J1404" s="65" t="str">
        <f t="shared" si="65"/>
        <v>400603</v>
      </c>
    </row>
    <row r="1405" spans="1:10" x14ac:dyDescent="0.3">
      <c r="A1405" s="27" t="s">
        <v>4303</v>
      </c>
      <c r="B1405" s="27" t="str">
        <f>"40.0604"</f>
        <v>40.0604</v>
      </c>
      <c r="C1405" s="64" t="s">
        <v>4304</v>
      </c>
      <c r="D1405" s="27" t="s">
        <v>2229</v>
      </c>
      <c r="E1405" s="27" t="s">
        <v>2232</v>
      </c>
      <c r="F1405" s="27" t="str">
        <f>"40.0604"</f>
        <v>40.0604</v>
      </c>
      <c r="G1405" s="27" t="s">
        <v>4304</v>
      </c>
      <c r="H1405" s="65" t="str">
        <f t="shared" si="63"/>
        <v>No Change</v>
      </c>
      <c r="I1405" s="65" t="str">
        <f t="shared" si="64"/>
        <v>400604</v>
      </c>
      <c r="J1405" s="65" t="str">
        <f t="shared" si="65"/>
        <v>400604</v>
      </c>
    </row>
    <row r="1406" spans="1:10" x14ac:dyDescent="0.3">
      <c r="A1406" s="27" t="s">
        <v>4305</v>
      </c>
      <c r="B1406" s="27" t="str">
        <f>"40.0605"</f>
        <v>40.0605</v>
      </c>
      <c r="C1406" s="64" t="s">
        <v>4306</v>
      </c>
      <c r="D1406" s="27" t="s">
        <v>2229</v>
      </c>
      <c r="E1406" s="27" t="s">
        <v>2232</v>
      </c>
      <c r="F1406" s="27" t="str">
        <f>"40.0605"</f>
        <v>40.0605</v>
      </c>
      <c r="G1406" s="27" t="s">
        <v>4306</v>
      </c>
      <c r="H1406" s="65" t="str">
        <f t="shared" si="63"/>
        <v>No Change</v>
      </c>
      <c r="I1406" s="65" t="str">
        <f t="shared" si="64"/>
        <v>400605</v>
      </c>
      <c r="J1406" s="65" t="str">
        <f t="shared" si="65"/>
        <v>400605</v>
      </c>
    </row>
    <row r="1407" spans="1:10" x14ac:dyDescent="0.3">
      <c r="A1407" s="27" t="s">
        <v>4307</v>
      </c>
      <c r="B1407" s="27" t="str">
        <f>"40.0606"</f>
        <v>40.0606</v>
      </c>
      <c r="C1407" s="64" t="s">
        <v>4308</v>
      </c>
      <c r="D1407" s="27" t="s">
        <v>2229</v>
      </c>
      <c r="E1407" s="27" t="s">
        <v>2232</v>
      </c>
      <c r="F1407" s="27" t="str">
        <f>"40.0606"</f>
        <v>40.0606</v>
      </c>
      <c r="G1407" s="27" t="s">
        <v>4308</v>
      </c>
      <c r="H1407" s="65" t="str">
        <f t="shared" si="63"/>
        <v>No Change</v>
      </c>
      <c r="I1407" s="65" t="str">
        <f t="shared" si="64"/>
        <v>400606</v>
      </c>
      <c r="J1407" s="65" t="str">
        <f t="shared" si="65"/>
        <v>400606</v>
      </c>
    </row>
    <row r="1408" spans="1:10" x14ac:dyDescent="0.3">
      <c r="A1408" s="27" t="s">
        <v>4309</v>
      </c>
      <c r="B1408" s="27" t="str">
        <f>"40.0607"</f>
        <v>40.0607</v>
      </c>
      <c r="C1408" s="64" t="s">
        <v>4310</v>
      </c>
      <c r="D1408" s="27" t="s">
        <v>2229</v>
      </c>
      <c r="E1408" s="27" t="s">
        <v>2232</v>
      </c>
      <c r="F1408" s="27" t="str">
        <f>"40.0607"</f>
        <v>40.0607</v>
      </c>
      <c r="G1408" s="27" t="s">
        <v>4310</v>
      </c>
      <c r="H1408" s="65" t="str">
        <f t="shared" si="63"/>
        <v>No Change</v>
      </c>
      <c r="I1408" s="65" t="str">
        <f t="shared" si="64"/>
        <v>400607</v>
      </c>
      <c r="J1408" s="65" t="str">
        <f t="shared" si="65"/>
        <v>400607</v>
      </c>
    </row>
    <row r="1409" spans="1:10" x14ac:dyDescent="0.3">
      <c r="A1409" s="27" t="s">
        <v>4311</v>
      </c>
      <c r="B1409" s="27" t="str">
        <f>"40.0699"</f>
        <v>40.0699</v>
      </c>
      <c r="C1409" s="64" t="s">
        <v>4312</v>
      </c>
      <c r="D1409" s="27" t="s">
        <v>2229</v>
      </c>
      <c r="E1409" s="27" t="s">
        <v>2232</v>
      </c>
      <c r="F1409" s="27" t="str">
        <f>"40.0699"</f>
        <v>40.0699</v>
      </c>
      <c r="G1409" s="27" t="s">
        <v>4312</v>
      </c>
      <c r="H1409" s="65" t="str">
        <f t="shared" si="63"/>
        <v>No Change</v>
      </c>
      <c r="I1409" s="65" t="str">
        <f t="shared" si="64"/>
        <v>400699</v>
      </c>
      <c r="J1409" s="65" t="str">
        <f t="shared" si="65"/>
        <v>400699</v>
      </c>
    </row>
    <row r="1410" spans="1:10" x14ac:dyDescent="0.3">
      <c r="A1410" s="27" t="s">
        <v>1869</v>
      </c>
      <c r="B1410" s="27" t="str">
        <f>"40.08"</f>
        <v>40.08</v>
      </c>
      <c r="C1410" s="64" t="s">
        <v>4313</v>
      </c>
      <c r="D1410" s="27" t="s">
        <v>2229</v>
      </c>
      <c r="E1410" s="27" t="s">
        <v>2232</v>
      </c>
      <c r="F1410" s="27" t="str">
        <f>"40.08"</f>
        <v>40.08</v>
      </c>
      <c r="G1410" s="27" t="s">
        <v>4313</v>
      </c>
      <c r="H1410" s="65" t="str">
        <f t="shared" si="63"/>
        <v>No Change</v>
      </c>
      <c r="I1410" s="65" t="str">
        <f t="shared" si="64"/>
        <v/>
      </c>
      <c r="J1410" s="65" t="str">
        <f t="shared" si="65"/>
        <v/>
      </c>
    </row>
    <row r="1411" spans="1:10" x14ac:dyDescent="0.3">
      <c r="A1411" s="27" t="s">
        <v>4314</v>
      </c>
      <c r="B1411" s="27" t="str">
        <f>"40.0801"</f>
        <v>40.0801</v>
      </c>
      <c r="C1411" s="64" t="s">
        <v>4315</v>
      </c>
      <c r="D1411" s="27" t="s">
        <v>2229</v>
      </c>
      <c r="E1411" s="27" t="s">
        <v>2232</v>
      </c>
      <c r="F1411" s="27" t="str">
        <f>"40.0801"</f>
        <v>40.0801</v>
      </c>
      <c r="G1411" s="27" t="s">
        <v>4315</v>
      </c>
      <c r="H1411" s="65" t="str">
        <f t="shared" ref="H1411:H1474" si="66">IF(I1411=J1411,"No Change","Other")</f>
        <v>No Change</v>
      </c>
      <c r="I1411" s="65" t="str">
        <f t="shared" ref="I1411:I1474" si="67">SUBSTITUTE(IF(SUM(LEN(B1411))&lt;7,"",B1411),".","")</f>
        <v>400801</v>
      </c>
      <c r="J1411" s="65" t="str">
        <f t="shared" ref="J1411:J1474" si="68">SUBSTITUTE(IF(SUM(LEN(F1411))&lt;7,"",F1411),".","")</f>
        <v>400801</v>
      </c>
    </row>
    <row r="1412" spans="1:10" x14ac:dyDescent="0.3">
      <c r="A1412" s="27" t="s">
        <v>4316</v>
      </c>
      <c r="B1412" s="27" t="str">
        <f>"40.0802"</f>
        <v>40.0802</v>
      </c>
      <c r="C1412" s="64" t="s">
        <v>4317</v>
      </c>
      <c r="D1412" s="27" t="s">
        <v>2229</v>
      </c>
      <c r="E1412" s="27" t="s">
        <v>2232</v>
      </c>
      <c r="F1412" s="27" t="str">
        <f>"40.0802"</f>
        <v>40.0802</v>
      </c>
      <c r="G1412" s="27" t="s">
        <v>4317</v>
      </c>
      <c r="H1412" s="65" t="str">
        <f t="shared" si="66"/>
        <v>No Change</v>
      </c>
      <c r="I1412" s="65" t="str">
        <f t="shared" si="67"/>
        <v>400802</v>
      </c>
      <c r="J1412" s="65" t="str">
        <f t="shared" si="68"/>
        <v>400802</v>
      </c>
    </row>
    <row r="1413" spans="1:10" x14ac:dyDescent="0.3">
      <c r="A1413" s="27" t="s">
        <v>4318</v>
      </c>
      <c r="B1413" s="27" t="str">
        <f>"40.0804"</f>
        <v>40.0804</v>
      </c>
      <c r="C1413" s="64" t="s">
        <v>4319</v>
      </c>
      <c r="D1413" s="27" t="s">
        <v>2229</v>
      </c>
      <c r="E1413" s="27" t="s">
        <v>2232</v>
      </c>
      <c r="F1413" s="27" t="str">
        <f>"40.0804"</f>
        <v>40.0804</v>
      </c>
      <c r="G1413" s="27" t="s">
        <v>4319</v>
      </c>
      <c r="H1413" s="65" t="str">
        <f t="shared" si="66"/>
        <v>No Change</v>
      </c>
      <c r="I1413" s="65" t="str">
        <f t="shared" si="67"/>
        <v>400804</v>
      </c>
      <c r="J1413" s="65" t="str">
        <f t="shared" si="68"/>
        <v>400804</v>
      </c>
    </row>
    <row r="1414" spans="1:10" x14ac:dyDescent="0.3">
      <c r="A1414" s="27" t="s">
        <v>4320</v>
      </c>
      <c r="B1414" s="27" t="str">
        <f>"40.0805"</f>
        <v>40.0805</v>
      </c>
      <c r="C1414" s="64" t="s">
        <v>4321</v>
      </c>
      <c r="D1414" s="27" t="s">
        <v>2229</v>
      </c>
      <c r="E1414" s="27" t="s">
        <v>2232</v>
      </c>
      <c r="F1414" s="27" t="str">
        <f>"40.0805"</f>
        <v>40.0805</v>
      </c>
      <c r="G1414" s="27" t="s">
        <v>4321</v>
      </c>
      <c r="H1414" s="65" t="str">
        <f t="shared" si="66"/>
        <v>No Change</v>
      </c>
      <c r="I1414" s="65" t="str">
        <f t="shared" si="67"/>
        <v>400805</v>
      </c>
      <c r="J1414" s="65" t="str">
        <f t="shared" si="68"/>
        <v>400805</v>
      </c>
    </row>
    <row r="1415" spans="1:10" x14ac:dyDescent="0.3">
      <c r="A1415" s="27" t="s">
        <v>4322</v>
      </c>
      <c r="B1415" s="27" t="str">
        <f>"40.0806"</f>
        <v>40.0806</v>
      </c>
      <c r="C1415" s="64" t="s">
        <v>4323</v>
      </c>
      <c r="D1415" s="27" t="s">
        <v>2229</v>
      </c>
      <c r="E1415" s="27" t="s">
        <v>2232</v>
      </c>
      <c r="F1415" s="27" t="str">
        <f>"40.0806"</f>
        <v>40.0806</v>
      </c>
      <c r="G1415" s="27" t="s">
        <v>4323</v>
      </c>
      <c r="H1415" s="65" t="str">
        <f t="shared" si="66"/>
        <v>No Change</v>
      </c>
      <c r="I1415" s="65" t="str">
        <f t="shared" si="67"/>
        <v>400806</v>
      </c>
      <c r="J1415" s="65" t="str">
        <f t="shared" si="68"/>
        <v>400806</v>
      </c>
    </row>
    <row r="1416" spans="1:10" x14ac:dyDescent="0.3">
      <c r="A1416" s="27" t="s">
        <v>4324</v>
      </c>
      <c r="B1416" s="27" t="str">
        <f>"40.0807"</f>
        <v>40.0807</v>
      </c>
      <c r="C1416" s="64" t="s">
        <v>4325</v>
      </c>
      <c r="D1416" s="27" t="s">
        <v>2229</v>
      </c>
      <c r="E1416" s="27" t="s">
        <v>2232</v>
      </c>
      <c r="F1416" s="27" t="str">
        <f>"40.0807"</f>
        <v>40.0807</v>
      </c>
      <c r="G1416" s="27" t="s">
        <v>4325</v>
      </c>
      <c r="H1416" s="65" t="str">
        <f t="shared" si="66"/>
        <v>No Change</v>
      </c>
      <c r="I1416" s="65" t="str">
        <f t="shared" si="67"/>
        <v>400807</v>
      </c>
      <c r="J1416" s="65" t="str">
        <f t="shared" si="68"/>
        <v>400807</v>
      </c>
    </row>
    <row r="1417" spans="1:10" x14ac:dyDescent="0.3">
      <c r="A1417" s="27" t="s">
        <v>4326</v>
      </c>
      <c r="B1417" s="27" t="str">
        <f>"40.0808"</f>
        <v>40.0808</v>
      </c>
      <c r="C1417" s="64" t="s">
        <v>4327</v>
      </c>
      <c r="D1417" s="27" t="s">
        <v>2229</v>
      </c>
      <c r="E1417" s="27" t="s">
        <v>2232</v>
      </c>
      <c r="F1417" s="27" t="str">
        <f>"40.0808"</f>
        <v>40.0808</v>
      </c>
      <c r="G1417" s="27" t="s">
        <v>4327</v>
      </c>
      <c r="H1417" s="65" t="str">
        <f t="shared" si="66"/>
        <v>No Change</v>
      </c>
      <c r="I1417" s="65" t="str">
        <f t="shared" si="67"/>
        <v>400808</v>
      </c>
      <c r="J1417" s="65" t="str">
        <f t="shared" si="68"/>
        <v>400808</v>
      </c>
    </row>
    <row r="1418" spans="1:10" x14ac:dyDescent="0.3">
      <c r="A1418" s="27" t="s">
        <v>4328</v>
      </c>
      <c r="B1418" s="27" t="str">
        <f>"40.0809"</f>
        <v>40.0809</v>
      </c>
      <c r="C1418" s="64" t="s">
        <v>4329</v>
      </c>
      <c r="D1418" s="27" t="s">
        <v>2229</v>
      </c>
      <c r="E1418" s="27" t="s">
        <v>2232</v>
      </c>
      <c r="F1418" s="27" t="str">
        <f>"40.0809"</f>
        <v>40.0809</v>
      </c>
      <c r="G1418" s="27" t="s">
        <v>4329</v>
      </c>
      <c r="H1418" s="65" t="str">
        <f t="shared" si="66"/>
        <v>No Change</v>
      </c>
      <c r="I1418" s="65" t="str">
        <f t="shared" si="67"/>
        <v>400809</v>
      </c>
      <c r="J1418" s="65" t="str">
        <f t="shared" si="68"/>
        <v>400809</v>
      </c>
    </row>
    <row r="1419" spans="1:10" x14ac:dyDescent="0.3">
      <c r="A1419" s="27" t="s">
        <v>4330</v>
      </c>
      <c r="B1419" s="27" t="str">
        <f>"40.0810"</f>
        <v>40.0810</v>
      </c>
      <c r="C1419" s="64" t="s">
        <v>4331</v>
      </c>
      <c r="D1419" s="27" t="s">
        <v>2229</v>
      </c>
      <c r="E1419" s="27" t="s">
        <v>2232</v>
      </c>
      <c r="F1419" s="27" t="str">
        <f>"40.0810"</f>
        <v>40.0810</v>
      </c>
      <c r="G1419" s="27" t="s">
        <v>4331</v>
      </c>
      <c r="H1419" s="65" t="str">
        <f t="shared" si="66"/>
        <v>No Change</v>
      </c>
      <c r="I1419" s="65" t="str">
        <f t="shared" si="67"/>
        <v>400810</v>
      </c>
      <c r="J1419" s="65" t="str">
        <f t="shared" si="68"/>
        <v>400810</v>
      </c>
    </row>
    <row r="1420" spans="1:10" x14ac:dyDescent="0.3">
      <c r="A1420" s="27" t="s">
        <v>4332</v>
      </c>
      <c r="B1420" s="27" t="str">
        <f>"40.0899"</f>
        <v>40.0899</v>
      </c>
      <c r="C1420" s="64" t="s">
        <v>4333</v>
      </c>
      <c r="D1420" s="27" t="s">
        <v>2229</v>
      </c>
      <c r="E1420" s="27" t="s">
        <v>2232</v>
      </c>
      <c r="F1420" s="27" t="str">
        <f>"40.0899"</f>
        <v>40.0899</v>
      </c>
      <c r="G1420" s="27" t="s">
        <v>4333</v>
      </c>
      <c r="H1420" s="65" t="str">
        <f t="shared" si="66"/>
        <v>No Change</v>
      </c>
      <c r="I1420" s="65" t="str">
        <f t="shared" si="67"/>
        <v>400899</v>
      </c>
      <c r="J1420" s="65" t="str">
        <f t="shared" si="68"/>
        <v>400899</v>
      </c>
    </row>
    <row r="1421" spans="1:10" x14ac:dyDescent="0.3">
      <c r="A1421" s="27" t="s">
        <v>1869</v>
      </c>
      <c r="B1421" s="27" t="str">
        <f>"40.10"</f>
        <v>40.10</v>
      </c>
      <c r="C1421" s="64" t="s">
        <v>4334</v>
      </c>
      <c r="D1421" s="27" t="s">
        <v>2229</v>
      </c>
      <c r="E1421" s="27" t="s">
        <v>2232</v>
      </c>
      <c r="F1421" s="27" t="str">
        <f>"40.10"</f>
        <v>40.10</v>
      </c>
      <c r="G1421" s="27" t="s">
        <v>4334</v>
      </c>
      <c r="H1421" s="65" t="str">
        <f t="shared" si="66"/>
        <v>No Change</v>
      </c>
      <c r="I1421" s="65" t="str">
        <f t="shared" si="67"/>
        <v/>
      </c>
      <c r="J1421" s="65" t="str">
        <f t="shared" si="68"/>
        <v/>
      </c>
    </row>
    <row r="1422" spans="1:10" x14ac:dyDescent="0.3">
      <c r="A1422" s="27" t="s">
        <v>4335</v>
      </c>
      <c r="B1422" s="27" t="str">
        <f>"40.1001"</f>
        <v>40.1001</v>
      </c>
      <c r="C1422" s="64" t="s">
        <v>4336</v>
      </c>
      <c r="D1422" s="27" t="s">
        <v>2229</v>
      </c>
      <c r="E1422" s="27" t="s">
        <v>2232</v>
      </c>
      <c r="F1422" s="27" t="str">
        <f>"40.1001"</f>
        <v>40.1001</v>
      </c>
      <c r="G1422" s="27" t="s">
        <v>4336</v>
      </c>
      <c r="H1422" s="65" t="str">
        <f t="shared" si="66"/>
        <v>No Change</v>
      </c>
      <c r="I1422" s="65" t="str">
        <f t="shared" si="67"/>
        <v>401001</v>
      </c>
      <c r="J1422" s="65" t="str">
        <f t="shared" si="68"/>
        <v>401001</v>
      </c>
    </row>
    <row r="1423" spans="1:10" x14ac:dyDescent="0.3">
      <c r="A1423" s="27" t="s">
        <v>4337</v>
      </c>
      <c r="B1423" s="27" t="str">
        <f>"40.1002"</f>
        <v>40.1002</v>
      </c>
      <c r="C1423" s="64" t="s">
        <v>4338</v>
      </c>
      <c r="D1423" s="27" t="s">
        <v>2229</v>
      </c>
      <c r="E1423" s="27" t="s">
        <v>2232</v>
      </c>
      <c r="F1423" s="27" t="str">
        <f>"40.1002"</f>
        <v>40.1002</v>
      </c>
      <c r="G1423" s="27" t="s">
        <v>4338</v>
      </c>
      <c r="H1423" s="65" t="str">
        <f t="shared" si="66"/>
        <v>No Change</v>
      </c>
      <c r="I1423" s="65" t="str">
        <f t="shared" si="67"/>
        <v>401002</v>
      </c>
      <c r="J1423" s="65" t="str">
        <f t="shared" si="68"/>
        <v>401002</v>
      </c>
    </row>
    <row r="1424" spans="1:10" x14ac:dyDescent="0.3">
      <c r="A1424" s="27" t="s">
        <v>4339</v>
      </c>
      <c r="B1424" s="27" t="str">
        <f>"40.1099"</f>
        <v>40.1099</v>
      </c>
      <c r="C1424" s="64" t="s">
        <v>4340</v>
      </c>
      <c r="D1424" s="27" t="s">
        <v>2229</v>
      </c>
      <c r="E1424" s="27" t="s">
        <v>2232</v>
      </c>
      <c r="F1424" s="27" t="str">
        <f>"40.1099"</f>
        <v>40.1099</v>
      </c>
      <c r="G1424" s="27" t="s">
        <v>4340</v>
      </c>
      <c r="H1424" s="65" t="str">
        <f t="shared" si="66"/>
        <v>No Change</v>
      </c>
      <c r="I1424" s="65" t="str">
        <f t="shared" si="67"/>
        <v>401099</v>
      </c>
      <c r="J1424" s="65" t="str">
        <f t="shared" si="68"/>
        <v>401099</v>
      </c>
    </row>
    <row r="1425" spans="1:10" x14ac:dyDescent="0.3">
      <c r="A1425" s="27" t="s">
        <v>1869</v>
      </c>
      <c r="D1425" s="27" t="s">
        <v>2255</v>
      </c>
      <c r="E1425" s="27" t="s">
        <v>2232</v>
      </c>
      <c r="F1425" s="27" t="str">
        <f>"40.11"</f>
        <v>40.11</v>
      </c>
      <c r="G1425" s="27" t="s">
        <v>4341</v>
      </c>
      <c r="H1425" s="65" t="str">
        <f t="shared" si="66"/>
        <v>No Change</v>
      </c>
      <c r="I1425" s="65" t="str">
        <f t="shared" si="67"/>
        <v/>
      </c>
      <c r="J1425" s="65" t="str">
        <f t="shared" si="68"/>
        <v/>
      </c>
    </row>
    <row r="1426" spans="1:10" x14ac:dyDescent="0.3">
      <c r="A1426" s="27" t="s">
        <v>1869</v>
      </c>
      <c r="D1426" s="27" t="s">
        <v>2255</v>
      </c>
      <c r="E1426" s="27" t="s">
        <v>2232</v>
      </c>
      <c r="F1426" s="27" t="str">
        <f>"40.1101"</f>
        <v>40.1101</v>
      </c>
      <c r="G1426" s="27" t="s">
        <v>4341</v>
      </c>
      <c r="H1426" s="65" t="str">
        <f t="shared" si="66"/>
        <v>Other</v>
      </c>
      <c r="I1426" s="65" t="str">
        <f t="shared" si="67"/>
        <v/>
      </c>
      <c r="J1426" s="65" t="str">
        <f t="shared" si="68"/>
        <v>401101</v>
      </c>
    </row>
    <row r="1427" spans="1:10" x14ac:dyDescent="0.3">
      <c r="A1427" s="27" t="s">
        <v>1869</v>
      </c>
      <c r="B1427" s="27" t="str">
        <f>"40.99"</f>
        <v>40.99</v>
      </c>
      <c r="C1427" s="64" t="s">
        <v>4342</v>
      </c>
      <c r="D1427" s="27" t="s">
        <v>2229</v>
      </c>
      <c r="E1427" s="27" t="s">
        <v>2232</v>
      </c>
      <c r="F1427" s="27" t="str">
        <f>"40.99"</f>
        <v>40.99</v>
      </c>
      <c r="G1427" s="27" t="s">
        <v>4342</v>
      </c>
      <c r="H1427" s="65" t="str">
        <f t="shared" si="66"/>
        <v>No Change</v>
      </c>
      <c r="I1427" s="65" t="str">
        <f t="shared" si="67"/>
        <v/>
      </c>
      <c r="J1427" s="65" t="str">
        <f t="shared" si="68"/>
        <v/>
      </c>
    </row>
    <row r="1428" spans="1:10" x14ac:dyDescent="0.3">
      <c r="A1428" s="27" t="s">
        <v>4343</v>
      </c>
      <c r="B1428" s="27" t="str">
        <f>"40.9999"</f>
        <v>40.9999</v>
      </c>
      <c r="C1428" s="64" t="s">
        <v>4342</v>
      </c>
      <c r="D1428" s="27" t="s">
        <v>2229</v>
      </c>
      <c r="E1428" s="27" t="s">
        <v>2232</v>
      </c>
      <c r="F1428" s="27" t="str">
        <f>"40.9999"</f>
        <v>40.9999</v>
      </c>
      <c r="G1428" s="27" t="s">
        <v>4342</v>
      </c>
      <c r="H1428" s="65" t="str">
        <f t="shared" si="66"/>
        <v>No Change</v>
      </c>
      <c r="I1428" s="65" t="str">
        <f t="shared" si="67"/>
        <v>409999</v>
      </c>
      <c r="J1428" s="65" t="str">
        <f t="shared" si="68"/>
        <v>409999</v>
      </c>
    </row>
    <row r="1429" spans="1:10" x14ac:dyDescent="0.3">
      <c r="A1429" s="27" t="s">
        <v>1869</v>
      </c>
      <c r="B1429" s="27" t="str">
        <f>"41"</f>
        <v>41</v>
      </c>
      <c r="C1429" s="64" t="s">
        <v>4344</v>
      </c>
      <c r="D1429" s="27" t="s">
        <v>2229</v>
      </c>
      <c r="E1429" s="27" t="s">
        <v>2232</v>
      </c>
      <c r="F1429" s="27" t="str">
        <f>"41"</f>
        <v>41</v>
      </c>
      <c r="G1429" s="27" t="s">
        <v>4344</v>
      </c>
      <c r="H1429" s="65" t="str">
        <f t="shared" si="66"/>
        <v>No Change</v>
      </c>
      <c r="I1429" s="65" t="str">
        <f t="shared" si="67"/>
        <v/>
      </c>
      <c r="J1429" s="65" t="str">
        <f t="shared" si="68"/>
        <v/>
      </c>
    </row>
    <row r="1430" spans="1:10" x14ac:dyDescent="0.3">
      <c r="A1430" s="27" t="s">
        <v>1869</v>
      </c>
      <c r="B1430" s="27" t="str">
        <f>"41.00"</f>
        <v>41.00</v>
      </c>
      <c r="C1430" s="64" t="s">
        <v>4345</v>
      </c>
      <c r="D1430" s="27" t="s">
        <v>2229</v>
      </c>
      <c r="E1430" s="27" t="s">
        <v>2232</v>
      </c>
      <c r="F1430" s="27" t="str">
        <f>"41.00"</f>
        <v>41.00</v>
      </c>
      <c r="G1430" s="27" t="s">
        <v>4345</v>
      </c>
      <c r="H1430" s="65" t="str">
        <f t="shared" si="66"/>
        <v>No Change</v>
      </c>
      <c r="I1430" s="65" t="str">
        <f t="shared" si="67"/>
        <v/>
      </c>
      <c r="J1430" s="65" t="str">
        <f t="shared" si="68"/>
        <v/>
      </c>
    </row>
    <row r="1431" spans="1:10" x14ac:dyDescent="0.3">
      <c r="A1431" s="27" t="s">
        <v>4346</v>
      </c>
      <c r="B1431" s="27" t="str">
        <f>"41.0000"</f>
        <v>41.0000</v>
      </c>
      <c r="C1431" s="64" t="s">
        <v>4345</v>
      </c>
      <c r="D1431" s="27" t="s">
        <v>2229</v>
      </c>
      <c r="E1431" s="27" t="s">
        <v>2232</v>
      </c>
      <c r="F1431" s="27" t="str">
        <f>"41.0000"</f>
        <v>41.0000</v>
      </c>
      <c r="G1431" s="27" t="s">
        <v>4345</v>
      </c>
      <c r="H1431" s="65" t="str">
        <f t="shared" si="66"/>
        <v>No Change</v>
      </c>
      <c r="I1431" s="65" t="str">
        <f t="shared" si="67"/>
        <v>410000</v>
      </c>
      <c r="J1431" s="65" t="str">
        <f t="shared" si="68"/>
        <v>410000</v>
      </c>
    </row>
    <row r="1432" spans="1:10" x14ac:dyDescent="0.3">
      <c r="A1432" s="27" t="s">
        <v>1869</v>
      </c>
      <c r="B1432" s="27" t="str">
        <f>"41.01"</f>
        <v>41.01</v>
      </c>
      <c r="C1432" s="64" t="s">
        <v>4347</v>
      </c>
      <c r="D1432" s="27" t="s">
        <v>2229</v>
      </c>
      <c r="E1432" s="27" t="s">
        <v>2230</v>
      </c>
      <c r="F1432" s="27" t="str">
        <f>"41.01"</f>
        <v>41.01</v>
      </c>
      <c r="G1432" s="27" t="s">
        <v>4348</v>
      </c>
      <c r="H1432" s="65" t="str">
        <f t="shared" si="66"/>
        <v>No Change</v>
      </c>
      <c r="I1432" s="65" t="str">
        <f t="shared" si="67"/>
        <v/>
      </c>
      <c r="J1432" s="65" t="str">
        <f t="shared" si="68"/>
        <v/>
      </c>
    </row>
    <row r="1433" spans="1:10" x14ac:dyDescent="0.3">
      <c r="A1433" s="27" t="s">
        <v>193</v>
      </c>
      <c r="B1433" s="27" t="str">
        <f>"41.0101"</f>
        <v>41.0101</v>
      </c>
      <c r="C1433" s="64" t="s">
        <v>4347</v>
      </c>
      <c r="D1433" s="27" t="s">
        <v>2229</v>
      </c>
      <c r="E1433" s="27" t="s">
        <v>2230</v>
      </c>
      <c r="F1433" s="27" t="str">
        <f>"41.0101"</f>
        <v>41.0101</v>
      </c>
      <c r="G1433" s="27" t="s">
        <v>194</v>
      </c>
      <c r="H1433" s="65" t="str">
        <f t="shared" si="66"/>
        <v>No Change</v>
      </c>
      <c r="I1433" s="65" t="str">
        <f t="shared" si="67"/>
        <v>410101</v>
      </c>
      <c r="J1433" s="65" t="str">
        <f t="shared" si="68"/>
        <v>410101</v>
      </c>
    </row>
    <row r="1434" spans="1:10" x14ac:dyDescent="0.3">
      <c r="A1434" s="27" t="s">
        <v>1869</v>
      </c>
      <c r="B1434" s="27" t="str">
        <f>"41.02"</f>
        <v>41.02</v>
      </c>
      <c r="C1434" s="64" t="s">
        <v>4349</v>
      </c>
      <c r="D1434" s="27" t="s">
        <v>2229</v>
      </c>
      <c r="E1434" s="27" t="s">
        <v>2232</v>
      </c>
      <c r="F1434" s="27" t="str">
        <f>"41.02"</f>
        <v>41.02</v>
      </c>
      <c r="G1434" s="27" t="s">
        <v>4349</v>
      </c>
      <c r="H1434" s="65" t="str">
        <f t="shared" si="66"/>
        <v>No Change</v>
      </c>
      <c r="I1434" s="65" t="str">
        <f t="shared" si="67"/>
        <v/>
      </c>
      <c r="J1434" s="65" t="str">
        <f t="shared" si="68"/>
        <v/>
      </c>
    </row>
    <row r="1435" spans="1:10" x14ac:dyDescent="0.3">
      <c r="A1435" s="27" t="s">
        <v>4350</v>
      </c>
      <c r="B1435" s="27" t="str">
        <f>"41.0204"</f>
        <v>41.0204</v>
      </c>
      <c r="C1435" s="64" t="s">
        <v>4351</v>
      </c>
      <c r="D1435" s="27" t="s">
        <v>2229</v>
      </c>
      <c r="E1435" s="27" t="s">
        <v>2232</v>
      </c>
      <c r="F1435" s="27" t="str">
        <f>"41.0204"</f>
        <v>41.0204</v>
      </c>
      <c r="G1435" s="27" t="s">
        <v>4351</v>
      </c>
      <c r="H1435" s="65" t="str">
        <f t="shared" si="66"/>
        <v>No Change</v>
      </c>
      <c r="I1435" s="65" t="str">
        <f t="shared" si="67"/>
        <v>410204</v>
      </c>
      <c r="J1435" s="65" t="str">
        <f t="shared" si="68"/>
        <v>410204</v>
      </c>
    </row>
    <row r="1436" spans="1:10" x14ac:dyDescent="0.3">
      <c r="A1436" s="27" t="s">
        <v>4352</v>
      </c>
      <c r="B1436" s="27" t="str">
        <f>"41.0205"</f>
        <v>41.0205</v>
      </c>
      <c r="C1436" s="64" t="s">
        <v>4353</v>
      </c>
      <c r="D1436" s="27" t="s">
        <v>2229</v>
      </c>
      <c r="E1436" s="27" t="s">
        <v>2232</v>
      </c>
      <c r="F1436" s="27" t="str">
        <f>"41.0205"</f>
        <v>41.0205</v>
      </c>
      <c r="G1436" s="27" t="s">
        <v>4353</v>
      </c>
      <c r="H1436" s="65" t="str">
        <f t="shared" si="66"/>
        <v>No Change</v>
      </c>
      <c r="I1436" s="65" t="str">
        <f t="shared" si="67"/>
        <v>410205</v>
      </c>
      <c r="J1436" s="65" t="str">
        <f t="shared" si="68"/>
        <v>410205</v>
      </c>
    </row>
    <row r="1437" spans="1:10" ht="28.8" x14ac:dyDescent="0.3">
      <c r="A1437" s="27" t="s">
        <v>4354</v>
      </c>
      <c r="B1437" s="27" t="str">
        <f>"41.0299"</f>
        <v>41.0299</v>
      </c>
      <c r="C1437" s="64" t="s">
        <v>4355</v>
      </c>
      <c r="D1437" s="27" t="s">
        <v>2229</v>
      </c>
      <c r="E1437" s="27" t="s">
        <v>2232</v>
      </c>
      <c r="F1437" s="27" t="str">
        <f>"41.0299"</f>
        <v>41.0299</v>
      </c>
      <c r="G1437" s="27" t="s">
        <v>4355</v>
      </c>
      <c r="H1437" s="65" t="str">
        <f t="shared" si="66"/>
        <v>No Change</v>
      </c>
      <c r="I1437" s="65" t="str">
        <f t="shared" si="67"/>
        <v>410299</v>
      </c>
      <c r="J1437" s="65" t="str">
        <f t="shared" si="68"/>
        <v>410299</v>
      </c>
    </row>
    <row r="1438" spans="1:10" x14ac:dyDescent="0.3">
      <c r="A1438" s="27" t="s">
        <v>1869</v>
      </c>
      <c r="B1438" s="27" t="str">
        <f>"41.03"</f>
        <v>41.03</v>
      </c>
      <c r="C1438" s="64" t="s">
        <v>4356</v>
      </c>
      <c r="D1438" s="27" t="s">
        <v>2229</v>
      </c>
      <c r="E1438" s="27" t="s">
        <v>2232</v>
      </c>
      <c r="F1438" s="27" t="str">
        <f>"41.03"</f>
        <v>41.03</v>
      </c>
      <c r="G1438" s="27" t="s">
        <v>4356</v>
      </c>
      <c r="H1438" s="65" t="str">
        <f t="shared" si="66"/>
        <v>No Change</v>
      </c>
      <c r="I1438" s="65" t="str">
        <f t="shared" si="67"/>
        <v/>
      </c>
      <c r="J1438" s="65" t="str">
        <f t="shared" si="68"/>
        <v/>
      </c>
    </row>
    <row r="1439" spans="1:10" x14ac:dyDescent="0.3">
      <c r="A1439" s="27" t="s">
        <v>269</v>
      </c>
      <c r="B1439" s="27" t="str">
        <f>"41.0301"</f>
        <v>41.0301</v>
      </c>
      <c r="C1439" s="64" t="s">
        <v>270</v>
      </c>
      <c r="D1439" s="27" t="s">
        <v>2229</v>
      </c>
      <c r="E1439" s="27" t="s">
        <v>2232</v>
      </c>
      <c r="F1439" s="27" t="str">
        <f>"41.0301"</f>
        <v>41.0301</v>
      </c>
      <c r="G1439" s="27" t="s">
        <v>270</v>
      </c>
      <c r="H1439" s="65" t="str">
        <f t="shared" si="66"/>
        <v>No Change</v>
      </c>
      <c r="I1439" s="65" t="str">
        <f t="shared" si="67"/>
        <v>410301</v>
      </c>
      <c r="J1439" s="65" t="str">
        <f t="shared" si="68"/>
        <v>410301</v>
      </c>
    </row>
    <row r="1440" spans="1:10" x14ac:dyDescent="0.3">
      <c r="A1440" s="27" t="s">
        <v>4357</v>
      </c>
      <c r="B1440" s="27" t="str">
        <f>"41.0303"</f>
        <v>41.0303</v>
      </c>
      <c r="C1440" s="64" t="s">
        <v>4358</v>
      </c>
      <c r="D1440" s="27" t="s">
        <v>2229</v>
      </c>
      <c r="E1440" s="27" t="s">
        <v>2232</v>
      </c>
      <c r="F1440" s="27" t="str">
        <f>"41.0303"</f>
        <v>41.0303</v>
      </c>
      <c r="G1440" s="27" t="s">
        <v>4358</v>
      </c>
      <c r="H1440" s="65" t="str">
        <f t="shared" si="66"/>
        <v>No Change</v>
      </c>
      <c r="I1440" s="65" t="str">
        <f t="shared" si="67"/>
        <v>410303</v>
      </c>
      <c r="J1440" s="65" t="str">
        <f t="shared" si="68"/>
        <v>410303</v>
      </c>
    </row>
    <row r="1441" spans="1:10" x14ac:dyDescent="0.3">
      <c r="A1441" s="27" t="s">
        <v>4359</v>
      </c>
      <c r="B1441" s="27" t="str">
        <f>"41.0399"</f>
        <v>41.0399</v>
      </c>
      <c r="C1441" s="64" t="s">
        <v>4360</v>
      </c>
      <c r="D1441" s="27" t="s">
        <v>2229</v>
      </c>
      <c r="E1441" s="27" t="s">
        <v>2232</v>
      </c>
      <c r="F1441" s="27" t="str">
        <f>"41.0399"</f>
        <v>41.0399</v>
      </c>
      <c r="G1441" s="27" t="s">
        <v>4360</v>
      </c>
      <c r="H1441" s="65" t="str">
        <f t="shared" si="66"/>
        <v>No Change</v>
      </c>
      <c r="I1441" s="65" t="str">
        <f t="shared" si="67"/>
        <v>410399</v>
      </c>
      <c r="J1441" s="65" t="str">
        <f t="shared" si="68"/>
        <v>410399</v>
      </c>
    </row>
    <row r="1442" spans="1:10" x14ac:dyDescent="0.3">
      <c r="A1442" s="27" t="s">
        <v>1869</v>
      </c>
      <c r="B1442" s="27" t="str">
        <f>"41.99"</f>
        <v>41.99</v>
      </c>
      <c r="C1442" s="64" t="s">
        <v>4361</v>
      </c>
      <c r="D1442" s="27" t="s">
        <v>2229</v>
      </c>
      <c r="E1442" s="27" t="s">
        <v>2232</v>
      </c>
      <c r="F1442" s="27" t="str">
        <f>"41.99"</f>
        <v>41.99</v>
      </c>
      <c r="G1442" s="27" t="s">
        <v>4361</v>
      </c>
      <c r="H1442" s="65" t="str">
        <f t="shared" si="66"/>
        <v>No Change</v>
      </c>
      <c r="I1442" s="65" t="str">
        <f t="shared" si="67"/>
        <v/>
      </c>
      <c r="J1442" s="65" t="str">
        <f t="shared" si="68"/>
        <v/>
      </c>
    </row>
    <row r="1443" spans="1:10" x14ac:dyDescent="0.3">
      <c r="A1443" s="27" t="s">
        <v>4362</v>
      </c>
      <c r="B1443" s="27" t="str">
        <f>"41.9999"</f>
        <v>41.9999</v>
      </c>
      <c r="C1443" s="64" t="s">
        <v>4361</v>
      </c>
      <c r="D1443" s="27" t="s">
        <v>2229</v>
      </c>
      <c r="E1443" s="27" t="s">
        <v>2232</v>
      </c>
      <c r="F1443" s="27" t="str">
        <f>"41.9999"</f>
        <v>41.9999</v>
      </c>
      <c r="G1443" s="27" t="s">
        <v>4361</v>
      </c>
      <c r="H1443" s="65" t="str">
        <f t="shared" si="66"/>
        <v>No Change</v>
      </c>
      <c r="I1443" s="65" t="str">
        <f t="shared" si="67"/>
        <v>419999</v>
      </c>
      <c r="J1443" s="65" t="str">
        <f t="shared" si="68"/>
        <v>419999</v>
      </c>
    </row>
    <row r="1444" spans="1:10" x14ac:dyDescent="0.3">
      <c r="A1444" s="27" t="s">
        <v>1869</v>
      </c>
      <c r="B1444" s="27" t="str">
        <f>"42"</f>
        <v>42</v>
      </c>
      <c r="C1444" s="64" t="s">
        <v>4363</v>
      </c>
      <c r="D1444" s="27" t="s">
        <v>2229</v>
      </c>
      <c r="E1444" s="27" t="s">
        <v>2232</v>
      </c>
      <c r="F1444" s="27" t="str">
        <f>"42"</f>
        <v>42</v>
      </c>
      <c r="G1444" s="27" t="s">
        <v>4363</v>
      </c>
      <c r="H1444" s="65" t="str">
        <f t="shared" si="66"/>
        <v>No Change</v>
      </c>
      <c r="I1444" s="65" t="str">
        <f t="shared" si="67"/>
        <v/>
      </c>
      <c r="J1444" s="65" t="str">
        <f t="shared" si="68"/>
        <v/>
      </c>
    </row>
    <row r="1445" spans="1:10" x14ac:dyDescent="0.3">
      <c r="A1445" s="27" t="s">
        <v>1869</v>
      </c>
      <c r="B1445" s="27" t="str">
        <f>"42.01"</f>
        <v>42.01</v>
      </c>
      <c r="C1445" s="64" t="s">
        <v>4364</v>
      </c>
      <c r="D1445" s="27" t="s">
        <v>2229</v>
      </c>
      <c r="E1445" s="27" t="s">
        <v>2232</v>
      </c>
      <c r="F1445" s="27" t="str">
        <f>"42.01"</f>
        <v>42.01</v>
      </c>
      <c r="G1445" s="27" t="s">
        <v>4364</v>
      </c>
      <c r="H1445" s="65" t="str">
        <f t="shared" si="66"/>
        <v>No Change</v>
      </c>
      <c r="I1445" s="65" t="str">
        <f t="shared" si="67"/>
        <v/>
      </c>
      <c r="J1445" s="65" t="str">
        <f t="shared" si="68"/>
        <v/>
      </c>
    </row>
    <row r="1446" spans="1:10" x14ac:dyDescent="0.3">
      <c r="A1446" s="27" t="s">
        <v>4365</v>
      </c>
      <c r="B1446" s="27" t="str">
        <f>"42.0101"</f>
        <v>42.0101</v>
      </c>
      <c r="C1446" s="64" t="s">
        <v>4364</v>
      </c>
      <c r="D1446" s="27" t="s">
        <v>2229</v>
      </c>
      <c r="E1446" s="27" t="s">
        <v>2232</v>
      </c>
      <c r="F1446" s="27" t="str">
        <f>"42.0101"</f>
        <v>42.0101</v>
      </c>
      <c r="G1446" s="27" t="s">
        <v>4364</v>
      </c>
      <c r="H1446" s="65" t="str">
        <f t="shared" si="66"/>
        <v>No Change</v>
      </c>
      <c r="I1446" s="65" t="str">
        <f t="shared" si="67"/>
        <v>420101</v>
      </c>
      <c r="J1446" s="65" t="str">
        <f t="shared" si="68"/>
        <v>420101</v>
      </c>
    </row>
    <row r="1447" spans="1:10" x14ac:dyDescent="0.3">
      <c r="A1447" s="27" t="s">
        <v>1869</v>
      </c>
      <c r="B1447" s="27" t="str">
        <f>"42.27"</f>
        <v>42.27</v>
      </c>
      <c r="C1447" s="64" t="s">
        <v>4366</v>
      </c>
      <c r="D1447" s="27" t="s">
        <v>2229</v>
      </c>
      <c r="E1447" s="27" t="s">
        <v>2232</v>
      </c>
      <c r="F1447" s="27" t="str">
        <f>"42.27"</f>
        <v>42.27</v>
      </c>
      <c r="G1447" s="27" t="s">
        <v>4366</v>
      </c>
      <c r="H1447" s="65" t="str">
        <f t="shared" si="66"/>
        <v>No Change</v>
      </c>
      <c r="I1447" s="65" t="str">
        <f t="shared" si="67"/>
        <v/>
      </c>
      <c r="J1447" s="65" t="str">
        <f t="shared" si="68"/>
        <v/>
      </c>
    </row>
    <row r="1448" spans="1:10" x14ac:dyDescent="0.3">
      <c r="A1448" s="27" t="s">
        <v>4367</v>
      </c>
      <c r="B1448" s="27" t="str">
        <f>"42.2701"</f>
        <v>42.2701</v>
      </c>
      <c r="C1448" s="64" t="s">
        <v>4368</v>
      </c>
      <c r="D1448" s="27" t="s">
        <v>2229</v>
      </c>
      <c r="E1448" s="27" t="s">
        <v>2232</v>
      </c>
      <c r="F1448" s="27" t="str">
        <f>"42.2701"</f>
        <v>42.2701</v>
      </c>
      <c r="G1448" s="27" t="s">
        <v>4368</v>
      </c>
      <c r="H1448" s="65" t="str">
        <f t="shared" si="66"/>
        <v>No Change</v>
      </c>
      <c r="I1448" s="65" t="str">
        <f t="shared" si="67"/>
        <v>422701</v>
      </c>
      <c r="J1448" s="65" t="str">
        <f t="shared" si="68"/>
        <v>422701</v>
      </c>
    </row>
    <row r="1449" spans="1:10" x14ac:dyDescent="0.3">
      <c r="A1449" s="27" t="s">
        <v>4369</v>
      </c>
      <c r="B1449" s="27" t="str">
        <f>"42.2702"</f>
        <v>42.2702</v>
      </c>
      <c r="C1449" s="64" t="s">
        <v>4370</v>
      </c>
      <c r="D1449" s="27" t="s">
        <v>2229</v>
      </c>
      <c r="E1449" s="27" t="s">
        <v>2232</v>
      </c>
      <c r="F1449" s="27" t="str">
        <f>"42.2702"</f>
        <v>42.2702</v>
      </c>
      <c r="G1449" s="27" t="s">
        <v>4370</v>
      </c>
      <c r="H1449" s="65" t="str">
        <f t="shared" si="66"/>
        <v>No Change</v>
      </c>
      <c r="I1449" s="65" t="str">
        <f t="shared" si="67"/>
        <v>422702</v>
      </c>
      <c r="J1449" s="65" t="str">
        <f t="shared" si="68"/>
        <v>422702</v>
      </c>
    </row>
    <row r="1450" spans="1:10" x14ac:dyDescent="0.3">
      <c r="A1450" s="27" t="s">
        <v>4371</v>
      </c>
      <c r="B1450" s="27" t="str">
        <f>"42.2703"</f>
        <v>42.2703</v>
      </c>
      <c r="C1450" s="64" t="s">
        <v>4372</v>
      </c>
      <c r="D1450" s="27" t="s">
        <v>2229</v>
      </c>
      <c r="E1450" s="27" t="s">
        <v>2230</v>
      </c>
      <c r="F1450" s="27" t="str">
        <f>"42.2703"</f>
        <v>42.2703</v>
      </c>
      <c r="G1450" s="27" t="s">
        <v>4372</v>
      </c>
      <c r="H1450" s="65" t="str">
        <f t="shared" si="66"/>
        <v>No Change</v>
      </c>
      <c r="I1450" s="65" t="str">
        <f t="shared" si="67"/>
        <v>422703</v>
      </c>
      <c r="J1450" s="65" t="str">
        <f t="shared" si="68"/>
        <v>422703</v>
      </c>
    </row>
    <row r="1451" spans="1:10" x14ac:dyDescent="0.3">
      <c r="A1451" s="27" t="s">
        <v>4373</v>
      </c>
      <c r="B1451" s="27" t="str">
        <f>"42.2704"</f>
        <v>42.2704</v>
      </c>
      <c r="C1451" s="64" t="s">
        <v>4374</v>
      </c>
      <c r="D1451" s="27" t="s">
        <v>2229</v>
      </c>
      <c r="E1451" s="27" t="s">
        <v>2232</v>
      </c>
      <c r="F1451" s="27" t="str">
        <f>"42.2704"</f>
        <v>42.2704</v>
      </c>
      <c r="G1451" s="27" t="s">
        <v>4374</v>
      </c>
      <c r="H1451" s="65" t="str">
        <f t="shared" si="66"/>
        <v>No Change</v>
      </c>
      <c r="I1451" s="65" t="str">
        <f t="shared" si="67"/>
        <v>422704</v>
      </c>
      <c r="J1451" s="65" t="str">
        <f t="shared" si="68"/>
        <v>422704</v>
      </c>
    </row>
    <row r="1452" spans="1:10" x14ac:dyDescent="0.3">
      <c r="A1452" s="27" t="s">
        <v>4375</v>
      </c>
      <c r="B1452" s="27" t="str">
        <f>"42.2705"</f>
        <v>42.2705</v>
      </c>
      <c r="C1452" s="64" t="s">
        <v>4376</v>
      </c>
      <c r="D1452" s="27" t="s">
        <v>2229</v>
      </c>
      <c r="E1452" s="27" t="s">
        <v>2232</v>
      </c>
      <c r="F1452" s="27" t="str">
        <f>"42.2705"</f>
        <v>42.2705</v>
      </c>
      <c r="G1452" s="27" t="s">
        <v>4376</v>
      </c>
      <c r="H1452" s="65" t="str">
        <f t="shared" si="66"/>
        <v>No Change</v>
      </c>
      <c r="I1452" s="65" t="str">
        <f t="shared" si="67"/>
        <v>422705</v>
      </c>
      <c r="J1452" s="65" t="str">
        <f t="shared" si="68"/>
        <v>422705</v>
      </c>
    </row>
    <row r="1453" spans="1:10" x14ac:dyDescent="0.3">
      <c r="A1453" s="27" t="s">
        <v>4377</v>
      </c>
      <c r="B1453" s="27" t="str">
        <f>"42.2706"</f>
        <v>42.2706</v>
      </c>
      <c r="C1453" s="64" t="s">
        <v>4378</v>
      </c>
      <c r="D1453" s="27" t="s">
        <v>2229</v>
      </c>
      <c r="E1453" s="27" t="s">
        <v>2230</v>
      </c>
      <c r="F1453" s="27" t="str">
        <f>"42.2706"</f>
        <v>42.2706</v>
      </c>
      <c r="G1453" s="27" t="s">
        <v>4379</v>
      </c>
      <c r="H1453" s="65" t="str">
        <f t="shared" si="66"/>
        <v>No Change</v>
      </c>
      <c r="I1453" s="65" t="str">
        <f t="shared" si="67"/>
        <v>422706</v>
      </c>
      <c r="J1453" s="65" t="str">
        <f t="shared" si="68"/>
        <v>422706</v>
      </c>
    </row>
    <row r="1454" spans="1:10" x14ac:dyDescent="0.3">
      <c r="A1454" s="27" t="s">
        <v>4380</v>
      </c>
      <c r="B1454" s="27" t="str">
        <f>"42.2707"</f>
        <v>42.2707</v>
      </c>
      <c r="C1454" s="64" t="s">
        <v>4381</v>
      </c>
      <c r="D1454" s="27" t="s">
        <v>2229</v>
      </c>
      <c r="E1454" s="27" t="s">
        <v>2232</v>
      </c>
      <c r="F1454" s="27" t="str">
        <f>"42.2707"</f>
        <v>42.2707</v>
      </c>
      <c r="G1454" s="27" t="s">
        <v>4381</v>
      </c>
      <c r="H1454" s="65" t="str">
        <f t="shared" si="66"/>
        <v>No Change</v>
      </c>
      <c r="I1454" s="65" t="str">
        <f t="shared" si="67"/>
        <v>422707</v>
      </c>
      <c r="J1454" s="65" t="str">
        <f t="shared" si="68"/>
        <v>422707</v>
      </c>
    </row>
    <row r="1455" spans="1:10" x14ac:dyDescent="0.3">
      <c r="A1455" s="27" t="s">
        <v>4382</v>
      </c>
      <c r="B1455" s="27" t="str">
        <f>"42.2708"</f>
        <v>42.2708</v>
      </c>
      <c r="C1455" s="64" t="s">
        <v>4383</v>
      </c>
      <c r="D1455" s="27" t="s">
        <v>2229</v>
      </c>
      <c r="E1455" s="27" t="s">
        <v>2232</v>
      </c>
      <c r="F1455" s="27" t="str">
        <f>"42.2708"</f>
        <v>42.2708</v>
      </c>
      <c r="G1455" s="27" t="s">
        <v>4383</v>
      </c>
      <c r="H1455" s="65" t="str">
        <f t="shared" si="66"/>
        <v>No Change</v>
      </c>
      <c r="I1455" s="65" t="str">
        <f t="shared" si="67"/>
        <v>422708</v>
      </c>
      <c r="J1455" s="65" t="str">
        <f t="shared" si="68"/>
        <v>422708</v>
      </c>
    </row>
    <row r="1456" spans="1:10" x14ac:dyDescent="0.3">
      <c r="A1456" s="27" t="s">
        <v>4384</v>
      </c>
      <c r="B1456" s="27" t="str">
        <f>"42.2709"</f>
        <v>42.2709</v>
      </c>
      <c r="C1456" s="64" t="s">
        <v>4385</v>
      </c>
      <c r="D1456" s="27" t="s">
        <v>2229</v>
      </c>
      <c r="E1456" s="27" t="s">
        <v>2232</v>
      </c>
      <c r="F1456" s="27" t="str">
        <f>"42.2709"</f>
        <v>42.2709</v>
      </c>
      <c r="G1456" s="27" t="s">
        <v>4385</v>
      </c>
      <c r="H1456" s="65" t="str">
        <f t="shared" si="66"/>
        <v>No Change</v>
      </c>
      <c r="I1456" s="65" t="str">
        <f t="shared" si="67"/>
        <v>422709</v>
      </c>
      <c r="J1456" s="65" t="str">
        <f t="shared" si="68"/>
        <v>422709</v>
      </c>
    </row>
    <row r="1457" spans="1:10" x14ac:dyDescent="0.3">
      <c r="A1457" s="27" t="s">
        <v>1869</v>
      </c>
      <c r="D1457" s="27" t="s">
        <v>2255</v>
      </c>
      <c r="E1457" s="27" t="s">
        <v>2232</v>
      </c>
      <c r="F1457" s="27" t="str">
        <f>"42.2710"</f>
        <v>42.2710</v>
      </c>
      <c r="G1457" s="27" t="s">
        <v>4386</v>
      </c>
      <c r="H1457" s="65" t="str">
        <f t="shared" si="66"/>
        <v>Other</v>
      </c>
      <c r="I1457" s="65" t="str">
        <f t="shared" si="67"/>
        <v/>
      </c>
      <c r="J1457" s="65" t="str">
        <f t="shared" si="68"/>
        <v>422710</v>
      </c>
    </row>
    <row r="1458" spans="1:10" x14ac:dyDescent="0.3">
      <c r="A1458" s="27" t="s">
        <v>4387</v>
      </c>
      <c r="B1458" s="27" t="str">
        <f>"42.2799"</f>
        <v>42.2799</v>
      </c>
      <c r="C1458" s="64" t="s">
        <v>4388</v>
      </c>
      <c r="D1458" s="27" t="s">
        <v>2229</v>
      </c>
      <c r="E1458" s="27" t="s">
        <v>2232</v>
      </c>
      <c r="F1458" s="27" t="str">
        <f>"42.2799"</f>
        <v>42.2799</v>
      </c>
      <c r="G1458" s="27" t="s">
        <v>4388</v>
      </c>
      <c r="H1458" s="65" t="str">
        <f t="shared" si="66"/>
        <v>No Change</v>
      </c>
      <c r="I1458" s="65" t="str">
        <f t="shared" si="67"/>
        <v>422799</v>
      </c>
      <c r="J1458" s="65" t="str">
        <f t="shared" si="68"/>
        <v>422799</v>
      </c>
    </row>
    <row r="1459" spans="1:10" x14ac:dyDescent="0.3">
      <c r="A1459" s="27" t="s">
        <v>1869</v>
      </c>
      <c r="B1459" s="27" t="str">
        <f>"42.28"</f>
        <v>42.28</v>
      </c>
      <c r="C1459" s="64" t="s">
        <v>4389</v>
      </c>
      <c r="D1459" s="27" t="s">
        <v>2229</v>
      </c>
      <c r="E1459" s="27" t="s">
        <v>2232</v>
      </c>
      <c r="F1459" s="27" t="str">
        <f>"42.28"</f>
        <v>42.28</v>
      </c>
      <c r="G1459" s="27" t="s">
        <v>4389</v>
      </c>
      <c r="H1459" s="65" t="str">
        <f t="shared" si="66"/>
        <v>No Change</v>
      </c>
      <c r="I1459" s="65" t="str">
        <f t="shared" si="67"/>
        <v/>
      </c>
      <c r="J1459" s="65" t="str">
        <f t="shared" si="68"/>
        <v/>
      </c>
    </row>
    <row r="1460" spans="1:10" x14ac:dyDescent="0.3">
      <c r="A1460" s="27" t="s">
        <v>4390</v>
      </c>
      <c r="B1460" s="27" t="str">
        <f>"42.2801"</f>
        <v>42.2801</v>
      </c>
      <c r="C1460" s="64" t="s">
        <v>4391</v>
      </c>
      <c r="D1460" s="27" t="s">
        <v>2229</v>
      </c>
      <c r="E1460" s="27" t="s">
        <v>2232</v>
      </c>
      <c r="F1460" s="27" t="str">
        <f>"42.2801"</f>
        <v>42.2801</v>
      </c>
      <c r="G1460" s="27" t="s">
        <v>4391</v>
      </c>
      <c r="H1460" s="65" t="str">
        <f t="shared" si="66"/>
        <v>No Change</v>
      </c>
      <c r="I1460" s="65" t="str">
        <f t="shared" si="67"/>
        <v>422801</v>
      </c>
      <c r="J1460" s="65" t="str">
        <f t="shared" si="68"/>
        <v>422801</v>
      </c>
    </row>
    <row r="1461" spans="1:10" x14ac:dyDescent="0.3">
      <c r="A1461" s="27" t="s">
        <v>4392</v>
      </c>
      <c r="B1461" s="27" t="str">
        <f>"42.2802"</f>
        <v>42.2802</v>
      </c>
      <c r="C1461" s="64" t="s">
        <v>4393</v>
      </c>
      <c r="D1461" s="27" t="s">
        <v>2229</v>
      </c>
      <c r="E1461" s="27" t="s">
        <v>2232</v>
      </c>
      <c r="F1461" s="27" t="str">
        <f>"42.2802"</f>
        <v>42.2802</v>
      </c>
      <c r="G1461" s="27" t="s">
        <v>4393</v>
      </c>
      <c r="H1461" s="65" t="str">
        <f t="shared" si="66"/>
        <v>No Change</v>
      </c>
      <c r="I1461" s="65" t="str">
        <f t="shared" si="67"/>
        <v>422802</v>
      </c>
      <c r="J1461" s="65" t="str">
        <f t="shared" si="68"/>
        <v>422802</v>
      </c>
    </row>
    <row r="1462" spans="1:10" x14ac:dyDescent="0.3">
      <c r="A1462" s="27" t="s">
        <v>4394</v>
      </c>
      <c r="B1462" s="27" t="str">
        <f>"42.2803"</f>
        <v>42.2803</v>
      </c>
      <c r="C1462" s="64" t="s">
        <v>4395</v>
      </c>
      <c r="D1462" s="27" t="s">
        <v>2229</v>
      </c>
      <c r="E1462" s="27" t="s">
        <v>2232</v>
      </c>
      <c r="F1462" s="27" t="str">
        <f>"42.2803"</f>
        <v>42.2803</v>
      </c>
      <c r="G1462" s="27" t="s">
        <v>4395</v>
      </c>
      <c r="H1462" s="65" t="str">
        <f t="shared" si="66"/>
        <v>No Change</v>
      </c>
      <c r="I1462" s="65" t="str">
        <f t="shared" si="67"/>
        <v>422803</v>
      </c>
      <c r="J1462" s="65" t="str">
        <f t="shared" si="68"/>
        <v>422803</v>
      </c>
    </row>
    <row r="1463" spans="1:10" x14ac:dyDescent="0.3">
      <c r="A1463" s="27" t="s">
        <v>4396</v>
      </c>
      <c r="B1463" s="27" t="str">
        <f>"42.2804"</f>
        <v>42.2804</v>
      </c>
      <c r="C1463" s="64" t="s">
        <v>4397</v>
      </c>
      <c r="D1463" s="27" t="s">
        <v>2229</v>
      </c>
      <c r="E1463" s="27" t="s">
        <v>2232</v>
      </c>
      <c r="F1463" s="27" t="str">
        <f>"42.2804"</f>
        <v>42.2804</v>
      </c>
      <c r="G1463" s="27" t="s">
        <v>4397</v>
      </c>
      <c r="H1463" s="65" t="str">
        <f t="shared" si="66"/>
        <v>No Change</v>
      </c>
      <c r="I1463" s="65" t="str">
        <f t="shared" si="67"/>
        <v>422804</v>
      </c>
      <c r="J1463" s="65" t="str">
        <f t="shared" si="68"/>
        <v>422804</v>
      </c>
    </row>
    <row r="1464" spans="1:10" x14ac:dyDescent="0.3">
      <c r="A1464" s="27" t="s">
        <v>4398</v>
      </c>
      <c r="B1464" s="27" t="str">
        <f>"42.2805"</f>
        <v>42.2805</v>
      </c>
      <c r="C1464" s="64" t="s">
        <v>4399</v>
      </c>
      <c r="D1464" s="27" t="s">
        <v>2229</v>
      </c>
      <c r="E1464" s="27" t="s">
        <v>2232</v>
      </c>
      <c r="F1464" s="27" t="str">
        <f>"42.2805"</f>
        <v>42.2805</v>
      </c>
      <c r="G1464" s="27" t="s">
        <v>4399</v>
      </c>
      <c r="H1464" s="65" t="str">
        <f t="shared" si="66"/>
        <v>No Change</v>
      </c>
      <c r="I1464" s="65" t="str">
        <f t="shared" si="67"/>
        <v>422805</v>
      </c>
      <c r="J1464" s="65" t="str">
        <f t="shared" si="68"/>
        <v>422805</v>
      </c>
    </row>
    <row r="1465" spans="1:10" x14ac:dyDescent="0.3">
      <c r="A1465" s="27" t="s">
        <v>4400</v>
      </c>
      <c r="B1465" s="27" t="str">
        <f>"42.2806"</f>
        <v>42.2806</v>
      </c>
      <c r="C1465" s="64" t="s">
        <v>4401</v>
      </c>
      <c r="D1465" s="27" t="s">
        <v>2229</v>
      </c>
      <c r="E1465" s="27" t="s">
        <v>2232</v>
      </c>
      <c r="F1465" s="27" t="str">
        <f>"42.2806"</f>
        <v>42.2806</v>
      </c>
      <c r="G1465" s="27" t="s">
        <v>4401</v>
      </c>
      <c r="H1465" s="65" t="str">
        <f t="shared" si="66"/>
        <v>No Change</v>
      </c>
      <c r="I1465" s="65" t="str">
        <f t="shared" si="67"/>
        <v>422806</v>
      </c>
      <c r="J1465" s="65" t="str">
        <f t="shared" si="68"/>
        <v>422806</v>
      </c>
    </row>
    <row r="1466" spans="1:10" x14ac:dyDescent="0.3">
      <c r="A1466" s="27" t="s">
        <v>4402</v>
      </c>
      <c r="B1466" s="27" t="str">
        <f>"42.2807"</f>
        <v>42.2807</v>
      </c>
      <c r="C1466" s="64" t="s">
        <v>4403</v>
      </c>
      <c r="D1466" s="27" t="s">
        <v>2229</v>
      </c>
      <c r="E1466" s="27" t="s">
        <v>2232</v>
      </c>
      <c r="F1466" s="27" t="str">
        <f>"42.2807"</f>
        <v>42.2807</v>
      </c>
      <c r="G1466" s="27" t="s">
        <v>4403</v>
      </c>
      <c r="H1466" s="65" t="str">
        <f t="shared" si="66"/>
        <v>No Change</v>
      </c>
      <c r="I1466" s="65" t="str">
        <f t="shared" si="67"/>
        <v>422807</v>
      </c>
      <c r="J1466" s="65" t="str">
        <f t="shared" si="68"/>
        <v>422807</v>
      </c>
    </row>
    <row r="1467" spans="1:10" x14ac:dyDescent="0.3">
      <c r="A1467" s="27" t="s">
        <v>4404</v>
      </c>
      <c r="B1467" s="27" t="str">
        <f>"42.2808"</f>
        <v>42.2808</v>
      </c>
      <c r="C1467" s="64" t="s">
        <v>4405</v>
      </c>
      <c r="D1467" s="27" t="s">
        <v>2229</v>
      </c>
      <c r="E1467" s="27" t="s">
        <v>2232</v>
      </c>
      <c r="F1467" s="27" t="str">
        <f>"42.2808"</f>
        <v>42.2808</v>
      </c>
      <c r="G1467" s="27" t="s">
        <v>4405</v>
      </c>
      <c r="H1467" s="65" t="str">
        <f t="shared" si="66"/>
        <v>No Change</v>
      </c>
      <c r="I1467" s="65" t="str">
        <f t="shared" si="67"/>
        <v>422808</v>
      </c>
      <c r="J1467" s="65" t="str">
        <f t="shared" si="68"/>
        <v>422808</v>
      </c>
    </row>
    <row r="1468" spans="1:10" x14ac:dyDescent="0.3">
      <c r="A1468" s="27" t="s">
        <v>4406</v>
      </c>
      <c r="B1468" s="27" t="str">
        <f>"42.2809"</f>
        <v>42.2809</v>
      </c>
      <c r="C1468" s="64" t="s">
        <v>4407</v>
      </c>
      <c r="D1468" s="27" t="s">
        <v>2229</v>
      </c>
      <c r="E1468" s="27" t="s">
        <v>2232</v>
      </c>
      <c r="F1468" s="27" t="str">
        <f>"42.2809"</f>
        <v>42.2809</v>
      </c>
      <c r="G1468" s="27" t="s">
        <v>4407</v>
      </c>
      <c r="H1468" s="65" t="str">
        <f t="shared" si="66"/>
        <v>No Change</v>
      </c>
      <c r="I1468" s="65" t="str">
        <f t="shared" si="67"/>
        <v>422809</v>
      </c>
      <c r="J1468" s="65" t="str">
        <f t="shared" si="68"/>
        <v>422809</v>
      </c>
    </row>
    <row r="1469" spans="1:10" x14ac:dyDescent="0.3">
      <c r="A1469" s="27" t="s">
        <v>4408</v>
      </c>
      <c r="B1469" s="27" t="str">
        <f>"42.2810"</f>
        <v>42.2810</v>
      </c>
      <c r="C1469" s="64" t="s">
        <v>4409</v>
      </c>
      <c r="D1469" s="27" t="s">
        <v>2229</v>
      </c>
      <c r="E1469" s="27" t="s">
        <v>2232</v>
      </c>
      <c r="F1469" s="27" t="str">
        <f>"42.2810"</f>
        <v>42.2810</v>
      </c>
      <c r="G1469" s="27" t="s">
        <v>4409</v>
      </c>
      <c r="H1469" s="65" t="str">
        <f t="shared" si="66"/>
        <v>No Change</v>
      </c>
      <c r="I1469" s="65" t="str">
        <f t="shared" si="67"/>
        <v>422810</v>
      </c>
      <c r="J1469" s="65" t="str">
        <f t="shared" si="68"/>
        <v>422810</v>
      </c>
    </row>
    <row r="1470" spans="1:10" x14ac:dyDescent="0.3">
      <c r="A1470" s="27" t="s">
        <v>4410</v>
      </c>
      <c r="B1470" s="27" t="str">
        <f>"42.2811"</f>
        <v>42.2811</v>
      </c>
      <c r="C1470" s="64" t="s">
        <v>4411</v>
      </c>
      <c r="D1470" s="27" t="s">
        <v>2229</v>
      </c>
      <c r="E1470" s="27" t="s">
        <v>2232</v>
      </c>
      <c r="F1470" s="27" t="str">
        <f>"42.2811"</f>
        <v>42.2811</v>
      </c>
      <c r="G1470" s="27" t="s">
        <v>4411</v>
      </c>
      <c r="H1470" s="65" t="str">
        <f t="shared" si="66"/>
        <v>No Change</v>
      </c>
      <c r="I1470" s="65" t="str">
        <f t="shared" si="67"/>
        <v>422811</v>
      </c>
      <c r="J1470" s="65" t="str">
        <f t="shared" si="68"/>
        <v>422811</v>
      </c>
    </row>
    <row r="1471" spans="1:10" x14ac:dyDescent="0.3">
      <c r="A1471" s="27" t="s">
        <v>4412</v>
      </c>
      <c r="B1471" s="27" t="str">
        <f>"42.2812"</f>
        <v>42.2812</v>
      </c>
      <c r="C1471" s="64" t="s">
        <v>4413</v>
      </c>
      <c r="D1471" s="27" t="s">
        <v>2229</v>
      </c>
      <c r="E1471" s="27" t="s">
        <v>2232</v>
      </c>
      <c r="F1471" s="27" t="str">
        <f>"42.2812"</f>
        <v>42.2812</v>
      </c>
      <c r="G1471" s="27" t="s">
        <v>4413</v>
      </c>
      <c r="H1471" s="65" t="str">
        <f t="shared" si="66"/>
        <v>No Change</v>
      </c>
      <c r="I1471" s="65" t="str">
        <f t="shared" si="67"/>
        <v>422812</v>
      </c>
      <c r="J1471" s="65" t="str">
        <f t="shared" si="68"/>
        <v>422812</v>
      </c>
    </row>
    <row r="1472" spans="1:10" x14ac:dyDescent="0.3">
      <c r="A1472" s="27" t="s">
        <v>4414</v>
      </c>
      <c r="B1472" s="27" t="str">
        <f>"42.2813"</f>
        <v>42.2813</v>
      </c>
      <c r="C1472" s="64" t="s">
        <v>4415</v>
      </c>
      <c r="D1472" s="27" t="s">
        <v>2229</v>
      </c>
      <c r="E1472" s="27" t="s">
        <v>2232</v>
      </c>
      <c r="F1472" s="27" t="str">
        <f>"42.2813"</f>
        <v>42.2813</v>
      </c>
      <c r="G1472" s="27" t="s">
        <v>4415</v>
      </c>
      <c r="H1472" s="65" t="str">
        <f t="shared" si="66"/>
        <v>No Change</v>
      </c>
      <c r="I1472" s="65" t="str">
        <f t="shared" si="67"/>
        <v>422813</v>
      </c>
      <c r="J1472" s="65" t="str">
        <f t="shared" si="68"/>
        <v>422813</v>
      </c>
    </row>
    <row r="1473" spans="1:10" x14ac:dyDescent="0.3">
      <c r="A1473" s="27" t="s">
        <v>4416</v>
      </c>
      <c r="B1473" s="27" t="str">
        <f>"42.2814"</f>
        <v>42.2814</v>
      </c>
      <c r="C1473" s="64" t="s">
        <v>4417</v>
      </c>
      <c r="D1473" s="27" t="s">
        <v>2229</v>
      </c>
      <c r="E1473" s="27" t="s">
        <v>2232</v>
      </c>
      <c r="F1473" s="27" t="str">
        <f>"42.2814"</f>
        <v>42.2814</v>
      </c>
      <c r="G1473" s="27" t="s">
        <v>4417</v>
      </c>
      <c r="H1473" s="65" t="str">
        <f t="shared" si="66"/>
        <v>No Change</v>
      </c>
      <c r="I1473" s="65" t="str">
        <f t="shared" si="67"/>
        <v>422814</v>
      </c>
      <c r="J1473" s="65" t="str">
        <f t="shared" si="68"/>
        <v>422814</v>
      </c>
    </row>
    <row r="1474" spans="1:10" x14ac:dyDescent="0.3">
      <c r="A1474" s="27" t="s">
        <v>1869</v>
      </c>
      <c r="D1474" s="27" t="s">
        <v>2255</v>
      </c>
      <c r="E1474" s="27" t="s">
        <v>2232</v>
      </c>
      <c r="F1474" s="27" t="str">
        <f>"42.2815"</f>
        <v>42.2815</v>
      </c>
      <c r="G1474" s="27" t="s">
        <v>4418</v>
      </c>
      <c r="H1474" s="65" t="str">
        <f t="shared" si="66"/>
        <v>Other</v>
      </c>
      <c r="I1474" s="65" t="str">
        <f t="shared" si="67"/>
        <v/>
      </c>
      <c r="J1474" s="65" t="str">
        <f t="shared" si="68"/>
        <v>422815</v>
      </c>
    </row>
    <row r="1475" spans="1:10" x14ac:dyDescent="0.3">
      <c r="A1475" s="27" t="s">
        <v>1869</v>
      </c>
      <c r="D1475" s="27" t="s">
        <v>2255</v>
      </c>
      <c r="E1475" s="27" t="s">
        <v>2232</v>
      </c>
      <c r="F1475" s="27" t="str">
        <f>"42.2816"</f>
        <v>42.2816</v>
      </c>
      <c r="G1475" s="27" t="s">
        <v>4419</v>
      </c>
      <c r="H1475" s="65" t="str">
        <f t="shared" ref="H1475:H1538" si="69">IF(I1475=J1475,"No Change","Other")</f>
        <v>Other</v>
      </c>
      <c r="I1475" s="65" t="str">
        <f t="shared" ref="I1475:I1538" si="70">SUBSTITUTE(IF(SUM(LEN(B1475))&lt;7,"",B1475),".","")</f>
        <v/>
      </c>
      <c r="J1475" s="65" t="str">
        <f t="shared" ref="J1475:J1538" si="71">SUBSTITUTE(IF(SUM(LEN(F1475))&lt;7,"",F1475),".","")</f>
        <v>422816</v>
      </c>
    </row>
    <row r="1476" spans="1:10" x14ac:dyDescent="0.3">
      <c r="A1476" s="27" t="s">
        <v>1869</v>
      </c>
      <c r="D1476" s="27" t="s">
        <v>2255</v>
      </c>
      <c r="E1476" s="27" t="s">
        <v>2232</v>
      </c>
      <c r="F1476" s="27" t="str">
        <f>"42.2817"</f>
        <v>42.2817</v>
      </c>
      <c r="G1476" s="27" t="s">
        <v>4420</v>
      </c>
      <c r="H1476" s="65" t="str">
        <f t="shared" si="69"/>
        <v>Other</v>
      </c>
      <c r="I1476" s="65" t="str">
        <f t="shared" si="70"/>
        <v/>
      </c>
      <c r="J1476" s="65" t="str">
        <f t="shared" si="71"/>
        <v>422817</v>
      </c>
    </row>
    <row r="1477" spans="1:10" x14ac:dyDescent="0.3">
      <c r="A1477" s="27" t="s">
        <v>4421</v>
      </c>
      <c r="B1477" s="27" t="str">
        <f>"42.2899"</f>
        <v>42.2899</v>
      </c>
      <c r="C1477" s="64" t="s">
        <v>4422</v>
      </c>
      <c r="D1477" s="27" t="s">
        <v>2229</v>
      </c>
      <c r="E1477" s="27" t="s">
        <v>2232</v>
      </c>
      <c r="F1477" s="27" t="str">
        <f>"42.2899"</f>
        <v>42.2899</v>
      </c>
      <c r="G1477" s="27" t="s">
        <v>4422</v>
      </c>
      <c r="H1477" s="65" t="str">
        <f t="shared" si="69"/>
        <v>No Change</v>
      </c>
      <c r="I1477" s="65" t="str">
        <f t="shared" si="70"/>
        <v>422899</v>
      </c>
      <c r="J1477" s="65" t="str">
        <f t="shared" si="71"/>
        <v>422899</v>
      </c>
    </row>
    <row r="1478" spans="1:10" x14ac:dyDescent="0.3">
      <c r="A1478" s="27" t="s">
        <v>1869</v>
      </c>
      <c r="B1478" s="27" t="str">
        <f>"42.99"</f>
        <v>42.99</v>
      </c>
      <c r="C1478" s="64" t="s">
        <v>4423</v>
      </c>
      <c r="D1478" s="27" t="s">
        <v>2229</v>
      </c>
      <c r="E1478" s="27" t="s">
        <v>2232</v>
      </c>
      <c r="F1478" s="27" t="str">
        <f>"42.99"</f>
        <v>42.99</v>
      </c>
      <c r="G1478" s="27" t="s">
        <v>4423</v>
      </c>
      <c r="H1478" s="65" t="str">
        <f t="shared" si="69"/>
        <v>No Change</v>
      </c>
      <c r="I1478" s="65" t="str">
        <f t="shared" si="70"/>
        <v/>
      </c>
      <c r="J1478" s="65" t="str">
        <f t="shared" si="71"/>
        <v/>
      </c>
    </row>
    <row r="1479" spans="1:10" x14ac:dyDescent="0.3">
      <c r="A1479" s="27" t="s">
        <v>4424</v>
      </c>
      <c r="B1479" s="27" t="str">
        <f>"42.9999"</f>
        <v>42.9999</v>
      </c>
      <c r="C1479" s="64" t="s">
        <v>4423</v>
      </c>
      <c r="D1479" s="27" t="s">
        <v>2229</v>
      </c>
      <c r="E1479" s="27" t="s">
        <v>2232</v>
      </c>
      <c r="F1479" s="27" t="str">
        <f>"42.9999"</f>
        <v>42.9999</v>
      </c>
      <c r="G1479" s="27" t="s">
        <v>4423</v>
      </c>
      <c r="H1479" s="65" t="str">
        <f t="shared" si="69"/>
        <v>No Change</v>
      </c>
      <c r="I1479" s="65" t="str">
        <f t="shared" si="70"/>
        <v>429999</v>
      </c>
      <c r="J1479" s="65" t="str">
        <f t="shared" si="71"/>
        <v>429999</v>
      </c>
    </row>
    <row r="1480" spans="1:10" ht="28.8" x14ac:dyDescent="0.3">
      <c r="A1480" s="27" t="s">
        <v>1869</v>
      </c>
      <c r="B1480" s="27" t="str">
        <f>"43"</f>
        <v>43</v>
      </c>
      <c r="C1480" s="64" t="s">
        <v>4425</v>
      </c>
      <c r="D1480" s="27" t="s">
        <v>2229</v>
      </c>
      <c r="E1480" s="27" t="s">
        <v>2232</v>
      </c>
      <c r="F1480" s="27" t="str">
        <f>"43"</f>
        <v>43</v>
      </c>
      <c r="G1480" s="27" t="s">
        <v>4425</v>
      </c>
      <c r="H1480" s="65" t="str">
        <f t="shared" si="69"/>
        <v>No Change</v>
      </c>
      <c r="I1480" s="65" t="str">
        <f t="shared" si="70"/>
        <v/>
      </c>
      <c r="J1480" s="65" t="str">
        <f t="shared" si="71"/>
        <v/>
      </c>
    </row>
    <row r="1481" spans="1:10" x14ac:dyDescent="0.3">
      <c r="A1481" s="27" t="s">
        <v>1869</v>
      </c>
      <c r="B1481" s="27" t="str">
        <f>"43.01"</f>
        <v>43.01</v>
      </c>
      <c r="C1481" s="64" t="s">
        <v>4426</v>
      </c>
      <c r="D1481" s="27" t="s">
        <v>2229</v>
      </c>
      <c r="E1481" s="27" t="s">
        <v>2232</v>
      </c>
      <c r="F1481" s="27" t="str">
        <f>"43.01"</f>
        <v>43.01</v>
      </c>
      <c r="G1481" s="27" t="s">
        <v>4426</v>
      </c>
      <c r="H1481" s="65" t="str">
        <f t="shared" si="69"/>
        <v>No Change</v>
      </c>
      <c r="I1481" s="65" t="str">
        <f t="shared" si="70"/>
        <v/>
      </c>
      <c r="J1481" s="65" t="str">
        <f t="shared" si="71"/>
        <v/>
      </c>
    </row>
    <row r="1482" spans="1:10" x14ac:dyDescent="0.3">
      <c r="A1482" s="27" t="s">
        <v>1869</v>
      </c>
      <c r="D1482" s="27" t="s">
        <v>2255</v>
      </c>
      <c r="E1482" s="27" t="s">
        <v>2232</v>
      </c>
      <c r="F1482" s="27" t="str">
        <f>"43.0100"</f>
        <v>43.0100</v>
      </c>
      <c r="G1482" s="27" t="s">
        <v>4427</v>
      </c>
      <c r="H1482" s="65" t="str">
        <f t="shared" si="69"/>
        <v>Other</v>
      </c>
      <c r="I1482" s="65" t="str">
        <f t="shared" si="70"/>
        <v/>
      </c>
      <c r="J1482" s="65" t="str">
        <f t="shared" si="71"/>
        <v>430100</v>
      </c>
    </row>
    <row r="1483" spans="1:10" x14ac:dyDescent="0.3">
      <c r="A1483" s="27" t="s">
        <v>69</v>
      </c>
      <c r="B1483" s="27" t="str">
        <f>"43.0102"</f>
        <v>43.0102</v>
      </c>
      <c r="C1483" s="64" t="s">
        <v>70</v>
      </c>
      <c r="D1483" s="27" t="s">
        <v>2229</v>
      </c>
      <c r="E1483" s="27" t="s">
        <v>2232</v>
      </c>
      <c r="F1483" s="27" t="str">
        <f>"43.0102"</f>
        <v>43.0102</v>
      </c>
      <c r="G1483" s="27" t="s">
        <v>70</v>
      </c>
      <c r="H1483" s="65" t="str">
        <f t="shared" si="69"/>
        <v>No Change</v>
      </c>
      <c r="I1483" s="65" t="str">
        <f t="shared" si="70"/>
        <v>430102</v>
      </c>
      <c r="J1483" s="65" t="str">
        <f t="shared" si="71"/>
        <v>430102</v>
      </c>
    </row>
    <row r="1484" spans="1:10" x14ac:dyDescent="0.3">
      <c r="A1484" s="27" t="s">
        <v>129</v>
      </c>
      <c r="B1484" s="27" t="str">
        <f>"43.0103"</f>
        <v>43.0103</v>
      </c>
      <c r="C1484" s="64" t="s">
        <v>130</v>
      </c>
      <c r="D1484" s="27" t="s">
        <v>2229</v>
      </c>
      <c r="E1484" s="27" t="s">
        <v>2232</v>
      </c>
      <c r="F1484" s="27" t="str">
        <f>"43.0103"</f>
        <v>43.0103</v>
      </c>
      <c r="G1484" s="27" t="s">
        <v>130</v>
      </c>
      <c r="H1484" s="65" t="str">
        <f t="shared" si="69"/>
        <v>No Change</v>
      </c>
      <c r="I1484" s="65" t="str">
        <f t="shared" si="70"/>
        <v>430103</v>
      </c>
      <c r="J1484" s="65" t="str">
        <f t="shared" si="71"/>
        <v>430103</v>
      </c>
    </row>
    <row r="1485" spans="1:10" x14ac:dyDescent="0.3">
      <c r="A1485" s="27" t="s">
        <v>4428</v>
      </c>
      <c r="B1485" s="27" t="str">
        <f>"43.0104"</f>
        <v>43.0104</v>
      </c>
      <c r="C1485" s="64" t="s">
        <v>4429</v>
      </c>
      <c r="D1485" s="27" t="s">
        <v>2229</v>
      </c>
      <c r="E1485" s="27" t="s">
        <v>2232</v>
      </c>
      <c r="F1485" s="27" t="str">
        <f>"43.0104"</f>
        <v>43.0104</v>
      </c>
      <c r="G1485" s="27" t="s">
        <v>4429</v>
      </c>
      <c r="H1485" s="65" t="str">
        <f t="shared" si="69"/>
        <v>No Change</v>
      </c>
      <c r="I1485" s="65" t="str">
        <f t="shared" si="70"/>
        <v>430104</v>
      </c>
      <c r="J1485" s="65" t="str">
        <f t="shared" si="71"/>
        <v>430104</v>
      </c>
    </row>
    <row r="1486" spans="1:10" x14ac:dyDescent="0.3">
      <c r="A1486" s="27" t="s">
        <v>396</v>
      </c>
      <c r="B1486" s="27" t="str">
        <f>"43.0106"</f>
        <v>43.0106</v>
      </c>
      <c r="C1486" s="64" t="s">
        <v>398</v>
      </c>
      <c r="D1486" s="27" t="s">
        <v>2274</v>
      </c>
      <c r="E1486" s="27" t="s">
        <v>2232</v>
      </c>
      <c r="F1486" s="27" t="str">
        <f>"43.0406"</f>
        <v>43.0406</v>
      </c>
      <c r="G1486" s="27" t="s">
        <v>398</v>
      </c>
      <c r="H1486" s="65" t="str">
        <f t="shared" si="69"/>
        <v>Other</v>
      </c>
      <c r="I1486" s="65" t="str">
        <f t="shared" si="70"/>
        <v>430106</v>
      </c>
      <c r="J1486" s="65" t="str">
        <f t="shared" si="71"/>
        <v>430406</v>
      </c>
    </row>
    <row r="1487" spans="1:10" x14ac:dyDescent="0.3">
      <c r="A1487" s="27" t="s">
        <v>72</v>
      </c>
      <c r="B1487" s="27" t="str">
        <f>"43.0107"</f>
        <v>43.0107</v>
      </c>
      <c r="C1487" s="64" t="s">
        <v>73</v>
      </c>
      <c r="D1487" s="27" t="s">
        <v>2229</v>
      </c>
      <c r="E1487" s="27" t="s">
        <v>2232</v>
      </c>
      <c r="F1487" s="27" t="str">
        <f>"43.0107"</f>
        <v>43.0107</v>
      </c>
      <c r="G1487" s="27" t="s">
        <v>73</v>
      </c>
      <c r="H1487" s="65" t="str">
        <f t="shared" si="69"/>
        <v>No Change</v>
      </c>
      <c r="I1487" s="65" t="str">
        <f t="shared" si="70"/>
        <v>430107</v>
      </c>
      <c r="J1487" s="65" t="str">
        <f t="shared" si="71"/>
        <v>430107</v>
      </c>
    </row>
    <row r="1488" spans="1:10" x14ac:dyDescent="0.3">
      <c r="A1488" s="27" t="s">
        <v>835</v>
      </c>
      <c r="B1488" s="27" t="str">
        <f>"43.0109"</f>
        <v>43.0109</v>
      </c>
      <c r="C1488" s="64" t="s">
        <v>836</v>
      </c>
      <c r="D1488" s="27" t="s">
        <v>2229</v>
      </c>
      <c r="E1488" s="27" t="s">
        <v>2232</v>
      </c>
      <c r="F1488" s="27" t="str">
        <f>"43.0109"</f>
        <v>43.0109</v>
      </c>
      <c r="G1488" s="27" t="s">
        <v>836</v>
      </c>
      <c r="H1488" s="65" t="str">
        <f t="shared" si="69"/>
        <v>No Change</v>
      </c>
      <c r="I1488" s="65" t="str">
        <f t="shared" si="70"/>
        <v>430109</v>
      </c>
      <c r="J1488" s="65" t="str">
        <f t="shared" si="71"/>
        <v>430109</v>
      </c>
    </row>
    <row r="1489" spans="1:10" x14ac:dyDescent="0.3">
      <c r="A1489" s="27" t="s">
        <v>4430</v>
      </c>
      <c r="B1489" s="27" t="str">
        <f>"43.0110"</f>
        <v>43.0110</v>
      </c>
      <c r="C1489" s="64" t="s">
        <v>4431</v>
      </c>
      <c r="D1489" s="27" t="s">
        <v>2229</v>
      </c>
      <c r="E1489" s="27" t="s">
        <v>2232</v>
      </c>
      <c r="F1489" s="27" t="str">
        <f>"43.0110"</f>
        <v>43.0110</v>
      </c>
      <c r="G1489" s="27" t="s">
        <v>4431</v>
      </c>
      <c r="H1489" s="65" t="str">
        <f t="shared" si="69"/>
        <v>No Change</v>
      </c>
      <c r="I1489" s="65" t="str">
        <f t="shared" si="70"/>
        <v>430110</v>
      </c>
      <c r="J1489" s="65" t="str">
        <f t="shared" si="71"/>
        <v>430110</v>
      </c>
    </row>
    <row r="1490" spans="1:10" x14ac:dyDescent="0.3">
      <c r="A1490" s="27" t="s">
        <v>4432</v>
      </c>
      <c r="B1490" s="27" t="str">
        <f>"43.0111"</f>
        <v>43.0111</v>
      </c>
      <c r="C1490" s="64" t="s">
        <v>4433</v>
      </c>
      <c r="D1490" s="27" t="s">
        <v>2274</v>
      </c>
      <c r="E1490" s="27" t="s">
        <v>2232</v>
      </c>
      <c r="F1490" s="27" t="str">
        <f>"43.0402"</f>
        <v>43.0402</v>
      </c>
      <c r="G1490" s="27" t="s">
        <v>4433</v>
      </c>
      <c r="H1490" s="65" t="str">
        <f t="shared" si="69"/>
        <v>Other</v>
      </c>
      <c r="I1490" s="65" t="str">
        <f t="shared" si="70"/>
        <v>430111</v>
      </c>
      <c r="J1490" s="65" t="str">
        <f t="shared" si="71"/>
        <v>430402</v>
      </c>
    </row>
    <row r="1491" spans="1:10" x14ac:dyDescent="0.3">
      <c r="A1491" s="27" t="s">
        <v>576</v>
      </c>
      <c r="B1491" s="27" t="str">
        <f>"43.0112"</f>
        <v>43.0112</v>
      </c>
      <c r="C1491" s="64" t="s">
        <v>577</v>
      </c>
      <c r="D1491" s="27" t="s">
        <v>2229</v>
      </c>
      <c r="E1491" s="27" t="s">
        <v>2232</v>
      </c>
      <c r="F1491" s="27" t="str">
        <f>"43.0112"</f>
        <v>43.0112</v>
      </c>
      <c r="G1491" s="27" t="s">
        <v>577</v>
      </c>
      <c r="H1491" s="65" t="str">
        <f t="shared" si="69"/>
        <v>No Change</v>
      </c>
      <c r="I1491" s="65" t="str">
        <f t="shared" si="70"/>
        <v>430112</v>
      </c>
      <c r="J1491" s="65" t="str">
        <f t="shared" si="71"/>
        <v>430112</v>
      </c>
    </row>
    <row r="1492" spans="1:10" x14ac:dyDescent="0.3">
      <c r="A1492" s="27" t="s">
        <v>4434</v>
      </c>
      <c r="B1492" s="27" t="str">
        <f>"43.0113"</f>
        <v>43.0113</v>
      </c>
      <c r="C1492" s="64" t="s">
        <v>4435</v>
      </c>
      <c r="D1492" s="27" t="s">
        <v>2229</v>
      </c>
      <c r="E1492" s="27" t="s">
        <v>2232</v>
      </c>
      <c r="F1492" s="27" t="str">
        <f>"43.0113"</f>
        <v>43.0113</v>
      </c>
      <c r="G1492" s="27" t="s">
        <v>4435</v>
      </c>
      <c r="H1492" s="65" t="str">
        <f t="shared" si="69"/>
        <v>No Change</v>
      </c>
      <c r="I1492" s="65" t="str">
        <f t="shared" si="70"/>
        <v>430113</v>
      </c>
      <c r="J1492" s="65" t="str">
        <f t="shared" si="71"/>
        <v>430113</v>
      </c>
    </row>
    <row r="1493" spans="1:10" x14ac:dyDescent="0.3">
      <c r="A1493" s="27" t="s">
        <v>4436</v>
      </c>
      <c r="B1493" s="27" t="str">
        <f>"43.0114"</f>
        <v>43.0114</v>
      </c>
      <c r="C1493" s="64" t="s">
        <v>4437</v>
      </c>
      <c r="D1493" s="27" t="s">
        <v>2229</v>
      </c>
      <c r="E1493" s="27" t="s">
        <v>2232</v>
      </c>
      <c r="F1493" s="27" t="str">
        <f>"43.0114"</f>
        <v>43.0114</v>
      </c>
      <c r="G1493" s="27" t="s">
        <v>4437</v>
      </c>
      <c r="H1493" s="65" t="str">
        <f t="shared" si="69"/>
        <v>No Change</v>
      </c>
      <c r="I1493" s="65" t="str">
        <f t="shared" si="70"/>
        <v>430114</v>
      </c>
      <c r="J1493" s="65" t="str">
        <f t="shared" si="71"/>
        <v>430114</v>
      </c>
    </row>
    <row r="1494" spans="1:10" x14ac:dyDescent="0.3">
      <c r="A1494" s="27" t="s">
        <v>4438</v>
      </c>
      <c r="B1494" s="27" t="str">
        <f>"43.0115"</f>
        <v>43.0115</v>
      </c>
      <c r="C1494" s="64" t="s">
        <v>4439</v>
      </c>
      <c r="D1494" s="27" t="s">
        <v>2229</v>
      </c>
      <c r="E1494" s="27" t="s">
        <v>2232</v>
      </c>
      <c r="F1494" s="27" t="str">
        <f>"43.0115"</f>
        <v>43.0115</v>
      </c>
      <c r="G1494" s="27" t="s">
        <v>4439</v>
      </c>
      <c r="H1494" s="65" t="str">
        <f t="shared" si="69"/>
        <v>No Change</v>
      </c>
      <c r="I1494" s="65" t="str">
        <f t="shared" si="70"/>
        <v>430115</v>
      </c>
      <c r="J1494" s="65" t="str">
        <f t="shared" si="71"/>
        <v>430115</v>
      </c>
    </row>
    <row r="1495" spans="1:10" x14ac:dyDescent="0.3">
      <c r="A1495" s="27" t="s">
        <v>691</v>
      </c>
      <c r="B1495" s="27" t="str">
        <f>"43.0116"</f>
        <v>43.0116</v>
      </c>
      <c r="C1495" s="64" t="s">
        <v>693</v>
      </c>
      <c r="D1495" s="27" t="s">
        <v>2274</v>
      </c>
      <c r="E1495" s="27" t="s">
        <v>2232</v>
      </c>
      <c r="F1495" s="27" t="str">
        <f>"43.0403"</f>
        <v>43.0403</v>
      </c>
      <c r="G1495" s="27" t="s">
        <v>693</v>
      </c>
      <c r="H1495" s="65" t="str">
        <f t="shared" si="69"/>
        <v>Other</v>
      </c>
      <c r="I1495" s="65" t="str">
        <f t="shared" si="70"/>
        <v>430116</v>
      </c>
      <c r="J1495" s="65" t="str">
        <f t="shared" si="71"/>
        <v>430403</v>
      </c>
    </row>
    <row r="1496" spans="1:10" x14ac:dyDescent="0.3">
      <c r="A1496" s="27" t="s">
        <v>4440</v>
      </c>
      <c r="B1496" s="27" t="str">
        <f>"43.0117"</f>
        <v>43.0117</v>
      </c>
      <c r="C1496" s="64" t="s">
        <v>4441</v>
      </c>
      <c r="D1496" s="27" t="s">
        <v>2274</v>
      </c>
      <c r="E1496" s="27" t="s">
        <v>2232</v>
      </c>
      <c r="F1496" s="27" t="str">
        <f>"43.0405"</f>
        <v>43.0405</v>
      </c>
      <c r="G1496" s="27" t="s">
        <v>4441</v>
      </c>
      <c r="H1496" s="65" t="str">
        <f t="shared" si="69"/>
        <v>Other</v>
      </c>
      <c r="I1496" s="65" t="str">
        <f t="shared" si="70"/>
        <v>430117</v>
      </c>
      <c r="J1496" s="65" t="str">
        <f t="shared" si="71"/>
        <v>430405</v>
      </c>
    </row>
    <row r="1497" spans="1:10" x14ac:dyDescent="0.3">
      <c r="A1497" s="27" t="s">
        <v>4442</v>
      </c>
      <c r="B1497" s="27" t="str">
        <f>"43.0118"</f>
        <v>43.0118</v>
      </c>
      <c r="C1497" s="64" t="s">
        <v>4443</v>
      </c>
      <c r="D1497" s="27" t="s">
        <v>2274</v>
      </c>
      <c r="E1497" s="27" t="s">
        <v>2232</v>
      </c>
      <c r="F1497" s="27" t="str">
        <f>"43.0408"</f>
        <v>43.0408</v>
      </c>
      <c r="G1497" s="27" t="s">
        <v>4443</v>
      </c>
      <c r="H1497" s="65" t="str">
        <f t="shared" si="69"/>
        <v>Other</v>
      </c>
      <c r="I1497" s="65" t="str">
        <f t="shared" si="70"/>
        <v>430118</v>
      </c>
      <c r="J1497" s="65" t="str">
        <f t="shared" si="71"/>
        <v>430408</v>
      </c>
    </row>
    <row r="1498" spans="1:10" x14ac:dyDescent="0.3">
      <c r="A1498" s="27" t="s">
        <v>4444</v>
      </c>
      <c r="B1498" s="27" t="str">
        <f>"43.0119"</f>
        <v>43.0119</v>
      </c>
      <c r="C1498" s="64" t="s">
        <v>4445</v>
      </c>
      <c r="D1498" s="27" t="s">
        <v>2229</v>
      </c>
      <c r="E1498" s="27" t="s">
        <v>2232</v>
      </c>
      <c r="F1498" s="27" t="str">
        <f>"43.0119"</f>
        <v>43.0119</v>
      </c>
      <c r="G1498" s="27" t="s">
        <v>4445</v>
      </c>
      <c r="H1498" s="65" t="str">
        <f t="shared" si="69"/>
        <v>No Change</v>
      </c>
      <c r="I1498" s="65" t="str">
        <f t="shared" si="70"/>
        <v>430119</v>
      </c>
      <c r="J1498" s="65" t="str">
        <f t="shared" si="71"/>
        <v>430119</v>
      </c>
    </row>
    <row r="1499" spans="1:10" x14ac:dyDescent="0.3">
      <c r="A1499" s="27" t="s">
        <v>4446</v>
      </c>
      <c r="B1499" s="27" t="str">
        <f>"43.0120"</f>
        <v>43.0120</v>
      </c>
      <c r="C1499" s="64" t="s">
        <v>4447</v>
      </c>
      <c r="D1499" s="27" t="s">
        <v>2229</v>
      </c>
      <c r="E1499" s="27" t="s">
        <v>2232</v>
      </c>
      <c r="F1499" s="27" t="str">
        <f>"43.0120"</f>
        <v>43.0120</v>
      </c>
      <c r="G1499" s="27" t="s">
        <v>4447</v>
      </c>
      <c r="H1499" s="65" t="str">
        <f t="shared" si="69"/>
        <v>No Change</v>
      </c>
      <c r="I1499" s="65" t="str">
        <f t="shared" si="70"/>
        <v>430120</v>
      </c>
      <c r="J1499" s="65" t="str">
        <f t="shared" si="71"/>
        <v>430120</v>
      </c>
    </row>
    <row r="1500" spans="1:10" x14ac:dyDescent="0.3">
      <c r="A1500" s="27" t="s">
        <v>4448</v>
      </c>
      <c r="B1500" s="27" t="str">
        <f>"43.0121"</f>
        <v>43.0121</v>
      </c>
      <c r="C1500" s="64" t="s">
        <v>4449</v>
      </c>
      <c r="D1500" s="27" t="s">
        <v>2229</v>
      </c>
      <c r="E1500" s="27" t="s">
        <v>2232</v>
      </c>
      <c r="F1500" s="27" t="str">
        <f>"43.0121"</f>
        <v>43.0121</v>
      </c>
      <c r="G1500" s="27" t="s">
        <v>4449</v>
      </c>
      <c r="H1500" s="65" t="str">
        <f t="shared" si="69"/>
        <v>No Change</v>
      </c>
      <c r="I1500" s="65" t="str">
        <f t="shared" si="70"/>
        <v>430121</v>
      </c>
      <c r="J1500" s="65" t="str">
        <f t="shared" si="71"/>
        <v>430121</v>
      </c>
    </row>
    <row r="1501" spans="1:10" x14ac:dyDescent="0.3">
      <c r="A1501" s="27" t="s">
        <v>4450</v>
      </c>
      <c r="B1501" s="27" t="str">
        <f>"43.0122"</f>
        <v>43.0122</v>
      </c>
      <c r="C1501" s="64" t="s">
        <v>4451</v>
      </c>
      <c r="D1501" s="27" t="s">
        <v>2229</v>
      </c>
      <c r="E1501" s="27" t="s">
        <v>2232</v>
      </c>
      <c r="F1501" s="27" t="str">
        <f>"43.0122"</f>
        <v>43.0122</v>
      </c>
      <c r="G1501" s="27" t="s">
        <v>4451</v>
      </c>
      <c r="H1501" s="65" t="str">
        <f t="shared" si="69"/>
        <v>No Change</v>
      </c>
      <c r="I1501" s="65" t="str">
        <f t="shared" si="70"/>
        <v>430122</v>
      </c>
      <c r="J1501" s="65" t="str">
        <f t="shared" si="71"/>
        <v>430122</v>
      </c>
    </row>
    <row r="1502" spans="1:10" x14ac:dyDescent="0.3">
      <c r="A1502" s="27" t="s">
        <v>4452</v>
      </c>
      <c r="B1502" s="27" t="str">
        <f>"43.0123"</f>
        <v>43.0123</v>
      </c>
      <c r="C1502" s="64" t="s">
        <v>4453</v>
      </c>
      <c r="D1502" s="27" t="s">
        <v>2229</v>
      </c>
      <c r="E1502" s="27" t="s">
        <v>2232</v>
      </c>
      <c r="F1502" s="27" t="str">
        <f>"43.0123"</f>
        <v>43.0123</v>
      </c>
      <c r="G1502" s="27" t="s">
        <v>4453</v>
      </c>
      <c r="H1502" s="65" t="str">
        <f t="shared" si="69"/>
        <v>No Change</v>
      </c>
      <c r="I1502" s="65" t="str">
        <f t="shared" si="70"/>
        <v>430123</v>
      </c>
      <c r="J1502" s="65" t="str">
        <f t="shared" si="71"/>
        <v>430123</v>
      </c>
    </row>
    <row r="1503" spans="1:10" x14ac:dyDescent="0.3">
      <c r="A1503" s="27" t="s">
        <v>749</v>
      </c>
      <c r="B1503" s="27" t="str">
        <f>"43.0199"</f>
        <v>43.0199</v>
      </c>
      <c r="C1503" s="64" t="s">
        <v>750</v>
      </c>
      <c r="D1503" s="27" t="s">
        <v>2229</v>
      </c>
      <c r="E1503" s="27" t="s">
        <v>2232</v>
      </c>
      <c r="F1503" s="27" t="str">
        <f>"43.0199"</f>
        <v>43.0199</v>
      </c>
      <c r="G1503" s="27" t="s">
        <v>750</v>
      </c>
      <c r="H1503" s="65" t="str">
        <f t="shared" si="69"/>
        <v>No Change</v>
      </c>
      <c r="I1503" s="65" t="str">
        <f t="shared" si="70"/>
        <v>430199</v>
      </c>
      <c r="J1503" s="65" t="str">
        <f t="shared" si="71"/>
        <v>430199</v>
      </c>
    </row>
    <row r="1504" spans="1:10" x14ac:dyDescent="0.3">
      <c r="A1504" s="27" t="s">
        <v>1869</v>
      </c>
      <c r="B1504" s="27" t="str">
        <f>"43.02"</f>
        <v>43.02</v>
      </c>
      <c r="C1504" s="64" t="s">
        <v>4454</v>
      </c>
      <c r="D1504" s="27" t="s">
        <v>2229</v>
      </c>
      <c r="E1504" s="27" t="s">
        <v>2232</v>
      </c>
      <c r="F1504" s="27" t="str">
        <f>"43.02"</f>
        <v>43.02</v>
      </c>
      <c r="G1504" s="27" t="s">
        <v>4454</v>
      </c>
      <c r="H1504" s="65" t="str">
        <f t="shared" si="69"/>
        <v>No Change</v>
      </c>
      <c r="I1504" s="65" t="str">
        <f t="shared" si="70"/>
        <v/>
      </c>
      <c r="J1504" s="65" t="str">
        <f t="shared" si="71"/>
        <v/>
      </c>
    </row>
    <row r="1505" spans="1:10" x14ac:dyDescent="0.3">
      <c r="A1505" s="27" t="s">
        <v>376</v>
      </c>
      <c r="B1505" s="27" t="str">
        <f>"43.0201"</f>
        <v>43.0201</v>
      </c>
      <c r="C1505" s="64" t="s">
        <v>377</v>
      </c>
      <c r="D1505" s="27" t="s">
        <v>2229</v>
      </c>
      <c r="E1505" s="27" t="s">
        <v>2232</v>
      </c>
      <c r="F1505" s="27" t="str">
        <f>"43.0201"</f>
        <v>43.0201</v>
      </c>
      <c r="G1505" s="27" t="s">
        <v>377</v>
      </c>
      <c r="H1505" s="65" t="str">
        <f t="shared" si="69"/>
        <v>No Change</v>
      </c>
      <c r="I1505" s="65" t="str">
        <f t="shared" si="70"/>
        <v>430201</v>
      </c>
      <c r="J1505" s="65" t="str">
        <f t="shared" si="71"/>
        <v>430201</v>
      </c>
    </row>
    <row r="1506" spans="1:10" x14ac:dyDescent="0.3">
      <c r="A1506" s="27" t="s">
        <v>1825</v>
      </c>
      <c r="B1506" s="27" t="str">
        <f>"43.0202"</f>
        <v>43.0202</v>
      </c>
      <c r="C1506" s="64" t="s">
        <v>4455</v>
      </c>
      <c r="D1506" s="27" t="s">
        <v>2229</v>
      </c>
      <c r="E1506" s="27" t="s">
        <v>2232</v>
      </c>
      <c r="F1506" s="27" t="str">
        <f>"43.0202"</f>
        <v>43.0202</v>
      </c>
      <c r="G1506" s="27" t="s">
        <v>4455</v>
      </c>
      <c r="H1506" s="65" t="str">
        <f t="shared" si="69"/>
        <v>No Change</v>
      </c>
      <c r="I1506" s="65" t="str">
        <f t="shared" si="70"/>
        <v>430202</v>
      </c>
      <c r="J1506" s="65" t="str">
        <f t="shared" si="71"/>
        <v>430202</v>
      </c>
    </row>
    <row r="1507" spans="1:10" x14ac:dyDescent="0.3">
      <c r="A1507" s="27" t="s">
        <v>76</v>
      </c>
      <c r="B1507" s="27" t="str">
        <f>"43.0203"</f>
        <v>43.0203</v>
      </c>
      <c r="C1507" s="64" t="s">
        <v>77</v>
      </c>
      <c r="D1507" s="27" t="s">
        <v>2229</v>
      </c>
      <c r="E1507" s="27" t="s">
        <v>2232</v>
      </c>
      <c r="F1507" s="27" t="str">
        <f>"43.0203"</f>
        <v>43.0203</v>
      </c>
      <c r="G1507" s="27" t="s">
        <v>77</v>
      </c>
      <c r="H1507" s="65" t="str">
        <f t="shared" si="69"/>
        <v>No Change</v>
      </c>
      <c r="I1507" s="65" t="str">
        <f t="shared" si="70"/>
        <v>430203</v>
      </c>
      <c r="J1507" s="65" t="str">
        <f t="shared" si="71"/>
        <v>430203</v>
      </c>
    </row>
    <row r="1508" spans="1:10" x14ac:dyDescent="0.3">
      <c r="A1508" s="27" t="s">
        <v>4456</v>
      </c>
      <c r="B1508" s="27" t="str">
        <f>"43.0204"</f>
        <v>43.0204</v>
      </c>
      <c r="C1508" s="64" t="s">
        <v>4457</v>
      </c>
      <c r="D1508" s="27" t="s">
        <v>2229</v>
      </c>
      <c r="E1508" s="27" t="s">
        <v>2232</v>
      </c>
      <c r="F1508" s="27" t="str">
        <f>"43.0204"</f>
        <v>43.0204</v>
      </c>
      <c r="G1508" s="27" t="s">
        <v>4457</v>
      </c>
      <c r="H1508" s="65" t="str">
        <f t="shared" si="69"/>
        <v>No Change</v>
      </c>
      <c r="I1508" s="65" t="str">
        <f t="shared" si="70"/>
        <v>430204</v>
      </c>
      <c r="J1508" s="65" t="str">
        <f t="shared" si="71"/>
        <v>430204</v>
      </c>
    </row>
    <row r="1509" spans="1:10" x14ac:dyDescent="0.3">
      <c r="A1509" s="27" t="s">
        <v>4458</v>
      </c>
      <c r="B1509" s="27" t="str">
        <f>"43.0205"</f>
        <v>43.0205</v>
      </c>
      <c r="C1509" s="64" t="s">
        <v>4459</v>
      </c>
      <c r="D1509" s="27" t="s">
        <v>2229</v>
      </c>
      <c r="E1509" s="27" t="s">
        <v>2232</v>
      </c>
      <c r="F1509" s="27" t="str">
        <f>"43.0205"</f>
        <v>43.0205</v>
      </c>
      <c r="G1509" s="27" t="s">
        <v>4459</v>
      </c>
      <c r="H1509" s="65" t="str">
        <f t="shared" si="69"/>
        <v>No Change</v>
      </c>
      <c r="I1509" s="65" t="str">
        <f t="shared" si="70"/>
        <v>430205</v>
      </c>
      <c r="J1509" s="65" t="str">
        <f t="shared" si="71"/>
        <v>430205</v>
      </c>
    </row>
    <row r="1510" spans="1:10" x14ac:dyDescent="0.3">
      <c r="A1510" s="27" t="s">
        <v>4460</v>
      </c>
      <c r="B1510" s="27" t="str">
        <f>"43.0206"</f>
        <v>43.0206</v>
      </c>
      <c r="C1510" s="64" t="s">
        <v>4461</v>
      </c>
      <c r="D1510" s="27" t="s">
        <v>2229</v>
      </c>
      <c r="E1510" s="27" t="s">
        <v>2232</v>
      </c>
      <c r="F1510" s="27" t="str">
        <f>"43.0206"</f>
        <v>43.0206</v>
      </c>
      <c r="G1510" s="27" t="s">
        <v>4461</v>
      </c>
      <c r="H1510" s="65" t="str">
        <f t="shared" si="69"/>
        <v>No Change</v>
      </c>
      <c r="I1510" s="65" t="str">
        <f t="shared" si="70"/>
        <v>430206</v>
      </c>
      <c r="J1510" s="65" t="str">
        <f t="shared" si="71"/>
        <v>430206</v>
      </c>
    </row>
    <row r="1511" spans="1:10" x14ac:dyDescent="0.3">
      <c r="A1511" s="27" t="s">
        <v>4462</v>
      </c>
      <c r="B1511" s="27" t="str">
        <f>"43.0299"</f>
        <v>43.0299</v>
      </c>
      <c r="C1511" s="64" t="s">
        <v>4463</v>
      </c>
      <c r="D1511" s="27" t="s">
        <v>2229</v>
      </c>
      <c r="E1511" s="27" t="s">
        <v>2232</v>
      </c>
      <c r="F1511" s="27" t="str">
        <f>"43.0299"</f>
        <v>43.0299</v>
      </c>
      <c r="G1511" s="27" t="s">
        <v>4463</v>
      </c>
      <c r="H1511" s="65" t="str">
        <f t="shared" si="69"/>
        <v>No Change</v>
      </c>
      <c r="I1511" s="65" t="str">
        <f t="shared" si="70"/>
        <v>430299</v>
      </c>
      <c r="J1511" s="65" t="str">
        <f t="shared" si="71"/>
        <v>430299</v>
      </c>
    </row>
    <row r="1512" spans="1:10" x14ac:dyDescent="0.3">
      <c r="A1512" s="27" t="s">
        <v>1869</v>
      </c>
      <c r="B1512" s="27" t="str">
        <f>"43.03"</f>
        <v>43.03</v>
      </c>
      <c r="C1512" s="64" t="s">
        <v>4464</v>
      </c>
      <c r="D1512" s="27" t="s">
        <v>2229</v>
      </c>
      <c r="E1512" s="27" t="s">
        <v>2232</v>
      </c>
      <c r="F1512" s="27" t="str">
        <f>"43.03"</f>
        <v>43.03</v>
      </c>
      <c r="G1512" s="27" t="s">
        <v>4464</v>
      </c>
      <c r="H1512" s="65" t="str">
        <f t="shared" si="69"/>
        <v>No Change</v>
      </c>
      <c r="I1512" s="65" t="str">
        <f t="shared" si="70"/>
        <v/>
      </c>
      <c r="J1512" s="65" t="str">
        <f t="shared" si="71"/>
        <v/>
      </c>
    </row>
    <row r="1513" spans="1:10" x14ac:dyDescent="0.3">
      <c r="A1513" s="27" t="s">
        <v>4465</v>
      </c>
      <c r="B1513" s="27" t="str">
        <f>"43.0301"</f>
        <v>43.0301</v>
      </c>
      <c r="C1513" s="64" t="s">
        <v>4464</v>
      </c>
      <c r="D1513" s="27" t="s">
        <v>2229</v>
      </c>
      <c r="E1513" s="27" t="s">
        <v>2232</v>
      </c>
      <c r="F1513" s="27" t="str">
        <f>"43.0301"</f>
        <v>43.0301</v>
      </c>
      <c r="G1513" s="27" t="s">
        <v>4464</v>
      </c>
      <c r="H1513" s="65" t="str">
        <f t="shared" si="69"/>
        <v>No Change</v>
      </c>
      <c r="I1513" s="65" t="str">
        <f t="shared" si="70"/>
        <v>430301</v>
      </c>
      <c r="J1513" s="65" t="str">
        <f t="shared" si="71"/>
        <v>430301</v>
      </c>
    </row>
    <row r="1514" spans="1:10" x14ac:dyDescent="0.3">
      <c r="A1514" s="27" t="s">
        <v>320</v>
      </c>
      <c r="B1514" s="27" t="str">
        <f>"43.0302"</f>
        <v>43.0302</v>
      </c>
      <c r="C1514" s="64" t="s">
        <v>321</v>
      </c>
      <c r="D1514" s="27" t="s">
        <v>2229</v>
      </c>
      <c r="E1514" s="27" t="s">
        <v>2232</v>
      </c>
      <c r="F1514" s="27" t="str">
        <f>"43.0302"</f>
        <v>43.0302</v>
      </c>
      <c r="G1514" s="27" t="s">
        <v>321</v>
      </c>
      <c r="H1514" s="65" t="str">
        <f t="shared" si="69"/>
        <v>No Change</v>
      </c>
      <c r="I1514" s="65" t="str">
        <f t="shared" si="70"/>
        <v>430302</v>
      </c>
      <c r="J1514" s="65" t="str">
        <f t="shared" si="71"/>
        <v>430302</v>
      </c>
    </row>
    <row r="1515" spans="1:10" x14ac:dyDescent="0.3">
      <c r="A1515" s="27" t="s">
        <v>4466</v>
      </c>
      <c r="B1515" s="27" t="str">
        <f>"43.0303"</f>
        <v>43.0303</v>
      </c>
      <c r="C1515" s="64" t="s">
        <v>4467</v>
      </c>
      <c r="D1515" s="27" t="s">
        <v>2229</v>
      </c>
      <c r="E1515" s="27" t="s">
        <v>2232</v>
      </c>
      <c r="F1515" s="27" t="str">
        <f>"43.0303"</f>
        <v>43.0303</v>
      </c>
      <c r="G1515" s="27" t="s">
        <v>4467</v>
      </c>
      <c r="H1515" s="65" t="str">
        <f t="shared" si="69"/>
        <v>No Change</v>
      </c>
      <c r="I1515" s="65" t="str">
        <f t="shared" si="70"/>
        <v>430303</v>
      </c>
      <c r="J1515" s="65" t="str">
        <f t="shared" si="71"/>
        <v>430303</v>
      </c>
    </row>
    <row r="1516" spans="1:10" x14ac:dyDescent="0.3">
      <c r="A1516" s="27" t="s">
        <v>4468</v>
      </c>
      <c r="B1516" s="27" t="str">
        <f>"43.0304"</f>
        <v>43.0304</v>
      </c>
      <c r="C1516" s="64" t="s">
        <v>4469</v>
      </c>
      <c r="D1516" s="27" t="s">
        <v>2229</v>
      </c>
      <c r="E1516" s="27" t="s">
        <v>2232</v>
      </c>
      <c r="F1516" s="27" t="str">
        <f>"43.0304"</f>
        <v>43.0304</v>
      </c>
      <c r="G1516" s="27" t="s">
        <v>4469</v>
      </c>
      <c r="H1516" s="65" t="str">
        <f t="shared" si="69"/>
        <v>No Change</v>
      </c>
      <c r="I1516" s="65" t="str">
        <f t="shared" si="70"/>
        <v>430304</v>
      </c>
      <c r="J1516" s="65" t="str">
        <f t="shared" si="71"/>
        <v>430304</v>
      </c>
    </row>
    <row r="1517" spans="1:10" x14ac:dyDescent="0.3">
      <c r="A1517" s="27" t="s">
        <v>607</v>
      </c>
      <c r="B1517" s="27" t="str">
        <f>"43.0399"</f>
        <v>43.0399</v>
      </c>
      <c r="C1517" s="64" t="s">
        <v>608</v>
      </c>
      <c r="D1517" s="27" t="s">
        <v>2229</v>
      </c>
      <c r="E1517" s="27" t="s">
        <v>2232</v>
      </c>
      <c r="F1517" s="27" t="str">
        <f>"43.0399"</f>
        <v>43.0399</v>
      </c>
      <c r="G1517" s="27" t="s">
        <v>608</v>
      </c>
      <c r="H1517" s="65" t="str">
        <f t="shared" si="69"/>
        <v>No Change</v>
      </c>
      <c r="I1517" s="65" t="str">
        <f t="shared" si="70"/>
        <v>430399</v>
      </c>
      <c r="J1517" s="65" t="str">
        <f t="shared" si="71"/>
        <v>430399</v>
      </c>
    </row>
    <row r="1518" spans="1:10" x14ac:dyDescent="0.3">
      <c r="A1518" s="27" t="s">
        <v>1869</v>
      </c>
      <c r="D1518" s="27" t="s">
        <v>2255</v>
      </c>
      <c r="E1518" s="27" t="s">
        <v>2232</v>
      </c>
      <c r="F1518" s="27" t="str">
        <f>"43.04"</f>
        <v>43.04</v>
      </c>
      <c r="G1518" s="27" t="s">
        <v>4470</v>
      </c>
      <c r="H1518" s="65" t="str">
        <f t="shared" si="69"/>
        <v>No Change</v>
      </c>
      <c r="I1518" s="65" t="str">
        <f t="shared" si="70"/>
        <v/>
      </c>
      <c r="J1518" s="65" t="str">
        <f t="shared" si="71"/>
        <v/>
      </c>
    </row>
    <row r="1519" spans="1:10" x14ac:dyDescent="0.3">
      <c r="A1519" s="27" t="s">
        <v>1869</v>
      </c>
      <c r="D1519" s="27" t="s">
        <v>2255</v>
      </c>
      <c r="E1519" s="27" t="s">
        <v>2232</v>
      </c>
      <c r="F1519" s="27" t="str">
        <f>"43.0401"</f>
        <v>43.0401</v>
      </c>
      <c r="G1519" s="27" t="s">
        <v>4471</v>
      </c>
      <c r="H1519" s="65" t="str">
        <f t="shared" si="69"/>
        <v>Other</v>
      </c>
      <c r="I1519" s="65" t="str">
        <f t="shared" si="70"/>
        <v/>
      </c>
      <c r="J1519" s="65" t="str">
        <f t="shared" si="71"/>
        <v>430401</v>
      </c>
    </row>
    <row r="1520" spans="1:10" x14ac:dyDescent="0.3">
      <c r="A1520" s="27" t="s">
        <v>1869</v>
      </c>
      <c r="D1520" s="27" t="s">
        <v>2255</v>
      </c>
      <c r="E1520" s="27" t="s">
        <v>2232</v>
      </c>
      <c r="F1520" s="27" t="str">
        <f>"43.0404"</f>
        <v>43.0404</v>
      </c>
      <c r="G1520" s="27" t="s">
        <v>4472</v>
      </c>
      <c r="H1520" s="65" t="str">
        <f t="shared" si="69"/>
        <v>Other</v>
      </c>
      <c r="I1520" s="65" t="str">
        <f t="shared" si="70"/>
        <v/>
      </c>
      <c r="J1520" s="65" t="str">
        <f t="shared" si="71"/>
        <v>430404</v>
      </c>
    </row>
    <row r="1521" spans="1:10" x14ac:dyDescent="0.3">
      <c r="A1521" s="27" t="s">
        <v>1869</v>
      </c>
      <c r="D1521" s="27" t="s">
        <v>2255</v>
      </c>
      <c r="E1521" s="27" t="s">
        <v>2232</v>
      </c>
      <c r="F1521" s="27" t="str">
        <f>"43.0407"</f>
        <v>43.0407</v>
      </c>
      <c r="G1521" s="27" t="s">
        <v>4473</v>
      </c>
      <c r="H1521" s="65" t="str">
        <f t="shared" si="69"/>
        <v>Other</v>
      </c>
      <c r="I1521" s="65" t="str">
        <f t="shared" si="70"/>
        <v/>
      </c>
      <c r="J1521" s="65" t="str">
        <f t="shared" si="71"/>
        <v>430407</v>
      </c>
    </row>
    <row r="1522" spans="1:10" x14ac:dyDescent="0.3">
      <c r="A1522" s="27" t="s">
        <v>1869</v>
      </c>
      <c r="D1522" s="27" t="s">
        <v>2255</v>
      </c>
      <c r="E1522" s="27" t="s">
        <v>2232</v>
      </c>
      <c r="F1522" s="27" t="str">
        <f>"43.0499"</f>
        <v>43.0499</v>
      </c>
      <c r="G1522" s="27" t="s">
        <v>4474</v>
      </c>
      <c r="H1522" s="65" t="str">
        <f t="shared" si="69"/>
        <v>Other</v>
      </c>
      <c r="I1522" s="65" t="str">
        <f t="shared" si="70"/>
        <v/>
      </c>
      <c r="J1522" s="65" t="str">
        <f t="shared" si="71"/>
        <v>430499</v>
      </c>
    </row>
    <row r="1523" spans="1:10" ht="28.8" x14ac:dyDescent="0.3">
      <c r="A1523" s="27" t="s">
        <v>1869</v>
      </c>
      <c r="B1523" s="27" t="str">
        <f>"43.99"</f>
        <v>43.99</v>
      </c>
      <c r="C1523" s="64" t="s">
        <v>4475</v>
      </c>
      <c r="D1523" s="27" t="s">
        <v>2229</v>
      </c>
      <c r="E1523" s="27" t="s">
        <v>2232</v>
      </c>
      <c r="F1523" s="27" t="str">
        <f>"43.99"</f>
        <v>43.99</v>
      </c>
      <c r="G1523" s="27" t="s">
        <v>4475</v>
      </c>
      <c r="H1523" s="65" t="str">
        <f t="shared" si="69"/>
        <v>No Change</v>
      </c>
      <c r="I1523" s="65" t="str">
        <f t="shared" si="70"/>
        <v/>
      </c>
      <c r="J1523" s="65" t="str">
        <f t="shared" si="71"/>
        <v/>
      </c>
    </row>
    <row r="1524" spans="1:10" ht="28.8" x14ac:dyDescent="0.3">
      <c r="A1524" s="27" t="s">
        <v>4476</v>
      </c>
      <c r="B1524" s="27" t="str">
        <f>"43.9999"</f>
        <v>43.9999</v>
      </c>
      <c r="C1524" s="64" t="s">
        <v>4475</v>
      </c>
      <c r="D1524" s="27" t="s">
        <v>2229</v>
      </c>
      <c r="E1524" s="27" t="s">
        <v>2232</v>
      </c>
      <c r="F1524" s="27" t="str">
        <f>"43.9999"</f>
        <v>43.9999</v>
      </c>
      <c r="G1524" s="27" t="s">
        <v>4475</v>
      </c>
      <c r="H1524" s="65" t="str">
        <f t="shared" si="69"/>
        <v>No Change</v>
      </c>
      <c r="I1524" s="65" t="str">
        <f t="shared" si="70"/>
        <v>439999</v>
      </c>
      <c r="J1524" s="65" t="str">
        <f t="shared" si="71"/>
        <v>439999</v>
      </c>
    </row>
    <row r="1525" spans="1:10" x14ac:dyDescent="0.3">
      <c r="A1525" s="27" t="s">
        <v>1869</v>
      </c>
      <c r="B1525" s="27" t="str">
        <f>"44"</f>
        <v>44</v>
      </c>
      <c r="C1525" s="64" t="s">
        <v>4477</v>
      </c>
      <c r="D1525" s="27" t="s">
        <v>2229</v>
      </c>
      <c r="E1525" s="27" t="s">
        <v>2232</v>
      </c>
      <c r="F1525" s="27" t="str">
        <f>"44"</f>
        <v>44</v>
      </c>
      <c r="G1525" s="27" t="s">
        <v>4477</v>
      </c>
      <c r="H1525" s="65" t="str">
        <f t="shared" si="69"/>
        <v>No Change</v>
      </c>
      <c r="I1525" s="65" t="str">
        <f t="shared" si="70"/>
        <v/>
      </c>
      <c r="J1525" s="65" t="str">
        <f t="shared" si="71"/>
        <v/>
      </c>
    </row>
    <row r="1526" spans="1:10" x14ac:dyDescent="0.3">
      <c r="A1526" s="27" t="s">
        <v>1869</v>
      </c>
      <c r="B1526" s="27" t="str">
        <f>"44.00"</f>
        <v>44.00</v>
      </c>
      <c r="C1526" s="64" t="s">
        <v>4478</v>
      </c>
      <c r="D1526" s="27" t="s">
        <v>2229</v>
      </c>
      <c r="E1526" s="27" t="s">
        <v>2232</v>
      </c>
      <c r="F1526" s="27" t="str">
        <f>"44.00"</f>
        <v>44.00</v>
      </c>
      <c r="G1526" s="27" t="s">
        <v>4478</v>
      </c>
      <c r="H1526" s="65" t="str">
        <f t="shared" si="69"/>
        <v>No Change</v>
      </c>
      <c r="I1526" s="65" t="str">
        <f t="shared" si="70"/>
        <v/>
      </c>
      <c r="J1526" s="65" t="str">
        <f t="shared" si="71"/>
        <v/>
      </c>
    </row>
    <row r="1527" spans="1:10" x14ac:dyDescent="0.3">
      <c r="A1527" s="27" t="s">
        <v>4479</v>
      </c>
      <c r="B1527" s="27" t="str">
        <f>"44.0000"</f>
        <v>44.0000</v>
      </c>
      <c r="C1527" s="64" t="s">
        <v>4478</v>
      </c>
      <c r="D1527" s="27" t="s">
        <v>2229</v>
      </c>
      <c r="E1527" s="27" t="s">
        <v>2232</v>
      </c>
      <c r="F1527" s="27" t="str">
        <f>"44.0000"</f>
        <v>44.0000</v>
      </c>
      <c r="G1527" s="27" t="s">
        <v>4478</v>
      </c>
      <c r="H1527" s="65" t="str">
        <f t="shared" si="69"/>
        <v>No Change</v>
      </c>
      <c r="I1527" s="65" t="str">
        <f t="shared" si="70"/>
        <v>440000</v>
      </c>
      <c r="J1527" s="65" t="str">
        <f t="shared" si="71"/>
        <v>440000</v>
      </c>
    </row>
    <row r="1528" spans="1:10" x14ac:dyDescent="0.3">
      <c r="A1528" s="27" t="s">
        <v>1869</v>
      </c>
      <c r="B1528" s="27" t="str">
        <f>"44.02"</f>
        <v>44.02</v>
      </c>
      <c r="C1528" s="64" t="s">
        <v>4480</v>
      </c>
      <c r="D1528" s="27" t="s">
        <v>2229</v>
      </c>
      <c r="E1528" s="27" t="s">
        <v>2232</v>
      </c>
      <c r="F1528" s="27" t="str">
        <f>"44.02"</f>
        <v>44.02</v>
      </c>
      <c r="G1528" s="27" t="s">
        <v>4480</v>
      </c>
      <c r="H1528" s="65" t="str">
        <f t="shared" si="69"/>
        <v>No Change</v>
      </c>
      <c r="I1528" s="65" t="str">
        <f t="shared" si="70"/>
        <v/>
      </c>
      <c r="J1528" s="65" t="str">
        <f t="shared" si="71"/>
        <v/>
      </c>
    </row>
    <row r="1529" spans="1:10" x14ac:dyDescent="0.3">
      <c r="A1529" s="27" t="s">
        <v>4481</v>
      </c>
      <c r="B1529" s="27" t="str">
        <f>"44.0201"</f>
        <v>44.0201</v>
      </c>
      <c r="C1529" s="64" t="s">
        <v>4480</v>
      </c>
      <c r="D1529" s="27" t="s">
        <v>2229</v>
      </c>
      <c r="E1529" s="27" t="s">
        <v>2230</v>
      </c>
      <c r="F1529" s="27" t="str">
        <f>"44.0201"</f>
        <v>44.0201</v>
      </c>
      <c r="G1529" s="27" t="s">
        <v>4480</v>
      </c>
      <c r="H1529" s="65" t="str">
        <f t="shared" si="69"/>
        <v>No Change</v>
      </c>
      <c r="I1529" s="65" t="str">
        <f t="shared" si="70"/>
        <v>440201</v>
      </c>
      <c r="J1529" s="65" t="str">
        <f t="shared" si="71"/>
        <v>440201</v>
      </c>
    </row>
    <row r="1530" spans="1:10" x14ac:dyDescent="0.3">
      <c r="A1530" s="27" t="s">
        <v>1869</v>
      </c>
      <c r="B1530" s="27" t="str">
        <f>"44.04"</f>
        <v>44.04</v>
      </c>
      <c r="C1530" s="64" t="s">
        <v>4482</v>
      </c>
      <c r="D1530" s="27" t="s">
        <v>2229</v>
      </c>
      <c r="E1530" s="27" t="s">
        <v>2232</v>
      </c>
      <c r="F1530" s="27" t="str">
        <f>"44.04"</f>
        <v>44.04</v>
      </c>
      <c r="G1530" s="27" t="s">
        <v>4482</v>
      </c>
      <c r="H1530" s="65" t="str">
        <f t="shared" si="69"/>
        <v>No Change</v>
      </c>
      <c r="I1530" s="65" t="str">
        <f t="shared" si="70"/>
        <v/>
      </c>
      <c r="J1530" s="65" t="str">
        <f t="shared" si="71"/>
        <v/>
      </c>
    </row>
    <row r="1531" spans="1:10" x14ac:dyDescent="0.3">
      <c r="A1531" s="27" t="s">
        <v>4483</v>
      </c>
      <c r="B1531" s="27" t="str">
        <f>"44.0401"</f>
        <v>44.0401</v>
      </c>
      <c r="C1531" s="64" t="s">
        <v>4482</v>
      </c>
      <c r="D1531" s="27" t="s">
        <v>2229</v>
      </c>
      <c r="E1531" s="27" t="s">
        <v>2232</v>
      </c>
      <c r="F1531" s="27" t="str">
        <f>"44.0401"</f>
        <v>44.0401</v>
      </c>
      <c r="G1531" s="27" t="s">
        <v>4482</v>
      </c>
      <c r="H1531" s="65" t="str">
        <f t="shared" si="69"/>
        <v>No Change</v>
      </c>
      <c r="I1531" s="65" t="str">
        <f t="shared" si="70"/>
        <v>440401</v>
      </c>
      <c r="J1531" s="65" t="str">
        <f t="shared" si="71"/>
        <v>440401</v>
      </c>
    </row>
    <row r="1532" spans="1:10" x14ac:dyDescent="0.3">
      <c r="A1532" s="27" t="s">
        <v>1869</v>
      </c>
      <c r="D1532" s="27" t="s">
        <v>2255</v>
      </c>
      <c r="E1532" s="27" t="s">
        <v>2232</v>
      </c>
      <c r="F1532" s="27" t="str">
        <f>"44.0402"</f>
        <v>44.0402</v>
      </c>
      <c r="G1532" s="27" t="s">
        <v>4484</v>
      </c>
      <c r="H1532" s="65" t="str">
        <f t="shared" si="69"/>
        <v>Other</v>
      </c>
      <c r="I1532" s="65" t="str">
        <f t="shared" si="70"/>
        <v/>
      </c>
      <c r="J1532" s="65" t="str">
        <f t="shared" si="71"/>
        <v>440402</v>
      </c>
    </row>
    <row r="1533" spans="1:10" x14ac:dyDescent="0.3">
      <c r="A1533" s="27" t="s">
        <v>1869</v>
      </c>
      <c r="D1533" s="27" t="s">
        <v>2255</v>
      </c>
      <c r="E1533" s="27" t="s">
        <v>2232</v>
      </c>
      <c r="F1533" s="27" t="str">
        <f>"44.0403"</f>
        <v>44.0403</v>
      </c>
      <c r="G1533" s="27" t="s">
        <v>4485</v>
      </c>
      <c r="H1533" s="65" t="str">
        <f t="shared" si="69"/>
        <v>Other</v>
      </c>
      <c r="I1533" s="65" t="str">
        <f t="shared" si="70"/>
        <v/>
      </c>
      <c r="J1533" s="65" t="str">
        <f t="shared" si="71"/>
        <v>440403</v>
      </c>
    </row>
    <row r="1534" spans="1:10" x14ac:dyDescent="0.3">
      <c r="A1534" s="27" t="s">
        <v>1869</v>
      </c>
      <c r="D1534" s="27" t="s">
        <v>2255</v>
      </c>
      <c r="E1534" s="27" t="s">
        <v>2232</v>
      </c>
      <c r="F1534" s="27" t="str">
        <f>"44.0499"</f>
        <v>44.0499</v>
      </c>
      <c r="G1534" s="27" t="s">
        <v>4486</v>
      </c>
      <c r="H1534" s="65" t="str">
        <f t="shared" si="69"/>
        <v>Other</v>
      </c>
      <c r="I1534" s="65" t="str">
        <f t="shared" si="70"/>
        <v/>
      </c>
      <c r="J1534" s="65" t="str">
        <f t="shared" si="71"/>
        <v>440499</v>
      </c>
    </row>
    <row r="1535" spans="1:10" x14ac:dyDescent="0.3">
      <c r="A1535" s="27" t="s">
        <v>1869</v>
      </c>
      <c r="B1535" s="27" t="str">
        <f>"44.05"</f>
        <v>44.05</v>
      </c>
      <c r="C1535" s="64" t="s">
        <v>4487</v>
      </c>
      <c r="D1535" s="27" t="s">
        <v>2229</v>
      </c>
      <c r="E1535" s="27" t="s">
        <v>2232</v>
      </c>
      <c r="F1535" s="27" t="str">
        <f>"44.05"</f>
        <v>44.05</v>
      </c>
      <c r="G1535" s="27" t="s">
        <v>4487</v>
      </c>
      <c r="H1535" s="65" t="str">
        <f t="shared" si="69"/>
        <v>No Change</v>
      </c>
      <c r="I1535" s="65" t="str">
        <f t="shared" si="70"/>
        <v/>
      </c>
      <c r="J1535" s="65" t="str">
        <f t="shared" si="71"/>
        <v/>
      </c>
    </row>
    <row r="1536" spans="1:10" x14ac:dyDescent="0.3">
      <c r="A1536" s="27" t="s">
        <v>4488</v>
      </c>
      <c r="B1536" s="27" t="str">
        <f>"44.0501"</f>
        <v>44.0501</v>
      </c>
      <c r="C1536" s="64" t="s">
        <v>4489</v>
      </c>
      <c r="D1536" s="27" t="s">
        <v>2229</v>
      </c>
      <c r="E1536" s="27" t="s">
        <v>2232</v>
      </c>
      <c r="F1536" s="27" t="str">
        <f>"44.0501"</f>
        <v>44.0501</v>
      </c>
      <c r="G1536" s="27" t="s">
        <v>4489</v>
      </c>
      <c r="H1536" s="65" t="str">
        <f t="shared" si="69"/>
        <v>No Change</v>
      </c>
      <c r="I1536" s="65" t="str">
        <f t="shared" si="70"/>
        <v>440501</v>
      </c>
      <c r="J1536" s="65" t="str">
        <f t="shared" si="71"/>
        <v>440501</v>
      </c>
    </row>
    <row r="1537" spans="1:10" x14ac:dyDescent="0.3">
      <c r="A1537" s="27" t="s">
        <v>4490</v>
      </c>
      <c r="B1537" s="27" t="str">
        <f>"44.0502"</f>
        <v>44.0502</v>
      </c>
      <c r="C1537" s="64" t="s">
        <v>4491</v>
      </c>
      <c r="D1537" s="27" t="s">
        <v>2229</v>
      </c>
      <c r="E1537" s="27" t="s">
        <v>2232</v>
      </c>
      <c r="F1537" s="27" t="str">
        <f>"44.0502"</f>
        <v>44.0502</v>
      </c>
      <c r="G1537" s="27" t="s">
        <v>4491</v>
      </c>
      <c r="H1537" s="65" t="str">
        <f t="shared" si="69"/>
        <v>No Change</v>
      </c>
      <c r="I1537" s="65" t="str">
        <f t="shared" si="70"/>
        <v>440502</v>
      </c>
      <c r="J1537" s="65" t="str">
        <f t="shared" si="71"/>
        <v>440502</v>
      </c>
    </row>
    <row r="1538" spans="1:10" x14ac:dyDescent="0.3">
      <c r="A1538" s="27" t="s">
        <v>4492</v>
      </c>
      <c r="B1538" s="27" t="str">
        <f>"44.0503"</f>
        <v>44.0503</v>
      </c>
      <c r="C1538" s="64" t="s">
        <v>4493</v>
      </c>
      <c r="D1538" s="27" t="s">
        <v>2229</v>
      </c>
      <c r="E1538" s="27" t="s">
        <v>2232</v>
      </c>
      <c r="F1538" s="27" t="str">
        <f>"44.0503"</f>
        <v>44.0503</v>
      </c>
      <c r="G1538" s="27" t="s">
        <v>4493</v>
      </c>
      <c r="H1538" s="65" t="str">
        <f t="shared" si="69"/>
        <v>No Change</v>
      </c>
      <c r="I1538" s="65" t="str">
        <f t="shared" si="70"/>
        <v>440503</v>
      </c>
      <c r="J1538" s="65" t="str">
        <f t="shared" si="71"/>
        <v>440503</v>
      </c>
    </row>
    <row r="1539" spans="1:10" x14ac:dyDescent="0.3">
      <c r="A1539" s="27" t="s">
        <v>4494</v>
      </c>
      <c r="B1539" s="27" t="str">
        <f>"44.0504"</f>
        <v>44.0504</v>
      </c>
      <c r="C1539" s="64" t="s">
        <v>4495</v>
      </c>
      <c r="D1539" s="27" t="s">
        <v>2229</v>
      </c>
      <c r="E1539" s="27" t="s">
        <v>2232</v>
      </c>
      <c r="F1539" s="27" t="str">
        <f>"44.0504"</f>
        <v>44.0504</v>
      </c>
      <c r="G1539" s="27" t="s">
        <v>4495</v>
      </c>
      <c r="H1539" s="65" t="str">
        <f t="shared" ref="H1539:H1602" si="72">IF(I1539=J1539,"No Change","Other")</f>
        <v>No Change</v>
      </c>
      <c r="I1539" s="65" t="str">
        <f t="shared" ref="I1539:I1602" si="73">SUBSTITUTE(IF(SUM(LEN(B1539))&lt;7,"",B1539),".","")</f>
        <v>440504</v>
      </c>
      <c r="J1539" s="65" t="str">
        <f t="shared" ref="J1539:J1602" si="74">SUBSTITUTE(IF(SUM(LEN(F1539))&lt;7,"",F1539),".","")</f>
        <v>440504</v>
      </c>
    </row>
    <row r="1540" spans="1:10" x14ac:dyDescent="0.3">
      <c r="A1540" s="27" t="s">
        <v>4496</v>
      </c>
      <c r="B1540" s="27" t="str">
        <f>"44.0599"</f>
        <v>44.0599</v>
      </c>
      <c r="C1540" s="64" t="s">
        <v>4497</v>
      </c>
      <c r="D1540" s="27" t="s">
        <v>2229</v>
      </c>
      <c r="E1540" s="27" t="s">
        <v>2232</v>
      </c>
      <c r="F1540" s="27" t="str">
        <f>"44.0599"</f>
        <v>44.0599</v>
      </c>
      <c r="G1540" s="27" t="s">
        <v>4497</v>
      </c>
      <c r="H1540" s="65" t="str">
        <f t="shared" si="72"/>
        <v>No Change</v>
      </c>
      <c r="I1540" s="65" t="str">
        <f t="shared" si="73"/>
        <v>440599</v>
      </c>
      <c r="J1540" s="65" t="str">
        <f t="shared" si="74"/>
        <v>440599</v>
      </c>
    </row>
    <row r="1541" spans="1:10" x14ac:dyDescent="0.3">
      <c r="A1541" s="27" t="s">
        <v>1869</v>
      </c>
      <c r="B1541" s="27" t="str">
        <f>"44.07"</f>
        <v>44.07</v>
      </c>
      <c r="C1541" s="64" t="s">
        <v>4498</v>
      </c>
      <c r="D1541" s="27" t="s">
        <v>2229</v>
      </c>
      <c r="E1541" s="27" t="s">
        <v>2232</v>
      </c>
      <c r="F1541" s="27" t="str">
        <f>"44.07"</f>
        <v>44.07</v>
      </c>
      <c r="G1541" s="27" t="s">
        <v>4498</v>
      </c>
      <c r="H1541" s="65" t="str">
        <f t="shared" si="72"/>
        <v>No Change</v>
      </c>
      <c r="I1541" s="65" t="str">
        <f t="shared" si="73"/>
        <v/>
      </c>
      <c r="J1541" s="65" t="str">
        <f t="shared" si="74"/>
        <v/>
      </c>
    </row>
    <row r="1542" spans="1:10" x14ac:dyDescent="0.3">
      <c r="A1542" s="27" t="s">
        <v>4499</v>
      </c>
      <c r="B1542" s="27" t="str">
        <f>"44.0701"</f>
        <v>44.0701</v>
      </c>
      <c r="C1542" s="64" t="s">
        <v>4498</v>
      </c>
      <c r="D1542" s="27" t="s">
        <v>2229</v>
      </c>
      <c r="E1542" s="27" t="s">
        <v>2232</v>
      </c>
      <c r="F1542" s="27" t="str">
        <f>"44.0701"</f>
        <v>44.0701</v>
      </c>
      <c r="G1542" s="27" t="s">
        <v>4498</v>
      </c>
      <c r="H1542" s="65" t="str">
        <f t="shared" si="72"/>
        <v>No Change</v>
      </c>
      <c r="I1542" s="65" t="str">
        <f t="shared" si="73"/>
        <v>440701</v>
      </c>
      <c r="J1542" s="65" t="str">
        <f t="shared" si="74"/>
        <v>440701</v>
      </c>
    </row>
    <row r="1543" spans="1:10" x14ac:dyDescent="0.3">
      <c r="A1543" s="27" t="s">
        <v>4500</v>
      </c>
      <c r="B1543" s="27" t="str">
        <f>"44.0702"</f>
        <v>44.0702</v>
      </c>
      <c r="C1543" s="64" t="s">
        <v>4501</v>
      </c>
      <c r="D1543" s="27" t="s">
        <v>2229</v>
      </c>
      <c r="E1543" s="27" t="s">
        <v>2232</v>
      </c>
      <c r="F1543" s="27" t="str">
        <f>"44.0702"</f>
        <v>44.0702</v>
      </c>
      <c r="G1543" s="27" t="s">
        <v>4501</v>
      </c>
      <c r="H1543" s="65" t="str">
        <f t="shared" si="72"/>
        <v>No Change</v>
      </c>
      <c r="I1543" s="65" t="str">
        <f t="shared" si="73"/>
        <v>440702</v>
      </c>
      <c r="J1543" s="65" t="str">
        <f t="shared" si="74"/>
        <v>440702</v>
      </c>
    </row>
    <row r="1544" spans="1:10" x14ac:dyDescent="0.3">
      <c r="A1544" s="27" t="s">
        <v>1869</v>
      </c>
      <c r="D1544" s="27" t="s">
        <v>2255</v>
      </c>
      <c r="E1544" s="27" t="s">
        <v>2232</v>
      </c>
      <c r="F1544" s="27" t="str">
        <f>"44.0703"</f>
        <v>44.0703</v>
      </c>
      <c r="G1544" s="27" t="s">
        <v>4502</v>
      </c>
      <c r="H1544" s="65" t="str">
        <f t="shared" si="72"/>
        <v>Other</v>
      </c>
      <c r="I1544" s="65" t="str">
        <f t="shared" si="73"/>
        <v/>
      </c>
      <c r="J1544" s="65" t="str">
        <f t="shared" si="74"/>
        <v>440703</v>
      </c>
    </row>
    <row r="1545" spans="1:10" x14ac:dyDescent="0.3">
      <c r="A1545" s="27" t="s">
        <v>4503</v>
      </c>
      <c r="B1545" s="27" t="str">
        <f>"44.0799"</f>
        <v>44.0799</v>
      </c>
      <c r="C1545" s="64" t="s">
        <v>4504</v>
      </c>
      <c r="D1545" s="27" t="s">
        <v>2229</v>
      </c>
      <c r="E1545" s="27" t="s">
        <v>2232</v>
      </c>
      <c r="F1545" s="27" t="str">
        <f>"44.0799"</f>
        <v>44.0799</v>
      </c>
      <c r="G1545" s="27" t="s">
        <v>4504</v>
      </c>
      <c r="H1545" s="65" t="str">
        <f t="shared" si="72"/>
        <v>No Change</v>
      </c>
      <c r="I1545" s="65" t="str">
        <f t="shared" si="73"/>
        <v>440799</v>
      </c>
      <c r="J1545" s="65" t="str">
        <f t="shared" si="74"/>
        <v>440799</v>
      </c>
    </row>
    <row r="1546" spans="1:10" x14ac:dyDescent="0.3">
      <c r="A1546" s="27" t="s">
        <v>1869</v>
      </c>
      <c r="B1546" s="27" t="str">
        <f>"44.99"</f>
        <v>44.99</v>
      </c>
      <c r="C1546" s="64" t="s">
        <v>4505</v>
      </c>
      <c r="D1546" s="27" t="s">
        <v>2229</v>
      </c>
      <c r="E1546" s="27" t="s">
        <v>2232</v>
      </c>
      <c r="F1546" s="27" t="str">
        <f>"44.99"</f>
        <v>44.99</v>
      </c>
      <c r="G1546" s="27" t="s">
        <v>4505</v>
      </c>
      <c r="H1546" s="65" t="str">
        <f t="shared" si="72"/>
        <v>No Change</v>
      </c>
      <c r="I1546" s="65" t="str">
        <f t="shared" si="73"/>
        <v/>
      </c>
      <c r="J1546" s="65" t="str">
        <f t="shared" si="74"/>
        <v/>
      </c>
    </row>
    <row r="1547" spans="1:10" x14ac:dyDescent="0.3">
      <c r="A1547" s="27" t="s">
        <v>4506</v>
      </c>
      <c r="B1547" s="27" t="str">
        <f>"44.9999"</f>
        <v>44.9999</v>
      </c>
      <c r="C1547" s="64" t="s">
        <v>4505</v>
      </c>
      <c r="D1547" s="27" t="s">
        <v>2229</v>
      </c>
      <c r="E1547" s="27" t="s">
        <v>2232</v>
      </c>
      <c r="F1547" s="27" t="str">
        <f>"44.9999"</f>
        <v>44.9999</v>
      </c>
      <c r="G1547" s="27" t="s">
        <v>4505</v>
      </c>
      <c r="H1547" s="65" t="str">
        <f t="shared" si="72"/>
        <v>No Change</v>
      </c>
      <c r="I1547" s="65" t="str">
        <f t="shared" si="73"/>
        <v>449999</v>
      </c>
      <c r="J1547" s="65" t="str">
        <f t="shared" si="74"/>
        <v>449999</v>
      </c>
    </row>
    <row r="1548" spans="1:10" x14ac:dyDescent="0.3">
      <c r="A1548" s="27" t="s">
        <v>1869</v>
      </c>
      <c r="B1548" s="27" t="str">
        <f>"45"</f>
        <v>45</v>
      </c>
      <c r="C1548" s="64" t="s">
        <v>4507</v>
      </c>
      <c r="D1548" s="27" t="s">
        <v>2229</v>
      </c>
      <c r="E1548" s="27" t="s">
        <v>2232</v>
      </c>
      <c r="F1548" s="27" t="str">
        <f>"45"</f>
        <v>45</v>
      </c>
      <c r="G1548" s="27" t="s">
        <v>4507</v>
      </c>
      <c r="H1548" s="65" t="str">
        <f t="shared" si="72"/>
        <v>No Change</v>
      </c>
      <c r="I1548" s="65" t="str">
        <f t="shared" si="73"/>
        <v/>
      </c>
      <c r="J1548" s="65" t="str">
        <f t="shared" si="74"/>
        <v/>
      </c>
    </row>
    <row r="1549" spans="1:10" x14ac:dyDescent="0.3">
      <c r="A1549" s="27" t="s">
        <v>1869</v>
      </c>
      <c r="B1549" s="27" t="str">
        <f>"45.01"</f>
        <v>45.01</v>
      </c>
      <c r="C1549" s="64" t="s">
        <v>4508</v>
      </c>
      <c r="D1549" s="27" t="s">
        <v>2229</v>
      </c>
      <c r="E1549" s="27" t="s">
        <v>2232</v>
      </c>
      <c r="F1549" s="27" t="str">
        <f>"45.01"</f>
        <v>45.01</v>
      </c>
      <c r="G1549" s="27" t="s">
        <v>4508</v>
      </c>
      <c r="H1549" s="65" t="str">
        <f t="shared" si="72"/>
        <v>No Change</v>
      </c>
      <c r="I1549" s="65" t="str">
        <f t="shared" si="73"/>
        <v/>
      </c>
      <c r="J1549" s="65" t="str">
        <f t="shared" si="74"/>
        <v/>
      </c>
    </row>
    <row r="1550" spans="1:10" x14ac:dyDescent="0.3">
      <c r="A1550" s="27" t="s">
        <v>4509</v>
      </c>
      <c r="B1550" s="27" t="str">
        <f>"45.0101"</f>
        <v>45.0101</v>
      </c>
      <c r="C1550" s="64" t="s">
        <v>4508</v>
      </c>
      <c r="D1550" s="27" t="s">
        <v>2229</v>
      </c>
      <c r="E1550" s="27" t="s">
        <v>2232</v>
      </c>
      <c r="F1550" s="27" t="str">
        <f>"45.0101"</f>
        <v>45.0101</v>
      </c>
      <c r="G1550" s="27" t="s">
        <v>4508</v>
      </c>
      <c r="H1550" s="65" t="str">
        <f t="shared" si="72"/>
        <v>No Change</v>
      </c>
      <c r="I1550" s="65" t="str">
        <f t="shared" si="73"/>
        <v>450101</v>
      </c>
      <c r="J1550" s="65" t="str">
        <f t="shared" si="74"/>
        <v>450101</v>
      </c>
    </row>
    <row r="1551" spans="1:10" x14ac:dyDescent="0.3">
      <c r="A1551" s="27" t="s">
        <v>4510</v>
      </c>
      <c r="B1551" s="27" t="str">
        <f>"45.0102"</f>
        <v>45.0102</v>
      </c>
      <c r="C1551" s="64" t="s">
        <v>4511</v>
      </c>
      <c r="D1551" s="27" t="s">
        <v>2229</v>
      </c>
      <c r="E1551" s="27" t="s">
        <v>2232</v>
      </c>
      <c r="F1551" s="27" t="str">
        <f>"45.0102"</f>
        <v>45.0102</v>
      </c>
      <c r="G1551" s="27" t="s">
        <v>4511</v>
      </c>
      <c r="H1551" s="65" t="str">
        <f t="shared" si="72"/>
        <v>No Change</v>
      </c>
      <c r="I1551" s="65" t="str">
        <f t="shared" si="73"/>
        <v>450102</v>
      </c>
      <c r="J1551" s="65" t="str">
        <f t="shared" si="74"/>
        <v>450102</v>
      </c>
    </row>
    <row r="1552" spans="1:10" x14ac:dyDescent="0.3">
      <c r="A1552" s="27" t="s">
        <v>1869</v>
      </c>
      <c r="D1552" s="27" t="s">
        <v>2255</v>
      </c>
      <c r="E1552" s="27" t="s">
        <v>2232</v>
      </c>
      <c r="F1552" s="27" t="str">
        <f>"45.0103"</f>
        <v>45.0103</v>
      </c>
      <c r="G1552" s="27" t="s">
        <v>4512</v>
      </c>
      <c r="H1552" s="65" t="str">
        <f t="shared" si="72"/>
        <v>Other</v>
      </c>
      <c r="I1552" s="65" t="str">
        <f t="shared" si="73"/>
        <v/>
      </c>
      <c r="J1552" s="65" t="str">
        <f t="shared" si="74"/>
        <v>450103</v>
      </c>
    </row>
    <row r="1553" spans="1:10" x14ac:dyDescent="0.3">
      <c r="A1553" s="27" t="s">
        <v>1869</v>
      </c>
      <c r="D1553" s="27" t="s">
        <v>2255</v>
      </c>
      <c r="E1553" s="27" t="s">
        <v>2232</v>
      </c>
      <c r="F1553" s="27" t="str">
        <f>"45.0199"</f>
        <v>45.0199</v>
      </c>
      <c r="G1553" s="27" t="s">
        <v>4513</v>
      </c>
      <c r="H1553" s="65" t="str">
        <f t="shared" si="72"/>
        <v>Other</v>
      </c>
      <c r="I1553" s="65" t="str">
        <f t="shared" si="73"/>
        <v/>
      </c>
      <c r="J1553" s="65" t="str">
        <f t="shared" si="74"/>
        <v>450199</v>
      </c>
    </row>
    <row r="1554" spans="1:10" x14ac:dyDescent="0.3">
      <c r="A1554" s="27" t="s">
        <v>1869</v>
      </c>
      <c r="B1554" s="27" t="str">
        <f>"45.02"</f>
        <v>45.02</v>
      </c>
      <c r="C1554" s="64" t="s">
        <v>4514</v>
      </c>
      <c r="D1554" s="27" t="s">
        <v>2229</v>
      </c>
      <c r="E1554" s="27" t="s">
        <v>2232</v>
      </c>
      <c r="F1554" s="27" t="str">
        <f>"45.02"</f>
        <v>45.02</v>
      </c>
      <c r="G1554" s="27" t="s">
        <v>4514</v>
      </c>
      <c r="H1554" s="65" t="str">
        <f t="shared" si="72"/>
        <v>No Change</v>
      </c>
      <c r="I1554" s="65" t="str">
        <f t="shared" si="73"/>
        <v/>
      </c>
      <c r="J1554" s="65" t="str">
        <f t="shared" si="74"/>
        <v/>
      </c>
    </row>
    <row r="1555" spans="1:10" x14ac:dyDescent="0.3">
      <c r="A1555" s="27" t="s">
        <v>4515</v>
      </c>
      <c r="B1555" s="27" t="str">
        <f>"45.0201"</f>
        <v>45.0201</v>
      </c>
      <c r="C1555" s="64" t="s">
        <v>4514</v>
      </c>
      <c r="D1555" s="27" t="s">
        <v>2229</v>
      </c>
      <c r="E1555" s="27" t="s">
        <v>2230</v>
      </c>
      <c r="F1555" s="27" t="str">
        <f>"45.0201"</f>
        <v>45.0201</v>
      </c>
      <c r="G1555" s="27" t="s">
        <v>4516</v>
      </c>
      <c r="H1555" s="65" t="str">
        <f t="shared" si="72"/>
        <v>No Change</v>
      </c>
      <c r="I1555" s="65" t="str">
        <f t="shared" si="73"/>
        <v>450201</v>
      </c>
      <c r="J1555" s="65" t="str">
        <f t="shared" si="74"/>
        <v>450201</v>
      </c>
    </row>
    <row r="1556" spans="1:10" x14ac:dyDescent="0.3">
      <c r="A1556" s="27" t="s">
        <v>4517</v>
      </c>
      <c r="B1556" s="27" t="str">
        <f>"45.0202"</f>
        <v>45.0202</v>
      </c>
      <c r="C1556" s="64" t="s">
        <v>4518</v>
      </c>
      <c r="D1556" s="27" t="s">
        <v>2229</v>
      </c>
      <c r="E1556" s="27" t="s">
        <v>2232</v>
      </c>
      <c r="F1556" s="27" t="str">
        <f>"45.0202"</f>
        <v>45.0202</v>
      </c>
      <c r="G1556" s="27" t="s">
        <v>4518</v>
      </c>
      <c r="H1556" s="65" t="str">
        <f t="shared" si="72"/>
        <v>No Change</v>
      </c>
      <c r="I1556" s="65" t="str">
        <f t="shared" si="73"/>
        <v>450202</v>
      </c>
      <c r="J1556" s="65" t="str">
        <f t="shared" si="74"/>
        <v>450202</v>
      </c>
    </row>
    <row r="1557" spans="1:10" x14ac:dyDescent="0.3">
      <c r="A1557" s="27" t="s">
        <v>4519</v>
      </c>
      <c r="B1557" s="27" t="str">
        <f>"45.0203"</f>
        <v>45.0203</v>
      </c>
      <c r="C1557" s="64" t="s">
        <v>4520</v>
      </c>
      <c r="D1557" s="27" t="s">
        <v>2229</v>
      </c>
      <c r="E1557" s="27" t="s">
        <v>2232</v>
      </c>
      <c r="F1557" s="27" t="str">
        <f>"45.0203"</f>
        <v>45.0203</v>
      </c>
      <c r="G1557" s="27" t="s">
        <v>4520</v>
      </c>
      <c r="H1557" s="65" t="str">
        <f t="shared" si="72"/>
        <v>No Change</v>
      </c>
      <c r="I1557" s="65" t="str">
        <f t="shared" si="73"/>
        <v>450203</v>
      </c>
      <c r="J1557" s="65" t="str">
        <f t="shared" si="74"/>
        <v>450203</v>
      </c>
    </row>
    <row r="1558" spans="1:10" x14ac:dyDescent="0.3">
      <c r="A1558" s="27" t="s">
        <v>4521</v>
      </c>
      <c r="B1558" s="27" t="str">
        <f>"45.0204"</f>
        <v>45.0204</v>
      </c>
      <c r="C1558" s="64" t="s">
        <v>4522</v>
      </c>
      <c r="D1558" s="27" t="s">
        <v>2229</v>
      </c>
      <c r="E1558" s="27" t="s">
        <v>2232</v>
      </c>
      <c r="F1558" s="27" t="str">
        <f>"45.0204"</f>
        <v>45.0204</v>
      </c>
      <c r="G1558" s="27" t="s">
        <v>4522</v>
      </c>
      <c r="H1558" s="65" t="str">
        <f t="shared" si="72"/>
        <v>No Change</v>
      </c>
      <c r="I1558" s="65" t="str">
        <f t="shared" si="73"/>
        <v>450204</v>
      </c>
      <c r="J1558" s="65" t="str">
        <f t="shared" si="74"/>
        <v>450204</v>
      </c>
    </row>
    <row r="1559" spans="1:10" x14ac:dyDescent="0.3">
      <c r="A1559" s="27" t="s">
        <v>1869</v>
      </c>
      <c r="D1559" s="27" t="s">
        <v>2255</v>
      </c>
      <c r="E1559" s="27" t="s">
        <v>2232</v>
      </c>
      <c r="F1559" s="27" t="str">
        <f>"45.0205"</f>
        <v>45.0205</v>
      </c>
      <c r="G1559" s="27" t="s">
        <v>4523</v>
      </c>
      <c r="H1559" s="65" t="str">
        <f t="shared" si="72"/>
        <v>Other</v>
      </c>
      <c r="I1559" s="65" t="str">
        <f t="shared" si="73"/>
        <v/>
      </c>
      <c r="J1559" s="65" t="str">
        <f t="shared" si="74"/>
        <v>450205</v>
      </c>
    </row>
    <row r="1560" spans="1:10" x14ac:dyDescent="0.3">
      <c r="A1560" s="27" t="s">
        <v>4524</v>
      </c>
      <c r="B1560" s="27" t="str">
        <f>"45.0299"</f>
        <v>45.0299</v>
      </c>
      <c r="C1560" s="64" t="s">
        <v>4525</v>
      </c>
      <c r="D1560" s="27" t="s">
        <v>2229</v>
      </c>
      <c r="E1560" s="27" t="s">
        <v>2232</v>
      </c>
      <c r="F1560" s="27" t="str">
        <f>"45.0299"</f>
        <v>45.0299</v>
      </c>
      <c r="G1560" s="27" t="s">
        <v>4525</v>
      </c>
      <c r="H1560" s="65" t="str">
        <f t="shared" si="72"/>
        <v>No Change</v>
      </c>
      <c r="I1560" s="65" t="str">
        <f t="shared" si="73"/>
        <v>450299</v>
      </c>
      <c r="J1560" s="65" t="str">
        <f t="shared" si="74"/>
        <v>450299</v>
      </c>
    </row>
    <row r="1561" spans="1:10" x14ac:dyDescent="0.3">
      <c r="A1561" s="27" t="s">
        <v>1869</v>
      </c>
      <c r="B1561" s="27" t="str">
        <f>"45.03"</f>
        <v>45.03</v>
      </c>
      <c r="C1561" s="64" t="s">
        <v>4526</v>
      </c>
      <c r="D1561" s="27" t="s">
        <v>2229</v>
      </c>
      <c r="E1561" s="27" t="s">
        <v>2232</v>
      </c>
      <c r="F1561" s="27" t="str">
        <f>"45.03"</f>
        <v>45.03</v>
      </c>
      <c r="G1561" s="27" t="s">
        <v>4526</v>
      </c>
      <c r="H1561" s="65" t="str">
        <f t="shared" si="72"/>
        <v>No Change</v>
      </c>
      <c r="I1561" s="65" t="str">
        <f t="shared" si="73"/>
        <v/>
      </c>
      <c r="J1561" s="65" t="str">
        <f t="shared" si="74"/>
        <v/>
      </c>
    </row>
    <row r="1562" spans="1:10" x14ac:dyDescent="0.3">
      <c r="A1562" s="27" t="s">
        <v>4527</v>
      </c>
      <c r="B1562" s="27" t="str">
        <f>"45.0301"</f>
        <v>45.0301</v>
      </c>
      <c r="C1562" s="64" t="s">
        <v>4526</v>
      </c>
      <c r="D1562" s="27" t="s">
        <v>2229</v>
      </c>
      <c r="E1562" s="27" t="s">
        <v>2232</v>
      </c>
      <c r="F1562" s="27" t="str">
        <f>"45.0301"</f>
        <v>45.0301</v>
      </c>
      <c r="G1562" s="27" t="s">
        <v>4526</v>
      </c>
      <c r="H1562" s="65" t="str">
        <f t="shared" si="72"/>
        <v>No Change</v>
      </c>
      <c r="I1562" s="65" t="str">
        <f t="shared" si="73"/>
        <v>450301</v>
      </c>
      <c r="J1562" s="65" t="str">
        <f t="shared" si="74"/>
        <v>450301</v>
      </c>
    </row>
    <row r="1563" spans="1:10" x14ac:dyDescent="0.3">
      <c r="A1563" s="27" t="s">
        <v>1869</v>
      </c>
      <c r="B1563" s="27" t="str">
        <f>"45.04"</f>
        <v>45.04</v>
      </c>
      <c r="C1563" s="64" t="s">
        <v>4528</v>
      </c>
      <c r="D1563" s="27" t="s">
        <v>2229</v>
      </c>
      <c r="E1563" s="27" t="s">
        <v>2232</v>
      </c>
      <c r="F1563" s="27" t="str">
        <f>"45.04"</f>
        <v>45.04</v>
      </c>
      <c r="G1563" s="27" t="s">
        <v>4528</v>
      </c>
      <c r="H1563" s="65" t="str">
        <f t="shared" si="72"/>
        <v>No Change</v>
      </c>
      <c r="I1563" s="65" t="str">
        <f t="shared" si="73"/>
        <v/>
      </c>
      <c r="J1563" s="65" t="str">
        <f t="shared" si="74"/>
        <v/>
      </c>
    </row>
    <row r="1564" spans="1:10" x14ac:dyDescent="0.3">
      <c r="A1564" s="27" t="s">
        <v>4529</v>
      </c>
      <c r="B1564" s="27" t="str">
        <f>"45.0401"</f>
        <v>45.0401</v>
      </c>
      <c r="C1564" s="64" t="s">
        <v>4528</v>
      </c>
      <c r="D1564" s="27" t="s">
        <v>2229</v>
      </c>
      <c r="E1564" s="27" t="s">
        <v>2232</v>
      </c>
      <c r="F1564" s="27" t="str">
        <f>"45.0401"</f>
        <v>45.0401</v>
      </c>
      <c r="G1564" s="27" t="s">
        <v>4528</v>
      </c>
      <c r="H1564" s="65" t="str">
        <f t="shared" si="72"/>
        <v>No Change</v>
      </c>
      <c r="I1564" s="65" t="str">
        <f t="shared" si="73"/>
        <v>450401</v>
      </c>
      <c r="J1564" s="65" t="str">
        <f t="shared" si="74"/>
        <v>450401</v>
      </c>
    </row>
    <row r="1565" spans="1:10" x14ac:dyDescent="0.3">
      <c r="A1565" s="27" t="s">
        <v>1869</v>
      </c>
      <c r="B1565" s="27" t="str">
        <f>"45.05"</f>
        <v>45.05</v>
      </c>
      <c r="C1565" s="64" t="s">
        <v>4530</v>
      </c>
      <c r="D1565" s="27" t="s">
        <v>2229</v>
      </c>
      <c r="E1565" s="27" t="s">
        <v>2230</v>
      </c>
      <c r="F1565" s="27" t="str">
        <f>"45.05"</f>
        <v>45.05</v>
      </c>
      <c r="G1565" s="27" t="s">
        <v>4531</v>
      </c>
      <c r="H1565" s="65" t="str">
        <f t="shared" si="72"/>
        <v>No Change</v>
      </c>
      <c r="I1565" s="65" t="str">
        <f t="shared" si="73"/>
        <v/>
      </c>
      <c r="J1565" s="65" t="str">
        <f t="shared" si="74"/>
        <v/>
      </c>
    </row>
    <row r="1566" spans="1:10" x14ac:dyDescent="0.3">
      <c r="A1566" s="27" t="s">
        <v>4532</v>
      </c>
      <c r="B1566" s="27" t="str">
        <f>"45.0501"</f>
        <v>45.0501</v>
      </c>
      <c r="C1566" s="64" t="s">
        <v>4530</v>
      </c>
      <c r="D1566" s="27" t="s">
        <v>2229</v>
      </c>
      <c r="E1566" s="27" t="s">
        <v>2232</v>
      </c>
      <c r="F1566" s="27" t="str">
        <f>"45.0501"</f>
        <v>45.0501</v>
      </c>
      <c r="G1566" s="27" t="s">
        <v>4530</v>
      </c>
      <c r="H1566" s="65" t="str">
        <f t="shared" si="72"/>
        <v>No Change</v>
      </c>
      <c r="I1566" s="65" t="str">
        <f t="shared" si="73"/>
        <v>450501</v>
      </c>
      <c r="J1566" s="65" t="str">
        <f t="shared" si="74"/>
        <v>450501</v>
      </c>
    </row>
    <row r="1567" spans="1:10" x14ac:dyDescent="0.3">
      <c r="A1567" s="27" t="s">
        <v>1869</v>
      </c>
      <c r="D1567" s="27" t="s">
        <v>2255</v>
      </c>
      <c r="E1567" s="27" t="s">
        <v>2232</v>
      </c>
      <c r="F1567" s="27" t="str">
        <f>"45.0502"</f>
        <v>45.0502</v>
      </c>
      <c r="G1567" s="27" t="s">
        <v>4533</v>
      </c>
      <c r="H1567" s="65" t="str">
        <f t="shared" si="72"/>
        <v>Other</v>
      </c>
      <c r="I1567" s="65" t="str">
        <f t="shared" si="73"/>
        <v/>
      </c>
      <c r="J1567" s="65" t="str">
        <f t="shared" si="74"/>
        <v>450502</v>
      </c>
    </row>
    <row r="1568" spans="1:10" x14ac:dyDescent="0.3">
      <c r="A1568" s="27" t="s">
        <v>1869</v>
      </c>
      <c r="D1568" s="27" t="s">
        <v>2255</v>
      </c>
      <c r="E1568" s="27" t="s">
        <v>2232</v>
      </c>
      <c r="F1568" s="27" t="str">
        <f>"45.0599"</f>
        <v>45.0599</v>
      </c>
      <c r="G1568" s="27" t="s">
        <v>4534</v>
      </c>
      <c r="H1568" s="65" t="str">
        <f t="shared" si="72"/>
        <v>Other</v>
      </c>
      <c r="I1568" s="65" t="str">
        <f t="shared" si="73"/>
        <v/>
      </c>
      <c r="J1568" s="65" t="str">
        <f t="shared" si="74"/>
        <v>450599</v>
      </c>
    </row>
    <row r="1569" spans="1:10" x14ac:dyDescent="0.3">
      <c r="A1569" s="27" t="s">
        <v>1869</v>
      </c>
      <c r="B1569" s="27" t="str">
        <f>"45.06"</f>
        <v>45.06</v>
      </c>
      <c r="C1569" s="64" t="s">
        <v>4535</v>
      </c>
      <c r="D1569" s="27" t="s">
        <v>2229</v>
      </c>
      <c r="E1569" s="27" t="s">
        <v>2232</v>
      </c>
      <c r="F1569" s="27" t="str">
        <f>"45.06"</f>
        <v>45.06</v>
      </c>
      <c r="G1569" s="27" t="s">
        <v>4535</v>
      </c>
      <c r="H1569" s="65" t="str">
        <f t="shared" si="72"/>
        <v>No Change</v>
      </c>
      <c r="I1569" s="65" t="str">
        <f t="shared" si="73"/>
        <v/>
      </c>
      <c r="J1569" s="65" t="str">
        <f t="shared" si="74"/>
        <v/>
      </c>
    </row>
    <row r="1570" spans="1:10" x14ac:dyDescent="0.3">
      <c r="A1570" s="27" t="s">
        <v>4536</v>
      </c>
      <c r="B1570" s="27" t="str">
        <f>"45.0601"</f>
        <v>45.0601</v>
      </c>
      <c r="C1570" s="64" t="s">
        <v>4537</v>
      </c>
      <c r="D1570" s="27" t="s">
        <v>2229</v>
      </c>
      <c r="E1570" s="27" t="s">
        <v>2232</v>
      </c>
      <c r="F1570" s="27" t="str">
        <f>"45.0601"</f>
        <v>45.0601</v>
      </c>
      <c r="G1570" s="27" t="s">
        <v>4537</v>
      </c>
      <c r="H1570" s="65" t="str">
        <f t="shared" si="72"/>
        <v>No Change</v>
      </c>
      <c r="I1570" s="65" t="str">
        <f t="shared" si="73"/>
        <v>450601</v>
      </c>
      <c r="J1570" s="65" t="str">
        <f t="shared" si="74"/>
        <v>450601</v>
      </c>
    </row>
    <row r="1571" spans="1:10" x14ac:dyDescent="0.3">
      <c r="A1571" s="27" t="s">
        <v>4538</v>
      </c>
      <c r="B1571" s="27" t="str">
        <f>"45.0602"</f>
        <v>45.0602</v>
      </c>
      <c r="C1571" s="64" t="s">
        <v>4539</v>
      </c>
      <c r="D1571" s="27" t="s">
        <v>2229</v>
      </c>
      <c r="E1571" s="27" t="s">
        <v>2232</v>
      </c>
      <c r="F1571" s="27" t="str">
        <f>"45.0602"</f>
        <v>45.0602</v>
      </c>
      <c r="G1571" s="27" t="s">
        <v>4539</v>
      </c>
      <c r="H1571" s="65" t="str">
        <f t="shared" si="72"/>
        <v>No Change</v>
      </c>
      <c r="I1571" s="65" t="str">
        <f t="shared" si="73"/>
        <v>450602</v>
      </c>
      <c r="J1571" s="65" t="str">
        <f t="shared" si="74"/>
        <v>450602</v>
      </c>
    </row>
    <row r="1572" spans="1:10" x14ac:dyDescent="0.3">
      <c r="A1572" s="27" t="s">
        <v>4540</v>
      </c>
      <c r="B1572" s="27" t="str">
        <f>"45.0603"</f>
        <v>45.0603</v>
      </c>
      <c r="C1572" s="64" t="s">
        <v>4541</v>
      </c>
      <c r="D1572" s="27" t="s">
        <v>2229</v>
      </c>
      <c r="E1572" s="27" t="s">
        <v>2232</v>
      </c>
      <c r="F1572" s="27" t="str">
        <f>"45.0603"</f>
        <v>45.0603</v>
      </c>
      <c r="G1572" s="27" t="s">
        <v>4541</v>
      </c>
      <c r="H1572" s="65" t="str">
        <f t="shared" si="72"/>
        <v>No Change</v>
      </c>
      <c r="I1572" s="65" t="str">
        <f t="shared" si="73"/>
        <v>450603</v>
      </c>
      <c r="J1572" s="65" t="str">
        <f t="shared" si="74"/>
        <v>450603</v>
      </c>
    </row>
    <row r="1573" spans="1:10" x14ac:dyDescent="0.3">
      <c r="A1573" s="27" t="s">
        <v>4542</v>
      </c>
      <c r="B1573" s="27" t="str">
        <f>"45.0604"</f>
        <v>45.0604</v>
      </c>
      <c r="C1573" s="64" t="s">
        <v>4543</v>
      </c>
      <c r="D1573" s="27" t="s">
        <v>2229</v>
      </c>
      <c r="E1573" s="27" t="s">
        <v>2232</v>
      </c>
      <c r="F1573" s="27" t="str">
        <f>"45.0604"</f>
        <v>45.0604</v>
      </c>
      <c r="G1573" s="27" t="s">
        <v>4543</v>
      </c>
      <c r="H1573" s="65" t="str">
        <f t="shared" si="72"/>
        <v>No Change</v>
      </c>
      <c r="I1573" s="65" t="str">
        <f t="shared" si="73"/>
        <v>450604</v>
      </c>
      <c r="J1573" s="65" t="str">
        <f t="shared" si="74"/>
        <v>450604</v>
      </c>
    </row>
    <row r="1574" spans="1:10" x14ac:dyDescent="0.3">
      <c r="A1574" s="27" t="s">
        <v>4544</v>
      </c>
      <c r="B1574" s="27" t="str">
        <f>"45.0605"</f>
        <v>45.0605</v>
      </c>
      <c r="C1574" s="64" t="s">
        <v>4545</v>
      </c>
      <c r="D1574" s="27" t="s">
        <v>2229</v>
      </c>
      <c r="E1574" s="27" t="s">
        <v>2232</v>
      </c>
      <c r="F1574" s="27" t="str">
        <f>"45.0605"</f>
        <v>45.0605</v>
      </c>
      <c r="G1574" s="27" t="s">
        <v>4545</v>
      </c>
      <c r="H1574" s="65" t="str">
        <f t="shared" si="72"/>
        <v>No Change</v>
      </c>
      <c r="I1574" s="65" t="str">
        <f t="shared" si="73"/>
        <v>450605</v>
      </c>
      <c r="J1574" s="65" t="str">
        <f t="shared" si="74"/>
        <v>450605</v>
      </c>
    </row>
    <row r="1575" spans="1:10" x14ac:dyDescent="0.3">
      <c r="A1575" s="27" t="s">
        <v>4546</v>
      </c>
      <c r="B1575" s="27" t="str">
        <f>"45.0699"</f>
        <v>45.0699</v>
      </c>
      <c r="C1575" s="64" t="s">
        <v>4547</v>
      </c>
      <c r="D1575" s="27" t="s">
        <v>2229</v>
      </c>
      <c r="E1575" s="27" t="s">
        <v>2232</v>
      </c>
      <c r="F1575" s="27" t="str">
        <f>"45.0699"</f>
        <v>45.0699</v>
      </c>
      <c r="G1575" s="27" t="s">
        <v>4547</v>
      </c>
      <c r="H1575" s="65" t="str">
        <f t="shared" si="72"/>
        <v>No Change</v>
      </c>
      <c r="I1575" s="65" t="str">
        <f t="shared" si="73"/>
        <v>450699</v>
      </c>
      <c r="J1575" s="65" t="str">
        <f t="shared" si="74"/>
        <v>450699</v>
      </c>
    </row>
    <row r="1576" spans="1:10" x14ac:dyDescent="0.3">
      <c r="A1576" s="27" t="s">
        <v>1869</v>
      </c>
      <c r="B1576" s="27" t="str">
        <f>"45.07"</f>
        <v>45.07</v>
      </c>
      <c r="C1576" s="64" t="s">
        <v>4548</v>
      </c>
      <c r="D1576" s="27" t="s">
        <v>2229</v>
      </c>
      <c r="E1576" s="27" t="s">
        <v>2232</v>
      </c>
      <c r="F1576" s="27" t="str">
        <f>"45.07"</f>
        <v>45.07</v>
      </c>
      <c r="G1576" s="27" t="s">
        <v>4548</v>
      </c>
      <c r="H1576" s="65" t="str">
        <f t="shared" si="72"/>
        <v>No Change</v>
      </c>
      <c r="I1576" s="65" t="str">
        <f t="shared" si="73"/>
        <v/>
      </c>
      <c r="J1576" s="65" t="str">
        <f t="shared" si="74"/>
        <v/>
      </c>
    </row>
    <row r="1577" spans="1:10" x14ac:dyDescent="0.3">
      <c r="A1577" s="27" t="s">
        <v>4549</v>
      </c>
      <c r="B1577" s="27" t="str">
        <f>"45.0701"</f>
        <v>45.0701</v>
      </c>
      <c r="C1577" s="64" t="s">
        <v>4550</v>
      </c>
      <c r="D1577" s="27" t="s">
        <v>2229</v>
      </c>
      <c r="E1577" s="27" t="s">
        <v>2232</v>
      </c>
      <c r="F1577" s="27" t="str">
        <f>"45.0701"</f>
        <v>45.0701</v>
      </c>
      <c r="G1577" s="27" t="s">
        <v>4550</v>
      </c>
      <c r="H1577" s="65" t="str">
        <f t="shared" si="72"/>
        <v>No Change</v>
      </c>
      <c r="I1577" s="65" t="str">
        <f t="shared" si="73"/>
        <v>450701</v>
      </c>
      <c r="J1577" s="65" t="str">
        <f t="shared" si="74"/>
        <v>450701</v>
      </c>
    </row>
    <row r="1578" spans="1:10" x14ac:dyDescent="0.3">
      <c r="A1578" s="27" t="s">
        <v>224</v>
      </c>
      <c r="B1578" s="27" t="str">
        <f>"45.0702"</f>
        <v>45.0702</v>
      </c>
      <c r="C1578" s="64" t="s">
        <v>225</v>
      </c>
      <c r="D1578" s="27" t="s">
        <v>2229</v>
      </c>
      <c r="E1578" s="27" t="s">
        <v>2232</v>
      </c>
      <c r="F1578" s="27" t="str">
        <f>"45.0702"</f>
        <v>45.0702</v>
      </c>
      <c r="G1578" s="27" t="s">
        <v>225</v>
      </c>
      <c r="H1578" s="65" t="str">
        <f t="shared" si="72"/>
        <v>No Change</v>
      </c>
      <c r="I1578" s="65" t="str">
        <f t="shared" si="73"/>
        <v>450702</v>
      </c>
      <c r="J1578" s="65" t="str">
        <f t="shared" si="74"/>
        <v>450702</v>
      </c>
    </row>
    <row r="1579" spans="1:10" x14ac:dyDescent="0.3">
      <c r="A1579" s="27" t="s">
        <v>4551</v>
      </c>
      <c r="B1579" s="27" t="str">
        <f>"45.0799"</f>
        <v>45.0799</v>
      </c>
      <c r="C1579" s="64" t="s">
        <v>4552</v>
      </c>
      <c r="D1579" s="27" t="s">
        <v>2229</v>
      </c>
      <c r="E1579" s="27" t="s">
        <v>2232</v>
      </c>
      <c r="F1579" s="27" t="str">
        <f>"45.0799"</f>
        <v>45.0799</v>
      </c>
      <c r="G1579" s="27" t="s">
        <v>4552</v>
      </c>
      <c r="H1579" s="65" t="str">
        <f t="shared" si="72"/>
        <v>No Change</v>
      </c>
      <c r="I1579" s="65" t="str">
        <f t="shared" si="73"/>
        <v>450799</v>
      </c>
      <c r="J1579" s="65" t="str">
        <f t="shared" si="74"/>
        <v>450799</v>
      </c>
    </row>
    <row r="1580" spans="1:10" x14ac:dyDescent="0.3">
      <c r="A1580" s="27" t="s">
        <v>1869</v>
      </c>
      <c r="B1580" s="27" t="str">
        <f>"45.09"</f>
        <v>45.09</v>
      </c>
      <c r="C1580" s="64" t="s">
        <v>4553</v>
      </c>
      <c r="D1580" s="27" t="s">
        <v>2229</v>
      </c>
      <c r="E1580" s="27" t="s">
        <v>2232</v>
      </c>
      <c r="F1580" s="27" t="str">
        <f>"45.09"</f>
        <v>45.09</v>
      </c>
      <c r="G1580" s="27" t="s">
        <v>4553</v>
      </c>
      <c r="H1580" s="65" t="str">
        <f t="shared" si="72"/>
        <v>No Change</v>
      </c>
      <c r="I1580" s="65" t="str">
        <f t="shared" si="73"/>
        <v/>
      </c>
      <c r="J1580" s="65" t="str">
        <f t="shared" si="74"/>
        <v/>
      </c>
    </row>
    <row r="1581" spans="1:10" x14ac:dyDescent="0.3">
      <c r="A1581" s="27" t="s">
        <v>4554</v>
      </c>
      <c r="B1581" s="27" t="str">
        <f>"45.0901"</f>
        <v>45.0901</v>
      </c>
      <c r="C1581" s="64" t="s">
        <v>4555</v>
      </c>
      <c r="D1581" s="27" t="s">
        <v>2229</v>
      </c>
      <c r="E1581" s="27" t="s">
        <v>2232</v>
      </c>
      <c r="F1581" s="27" t="str">
        <f>"45.0901"</f>
        <v>45.0901</v>
      </c>
      <c r="G1581" s="27" t="s">
        <v>4555</v>
      </c>
      <c r="H1581" s="65" t="str">
        <f t="shared" si="72"/>
        <v>No Change</v>
      </c>
      <c r="I1581" s="65" t="str">
        <f t="shared" si="73"/>
        <v>450901</v>
      </c>
      <c r="J1581" s="65" t="str">
        <f t="shared" si="74"/>
        <v>450901</v>
      </c>
    </row>
    <row r="1582" spans="1:10" x14ac:dyDescent="0.3">
      <c r="A1582" s="27" t="s">
        <v>4556</v>
      </c>
      <c r="B1582" s="27" t="str">
        <f>"45.0902"</f>
        <v>45.0902</v>
      </c>
      <c r="C1582" s="64" t="s">
        <v>4557</v>
      </c>
      <c r="D1582" s="27" t="s">
        <v>2229</v>
      </c>
      <c r="E1582" s="27" t="s">
        <v>2232</v>
      </c>
      <c r="F1582" s="27" t="str">
        <f>"45.0902"</f>
        <v>45.0902</v>
      </c>
      <c r="G1582" s="27" t="s">
        <v>4557</v>
      </c>
      <c r="H1582" s="65" t="str">
        <f t="shared" si="72"/>
        <v>No Change</v>
      </c>
      <c r="I1582" s="65" t="str">
        <f t="shared" si="73"/>
        <v>450902</v>
      </c>
      <c r="J1582" s="65" t="str">
        <f t="shared" si="74"/>
        <v>450902</v>
      </c>
    </row>
    <row r="1583" spans="1:10" x14ac:dyDescent="0.3">
      <c r="A1583" s="27" t="s">
        <v>4558</v>
      </c>
      <c r="B1583" s="27" t="str">
        <f>"45.0999"</f>
        <v>45.0999</v>
      </c>
      <c r="C1583" s="64" t="s">
        <v>4559</v>
      </c>
      <c r="D1583" s="27" t="s">
        <v>2229</v>
      </c>
      <c r="E1583" s="27" t="s">
        <v>2232</v>
      </c>
      <c r="F1583" s="27" t="str">
        <f>"45.0999"</f>
        <v>45.0999</v>
      </c>
      <c r="G1583" s="27" t="s">
        <v>4559</v>
      </c>
      <c r="H1583" s="65" t="str">
        <f t="shared" si="72"/>
        <v>No Change</v>
      </c>
      <c r="I1583" s="65" t="str">
        <f t="shared" si="73"/>
        <v>450999</v>
      </c>
      <c r="J1583" s="65" t="str">
        <f t="shared" si="74"/>
        <v>450999</v>
      </c>
    </row>
    <row r="1584" spans="1:10" x14ac:dyDescent="0.3">
      <c r="A1584" s="27" t="s">
        <v>1869</v>
      </c>
      <c r="B1584" s="27" t="str">
        <f>"45.10"</f>
        <v>45.10</v>
      </c>
      <c r="C1584" s="64" t="s">
        <v>4560</v>
      </c>
      <c r="D1584" s="27" t="s">
        <v>2229</v>
      </c>
      <c r="E1584" s="27" t="s">
        <v>2232</v>
      </c>
      <c r="F1584" s="27" t="str">
        <f>"45.10"</f>
        <v>45.10</v>
      </c>
      <c r="G1584" s="27" t="s">
        <v>4560</v>
      </c>
      <c r="H1584" s="65" t="str">
        <f t="shared" si="72"/>
        <v>No Change</v>
      </c>
      <c r="I1584" s="65" t="str">
        <f t="shared" si="73"/>
        <v/>
      </c>
      <c r="J1584" s="65" t="str">
        <f t="shared" si="74"/>
        <v/>
      </c>
    </row>
    <row r="1585" spans="1:10" x14ac:dyDescent="0.3">
      <c r="A1585" s="27" t="s">
        <v>4561</v>
      </c>
      <c r="B1585" s="27" t="str">
        <f>"45.1001"</f>
        <v>45.1001</v>
      </c>
      <c r="C1585" s="64" t="s">
        <v>4562</v>
      </c>
      <c r="D1585" s="27" t="s">
        <v>2229</v>
      </c>
      <c r="E1585" s="27" t="s">
        <v>2232</v>
      </c>
      <c r="F1585" s="27" t="str">
        <f>"45.1001"</f>
        <v>45.1001</v>
      </c>
      <c r="G1585" s="27" t="s">
        <v>4562</v>
      </c>
      <c r="H1585" s="65" t="str">
        <f t="shared" si="72"/>
        <v>No Change</v>
      </c>
      <c r="I1585" s="65" t="str">
        <f t="shared" si="73"/>
        <v>451001</v>
      </c>
      <c r="J1585" s="65" t="str">
        <f t="shared" si="74"/>
        <v>451001</v>
      </c>
    </row>
    <row r="1586" spans="1:10" x14ac:dyDescent="0.3">
      <c r="A1586" s="27" t="s">
        <v>4563</v>
      </c>
      <c r="B1586" s="27" t="str">
        <f>"45.1002"</f>
        <v>45.1002</v>
      </c>
      <c r="C1586" s="64" t="s">
        <v>4564</v>
      </c>
      <c r="D1586" s="27" t="s">
        <v>2229</v>
      </c>
      <c r="E1586" s="27" t="s">
        <v>2232</v>
      </c>
      <c r="F1586" s="27" t="str">
        <f>"45.1002"</f>
        <v>45.1002</v>
      </c>
      <c r="G1586" s="27" t="s">
        <v>4564</v>
      </c>
      <c r="H1586" s="65" t="str">
        <f t="shared" si="72"/>
        <v>No Change</v>
      </c>
      <c r="I1586" s="65" t="str">
        <f t="shared" si="73"/>
        <v>451002</v>
      </c>
      <c r="J1586" s="65" t="str">
        <f t="shared" si="74"/>
        <v>451002</v>
      </c>
    </row>
    <row r="1587" spans="1:10" x14ac:dyDescent="0.3">
      <c r="A1587" s="27" t="s">
        <v>4565</v>
      </c>
      <c r="B1587" s="27" t="str">
        <f>"45.1003"</f>
        <v>45.1003</v>
      </c>
      <c r="C1587" s="64" t="s">
        <v>4566</v>
      </c>
      <c r="D1587" s="27" t="s">
        <v>2229</v>
      </c>
      <c r="E1587" s="27" t="s">
        <v>2232</v>
      </c>
      <c r="F1587" s="27" t="str">
        <f>"45.1003"</f>
        <v>45.1003</v>
      </c>
      <c r="G1587" s="27" t="s">
        <v>4566</v>
      </c>
      <c r="H1587" s="65" t="str">
        <f t="shared" si="72"/>
        <v>No Change</v>
      </c>
      <c r="I1587" s="65" t="str">
        <f t="shared" si="73"/>
        <v>451003</v>
      </c>
      <c r="J1587" s="65" t="str">
        <f t="shared" si="74"/>
        <v>451003</v>
      </c>
    </row>
    <row r="1588" spans="1:10" x14ac:dyDescent="0.3">
      <c r="A1588" s="27" t="s">
        <v>4567</v>
      </c>
      <c r="B1588" s="27" t="str">
        <f>"45.1004"</f>
        <v>45.1004</v>
      </c>
      <c r="C1588" s="64" t="s">
        <v>4568</v>
      </c>
      <c r="D1588" s="27" t="s">
        <v>2229</v>
      </c>
      <c r="E1588" s="27" t="s">
        <v>2232</v>
      </c>
      <c r="F1588" s="27" t="str">
        <f>"45.1004"</f>
        <v>45.1004</v>
      </c>
      <c r="G1588" s="27" t="s">
        <v>4568</v>
      </c>
      <c r="H1588" s="65" t="str">
        <f t="shared" si="72"/>
        <v>No Change</v>
      </c>
      <c r="I1588" s="65" t="str">
        <f t="shared" si="73"/>
        <v>451004</v>
      </c>
      <c r="J1588" s="65" t="str">
        <f t="shared" si="74"/>
        <v>451004</v>
      </c>
    </row>
    <row r="1589" spans="1:10" x14ac:dyDescent="0.3">
      <c r="A1589" s="27" t="s">
        <v>4569</v>
      </c>
      <c r="B1589" s="27" t="str">
        <f>"45.1099"</f>
        <v>45.1099</v>
      </c>
      <c r="C1589" s="64" t="s">
        <v>4570</v>
      </c>
      <c r="D1589" s="27" t="s">
        <v>2229</v>
      </c>
      <c r="E1589" s="27" t="s">
        <v>2232</v>
      </c>
      <c r="F1589" s="27" t="str">
        <f>"45.1099"</f>
        <v>45.1099</v>
      </c>
      <c r="G1589" s="27" t="s">
        <v>4570</v>
      </c>
      <c r="H1589" s="65" t="str">
        <f t="shared" si="72"/>
        <v>No Change</v>
      </c>
      <c r="I1589" s="65" t="str">
        <f t="shared" si="73"/>
        <v>451099</v>
      </c>
      <c r="J1589" s="65" t="str">
        <f t="shared" si="74"/>
        <v>451099</v>
      </c>
    </row>
    <row r="1590" spans="1:10" x14ac:dyDescent="0.3">
      <c r="A1590" s="27" t="s">
        <v>1869</v>
      </c>
      <c r="B1590" s="27" t="str">
        <f>"45.11"</f>
        <v>45.11</v>
      </c>
      <c r="C1590" s="64" t="s">
        <v>4571</v>
      </c>
      <c r="D1590" s="27" t="s">
        <v>2229</v>
      </c>
      <c r="E1590" s="27" t="s">
        <v>2232</v>
      </c>
      <c r="F1590" s="27" t="str">
        <f>"45.11"</f>
        <v>45.11</v>
      </c>
      <c r="G1590" s="27" t="s">
        <v>4571</v>
      </c>
      <c r="H1590" s="65" t="str">
        <f t="shared" si="72"/>
        <v>No Change</v>
      </c>
      <c r="I1590" s="65" t="str">
        <f t="shared" si="73"/>
        <v/>
      </c>
      <c r="J1590" s="65" t="str">
        <f t="shared" si="74"/>
        <v/>
      </c>
    </row>
    <row r="1591" spans="1:10" x14ac:dyDescent="0.3">
      <c r="A1591" s="27" t="s">
        <v>4572</v>
      </c>
      <c r="B1591" s="27" t="str">
        <f>"45.1101"</f>
        <v>45.1101</v>
      </c>
      <c r="C1591" s="64" t="s">
        <v>4571</v>
      </c>
      <c r="D1591" s="27" t="s">
        <v>2229</v>
      </c>
      <c r="E1591" s="27" t="s">
        <v>2230</v>
      </c>
      <c r="F1591" s="27" t="str">
        <f>"45.1101"</f>
        <v>45.1101</v>
      </c>
      <c r="G1591" s="27" t="s">
        <v>4573</v>
      </c>
      <c r="H1591" s="65" t="str">
        <f t="shared" si="72"/>
        <v>No Change</v>
      </c>
      <c r="I1591" s="65" t="str">
        <f t="shared" si="73"/>
        <v>451101</v>
      </c>
      <c r="J1591" s="65" t="str">
        <f t="shared" si="74"/>
        <v>451101</v>
      </c>
    </row>
    <row r="1592" spans="1:10" x14ac:dyDescent="0.3">
      <c r="A1592" s="27" t="s">
        <v>1869</v>
      </c>
      <c r="D1592" s="27" t="s">
        <v>2255</v>
      </c>
      <c r="E1592" s="27" t="s">
        <v>2232</v>
      </c>
      <c r="F1592" s="27" t="str">
        <f>"45.1102"</f>
        <v>45.1102</v>
      </c>
      <c r="G1592" s="27" t="s">
        <v>4574</v>
      </c>
      <c r="H1592" s="65" t="str">
        <f t="shared" si="72"/>
        <v>Other</v>
      </c>
      <c r="I1592" s="65" t="str">
        <f t="shared" si="73"/>
        <v/>
      </c>
      <c r="J1592" s="65" t="str">
        <f t="shared" si="74"/>
        <v>451102</v>
      </c>
    </row>
    <row r="1593" spans="1:10" x14ac:dyDescent="0.3">
      <c r="A1593" s="27" t="s">
        <v>1869</v>
      </c>
      <c r="D1593" s="27" t="s">
        <v>2255</v>
      </c>
      <c r="E1593" s="27" t="s">
        <v>2232</v>
      </c>
      <c r="F1593" s="27" t="str">
        <f>"45.1199"</f>
        <v>45.1199</v>
      </c>
      <c r="G1593" s="27" t="s">
        <v>4575</v>
      </c>
      <c r="H1593" s="65" t="str">
        <f t="shared" si="72"/>
        <v>Other</v>
      </c>
      <c r="I1593" s="65" t="str">
        <f t="shared" si="73"/>
        <v/>
      </c>
      <c r="J1593" s="65" t="str">
        <f t="shared" si="74"/>
        <v>451199</v>
      </c>
    </row>
    <row r="1594" spans="1:10" x14ac:dyDescent="0.3">
      <c r="A1594" s="27" t="s">
        <v>1869</v>
      </c>
      <c r="B1594" s="27" t="str">
        <f>"45.12"</f>
        <v>45.12</v>
      </c>
      <c r="C1594" s="64" t="s">
        <v>4576</v>
      </c>
      <c r="D1594" s="27" t="s">
        <v>2229</v>
      </c>
      <c r="E1594" s="27" t="s">
        <v>2232</v>
      </c>
      <c r="F1594" s="27" t="str">
        <f>"45.12"</f>
        <v>45.12</v>
      </c>
      <c r="G1594" s="27" t="s">
        <v>4576</v>
      </c>
      <c r="H1594" s="65" t="str">
        <f t="shared" si="72"/>
        <v>No Change</v>
      </c>
      <c r="I1594" s="65" t="str">
        <f t="shared" si="73"/>
        <v/>
      </c>
      <c r="J1594" s="65" t="str">
        <f t="shared" si="74"/>
        <v/>
      </c>
    </row>
    <row r="1595" spans="1:10" x14ac:dyDescent="0.3">
      <c r="A1595" s="27" t="s">
        <v>4577</v>
      </c>
      <c r="B1595" s="27" t="str">
        <f>"45.1201"</f>
        <v>45.1201</v>
      </c>
      <c r="C1595" s="64" t="s">
        <v>4576</v>
      </c>
      <c r="D1595" s="27" t="s">
        <v>2229</v>
      </c>
      <c r="E1595" s="27" t="s">
        <v>2232</v>
      </c>
      <c r="F1595" s="27" t="str">
        <f>"45.1201"</f>
        <v>45.1201</v>
      </c>
      <c r="G1595" s="27" t="s">
        <v>4576</v>
      </c>
      <c r="H1595" s="65" t="str">
        <f t="shared" si="72"/>
        <v>No Change</v>
      </c>
      <c r="I1595" s="65" t="str">
        <f t="shared" si="73"/>
        <v>451201</v>
      </c>
      <c r="J1595" s="65" t="str">
        <f t="shared" si="74"/>
        <v>451201</v>
      </c>
    </row>
    <row r="1596" spans="1:10" x14ac:dyDescent="0.3">
      <c r="A1596" s="27" t="s">
        <v>1869</v>
      </c>
      <c r="B1596" s="27" t="str">
        <f>"45.13"</f>
        <v>45.13</v>
      </c>
      <c r="C1596" s="64" t="s">
        <v>4578</v>
      </c>
      <c r="D1596" s="27" t="s">
        <v>2229</v>
      </c>
      <c r="E1596" s="27" t="s">
        <v>2232</v>
      </c>
      <c r="F1596" s="27" t="str">
        <f>"45.13"</f>
        <v>45.13</v>
      </c>
      <c r="G1596" s="27" t="s">
        <v>4578</v>
      </c>
      <c r="H1596" s="65" t="str">
        <f t="shared" si="72"/>
        <v>No Change</v>
      </c>
      <c r="I1596" s="65" t="str">
        <f t="shared" si="73"/>
        <v/>
      </c>
      <c r="J1596" s="65" t="str">
        <f t="shared" si="74"/>
        <v/>
      </c>
    </row>
    <row r="1597" spans="1:10" x14ac:dyDescent="0.3">
      <c r="A1597" s="27" t="s">
        <v>4579</v>
      </c>
      <c r="B1597" s="27" t="str">
        <f>"45.1301"</f>
        <v>45.1301</v>
      </c>
      <c r="C1597" s="64" t="s">
        <v>4578</v>
      </c>
      <c r="D1597" s="27" t="s">
        <v>2229</v>
      </c>
      <c r="E1597" s="27" t="s">
        <v>2232</v>
      </c>
      <c r="F1597" s="27" t="str">
        <f>"45.1301"</f>
        <v>45.1301</v>
      </c>
      <c r="G1597" s="27" t="s">
        <v>4578</v>
      </c>
      <c r="H1597" s="65" t="str">
        <f t="shared" si="72"/>
        <v>No Change</v>
      </c>
      <c r="I1597" s="65" t="str">
        <f t="shared" si="73"/>
        <v>451301</v>
      </c>
      <c r="J1597" s="65" t="str">
        <f t="shared" si="74"/>
        <v>451301</v>
      </c>
    </row>
    <row r="1598" spans="1:10" x14ac:dyDescent="0.3">
      <c r="A1598" s="27" t="s">
        <v>1869</v>
      </c>
      <c r="B1598" s="27" t="str">
        <f>"45.14"</f>
        <v>45.14</v>
      </c>
      <c r="C1598" s="64" t="s">
        <v>4580</v>
      </c>
      <c r="D1598" s="27" t="s">
        <v>4581</v>
      </c>
      <c r="E1598" s="27" t="s">
        <v>2232</v>
      </c>
      <c r="F1598" s="27" t="str">
        <f>"45.14"</f>
        <v>45.14</v>
      </c>
      <c r="G1598" s="27" t="s">
        <v>4582</v>
      </c>
      <c r="H1598" s="65" t="str">
        <f t="shared" si="72"/>
        <v>No Change</v>
      </c>
      <c r="I1598" s="65" t="str">
        <f t="shared" si="73"/>
        <v/>
      </c>
      <c r="J1598" s="65" t="str">
        <f t="shared" si="74"/>
        <v/>
      </c>
    </row>
    <row r="1599" spans="1:10" x14ac:dyDescent="0.3">
      <c r="A1599" s="27" t="s">
        <v>4583</v>
      </c>
      <c r="B1599" s="27" t="str">
        <f>"45.1401"</f>
        <v>45.1401</v>
      </c>
      <c r="C1599" s="64" t="s">
        <v>4580</v>
      </c>
      <c r="D1599" s="27" t="s">
        <v>2274</v>
      </c>
      <c r="E1599" s="27" t="s">
        <v>2232</v>
      </c>
      <c r="F1599" s="27" t="str">
        <f>"45.1103"</f>
        <v>45.1103</v>
      </c>
      <c r="G1599" s="27" t="s">
        <v>4580</v>
      </c>
      <c r="H1599" s="65" t="str">
        <f t="shared" si="72"/>
        <v>Other</v>
      </c>
      <c r="I1599" s="65" t="str">
        <f t="shared" si="73"/>
        <v>451401</v>
      </c>
      <c r="J1599" s="65" t="str">
        <f t="shared" si="74"/>
        <v>451103</v>
      </c>
    </row>
    <row r="1600" spans="1:10" x14ac:dyDescent="0.3">
      <c r="A1600" s="27" t="s">
        <v>1869</v>
      </c>
      <c r="D1600" s="27" t="s">
        <v>2255</v>
      </c>
      <c r="E1600" s="27" t="s">
        <v>2232</v>
      </c>
      <c r="F1600" s="27" t="str">
        <f>"45.15"</f>
        <v>45.15</v>
      </c>
      <c r="G1600" s="27" t="s">
        <v>4584</v>
      </c>
      <c r="H1600" s="65" t="str">
        <f t="shared" si="72"/>
        <v>No Change</v>
      </c>
      <c r="I1600" s="65" t="str">
        <f t="shared" si="73"/>
        <v/>
      </c>
      <c r="J1600" s="65" t="str">
        <f t="shared" si="74"/>
        <v/>
      </c>
    </row>
    <row r="1601" spans="1:10" x14ac:dyDescent="0.3">
      <c r="A1601" s="27" t="s">
        <v>1869</v>
      </c>
      <c r="D1601" s="27" t="s">
        <v>2255</v>
      </c>
      <c r="E1601" s="27" t="s">
        <v>2232</v>
      </c>
      <c r="F1601" s="27" t="str">
        <f>"45.1501"</f>
        <v>45.1501</v>
      </c>
      <c r="G1601" s="27" t="s">
        <v>4584</v>
      </c>
      <c r="H1601" s="65" t="str">
        <f t="shared" si="72"/>
        <v>Other</v>
      </c>
      <c r="I1601" s="65" t="str">
        <f t="shared" si="73"/>
        <v/>
      </c>
      <c r="J1601" s="65" t="str">
        <f t="shared" si="74"/>
        <v>451501</v>
      </c>
    </row>
    <row r="1602" spans="1:10" x14ac:dyDescent="0.3">
      <c r="A1602" s="27" t="s">
        <v>1869</v>
      </c>
      <c r="B1602" s="27" t="str">
        <f>"45.99"</f>
        <v>45.99</v>
      </c>
      <c r="C1602" s="64" t="s">
        <v>4513</v>
      </c>
      <c r="D1602" s="27" t="s">
        <v>2229</v>
      </c>
      <c r="E1602" s="27" t="s">
        <v>2232</v>
      </c>
      <c r="F1602" s="27" t="str">
        <f>"45.99"</f>
        <v>45.99</v>
      </c>
      <c r="G1602" s="27" t="s">
        <v>4513</v>
      </c>
      <c r="H1602" s="65" t="str">
        <f t="shared" si="72"/>
        <v>No Change</v>
      </c>
      <c r="I1602" s="65" t="str">
        <f t="shared" si="73"/>
        <v/>
      </c>
      <c r="J1602" s="65" t="str">
        <f t="shared" si="74"/>
        <v/>
      </c>
    </row>
    <row r="1603" spans="1:10" x14ac:dyDescent="0.3">
      <c r="A1603" s="27" t="s">
        <v>4585</v>
      </c>
      <c r="B1603" s="27" t="str">
        <f>"45.9999"</f>
        <v>45.9999</v>
      </c>
      <c r="C1603" s="64" t="s">
        <v>4513</v>
      </c>
      <c r="D1603" s="27" t="s">
        <v>2229</v>
      </c>
      <c r="E1603" s="27" t="s">
        <v>2232</v>
      </c>
      <c r="F1603" s="27" t="str">
        <f>"45.9999"</f>
        <v>45.9999</v>
      </c>
      <c r="G1603" s="27" t="s">
        <v>4513</v>
      </c>
      <c r="H1603" s="65" t="str">
        <f t="shared" ref="H1603:H1666" si="75">IF(I1603=J1603,"No Change","Other")</f>
        <v>No Change</v>
      </c>
      <c r="I1603" s="65" t="str">
        <f t="shared" ref="I1603:I1666" si="76">SUBSTITUTE(IF(SUM(LEN(B1603))&lt;7,"",B1603),".","")</f>
        <v>459999</v>
      </c>
      <c r="J1603" s="65" t="str">
        <f t="shared" ref="J1603:J1666" si="77">SUBSTITUTE(IF(SUM(LEN(F1603))&lt;7,"",F1603),".","")</f>
        <v>459999</v>
      </c>
    </row>
    <row r="1604" spans="1:10" x14ac:dyDescent="0.3">
      <c r="A1604" s="27" t="s">
        <v>1869</v>
      </c>
      <c r="B1604" s="27" t="str">
        <f>"46"</f>
        <v>46</v>
      </c>
      <c r="C1604" s="64" t="s">
        <v>4586</v>
      </c>
      <c r="D1604" s="27" t="s">
        <v>2229</v>
      </c>
      <c r="E1604" s="27" t="s">
        <v>2232</v>
      </c>
      <c r="F1604" s="27" t="str">
        <f>"46"</f>
        <v>46</v>
      </c>
      <c r="G1604" s="27" t="s">
        <v>4586</v>
      </c>
      <c r="H1604" s="65" t="str">
        <f t="shared" si="75"/>
        <v>No Change</v>
      </c>
      <c r="I1604" s="65" t="str">
        <f t="shared" si="76"/>
        <v/>
      </c>
      <c r="J1604" s="65" t="str">
        <f t="shared" si="77"/>
        <v/>
      </c>
    </row>
    <row r="1605" spans="1:10" x14ac:dyDescent="0.3">
      <c r="A1605" s="27" t="s">
        <v>1869</v>
      </c>
      <c r="B1605" s="27" t="str">
        <f>"46.00"</f>
        <v>46.00</v>
      </c>
      <c r="C1605" s="64" t="s">
        <v>4587</v>
      </c>
      <c r="D1605" s="27" t="s">
        <v>2229</v>
      </c>
      <c r="E1605" s="27" t="s">
        <v>2232</v>
      </c>
      <c r="F1605" s="27" t="str">
        <f>"46.00"</f>
        <v>46.00</v>
      </c>
      <c r="G1605" s="27" t="s">
        <v>4587</v>
      </c>
      <c r="H1605" s="65" t="str">
        <f t="shared" si="75"/>
        <v>No Change</v>
      </c>
      <c r="I1605" s="65" t="str">
        <f t="shared" si="76"/>
        <v/>
      </c>
      <c r="J1605" s="65" t="str">
        <f t="shared" si="77"/>
        <v/>
      </c>
    </row>
    <row r="1606" spans="1:10" x14ac:dyDescent="0.3">
      <c r="A1606" s="27" t="s">
        <v>4588</v>
      </c>
      <c r="B1606" s="27" t="str">
        <f>"46.0000"</f>
        <v>46.0000</v>
      </c>
      <c r="C1606" s="64" t="s">
        <v>4587</v>
      </c>
      <c r="D1606" s="27" t="s">
        <v>2229</v>
      </c>
      <c r="E1606" s="27" t="s">
        <v>2232</v>
      </c>
      <c r="F1606" s="27" t="str">
        <f>"46.0000"</f>
        <v>46.0000</v>
      </c>
      <c r="G1606" s="27" t="s">
        <v>4587</v>
      </c>
      <c r="H1606" s="65" t="str">
        <f t="shared" si="75"/>
        <v>No Change</v>
      </c>
      <c r="I1606" s="65" t="str">
        <f t="shared" si="76"/>
        <v>460000</v>
      </c>
      <c r="J1606" s="65" t="str">
        <f t="shared" si="77"/>
        <v>460000</v>
      </c>
    </row>
    <row r="1607" spans="1:10" x14ac:dyDescent="0.3">
      <c r="A1607" s="27" t="s">
        <v>1869</v>
      </c>
      <c r="B1607" s="27" t="str">
        <f>"46.01"</f>
        <v>46.01</v>
      </c>
      <c r="C1607" s="64" t="s">
        <v>994</v>
      </c>
      <c r="D1607" s="27" t="s">
        <v>2229</v>
      </c>
      <c r="E1607" s="27" t="s">
        <v>2232</v>
      </c>
      <c r="F1607" s="27" t="str">
        <f>"46.01"</f>
        <v>46.01</v>
      </c>
      <c r="G1607" s="27" t="s">
        <v>994</v>
      </c>
      <c r="H1607" s="65" t="str">
        <f t="shared" si="75"/>
        <v>No Change</v>
      </c>
      <c r="I1607" s="65" t="str">
        <f t="shared" si="76"/>
        <v/>
      </c>
      <c r="J1607" s="65" t="str">
        <f t="shared" si="77"/>
        <v/>
      </c>
    </row>
    <row r="1608" spans="1:10" x14ac:dyDescent="0.3">
      <c r="A1608" s="27" t="s">
        <v>993</v>
      </c>
      <c r="B1608" s="27" t="str">
        <f>"46.0101"</f>
        <v>46.0101</v>
      </c>
      <c r="C1608" s="64" t="s">
        <v>994</v>
      </c>
      <c r="D1608" s="27" t="s">
        <v>2229</v>
      </c>
      <c r="E1608" s="27" t="s">
        <v>2232</v>
      </c>
      <c r="F1608" s="27" t="str">
        <f>"46.0101"</f>
        <v>46.0101</v>
      </c>
      <c r="G1608" s="27" t="s">
        <v>994</v>
      </c>
      <c r="H1608" s="65" t="str">
        <f t="shared" si="75"/>
        <v>No Change</v>
      </c>
      <c r="I1608" s="65" t="str">
        <f t="shared" si="76"/>
        <v>460101</v>
      </c>
      <c r="J1608" s="65" t="str">
        <f t="shared" si="77"/>
        <v>460101</v>
      </c>
    </row>
    <row r="1609" spans="1:10" x14ac:dyDescent="0.3">
      <c r="A1609" s="27" t="s">
        <v>1869</v>
      </c>
      <c r="B1609" s="27" t="str">
        <f>"46.02"</f>
        <v>46.02</v>
      </c>
      <c r="C1609" s="64" t="s">
        <v>4589</v>
      </c>
      <c r="D1609" s="27" t="s">
        <v>2229</v>
      </c>
      <c r="E1609" s="27" t="s">
        <v>2232</v>
      </c>
      <c r="F1609" s="27" t="str">
        <f>"46.02"</f>
        <v>46.02</v>
      </c>
      <c r="G1609" s="27" t="s">
        <v>4589</v>
      </c>
      <c r="H1609" s="65" t="str">
        <f t="shared" si="75"/>
        <v>No Change</v>
      </c>
      <c r="I1609" s="65" t="str">
        <f t="shared" si="76"/>
        <v/>
      </c>
      <c r="J1609" s="65" t="str">
        <f t="shared" si="77"/>
        <v/>
      </c>
    </row>
    <row r="1610" spans="1:10" x14ac:dyDescent="0.3">
      <c r="A1610" s="27" t="s">
        <v>722</v>
      </c>
      <c r="B1610" s="27" t="str">
        <f>"46.0201"</f>
        <v>46.0201</v>
      </c>
      <c r="C1610" s="64" t="s">
        <v>723</v>
      </c>
      <c r="D1610" s="27" t="s">
        <v>2229</v>
      </c>
      <c r="E1610" s="27" t="s">
        <v>2232</v>
      </c>
      <c r="F1610" s="27" t="str">
        <f>"46.0201"</f>
        <v>46.0201</v>
      </c>
      <c r="G1610" s="27" t="s">
        <v>723</v>
      </c>
      <c r="H1610" s="65" t="str">
        <f t="shared" si="75"/>
        <v>No Change</v>
      </c>
      <c r="I1610" s="65" t="str">
        <f t="shared" si="76"/>
        <v>460201</v>
      </c>
      <c r="J1610" s="65" t="str">
        <f t="shared" si="77"/>
        <v>460201</v>
      </c>
    </row>
    <row r="1611" spans="1:10" x14ac:dyDescent="0.3">
      <c r="A1611" s="27" t="s">
        <v>1869</v>
      </c>
      <c r="B1611" s="27" t="str">
        <f>"46.03"</f>
        <v>46.03</v>
      </c>
      <c r="C1611" s="64" t="s">
        <v>4590</v>
      </c>
      <c r="D1611" s="27" t="s">
        <v>2229</v>
      </c>
      <c r="E1611" s="27" t="s">
        <v>2232</v>
      </c>
      <c r="F1611" s="27" t="str">
        <f>"46.03"</f>
        <v>46.03</v>
      </c>
      <c r="G1611" s="27" t="s">
        <v>4590</v>
      </c>
      <c r="H1611" s="65" t="str">
        <f t="shared" si="75"/>
        <v>No Change</v>
      </c>
      <c r="I1611" s="65" t="str">
        <f t="shared" si="76"/>
        <v/>
      </c>
      <c r="J1611" s="65" t="str">
        <f t="shared" si="77"/>
        <v/>
      </c>
    </row>
    <row r="1612" spans="1:10" ht="28.8" x14ac:dyDescent="0.3">
      <c r="A1612" s="27" t="s">
        <v>701</v>
      </c>
      <c r="B1612" s="27" t="str">
        <f>"46.0301"</f>
        <v>46.0301</v>
      </c>
      <c r="C1612" s="64" t="s">
        <v>4591</v>
      </c>
      <c r="D1612" s="27" t="s">
        <v>2229</v>
      </c>
      <c r="E1612" s="27" t="s">
        <v>2232</v>
      </c>
      <c r="F1612" s="27" t="str">
        <f>"46.0301"</f>
        <v>46.0301</v>
      </c>
      <c r="G1612" s="27" t="s">
        <v>4591</v>
      </c>
      <c r="H1612" s="65" t="str">
        <f t="shared" si="75"/>
        <v>No Change</v>
      </c>
      <c r="I1612" s="65" t="str">
        <f t="shared" si="76"/>
        <v>460301</v>
      </c>
      <c r="J1612" s="65" t="str">
        <f t="shared" si="77"/>
        <v>460301</v>
      </c>
    </row>
    <row r="1613" spans="1:10" x14ac:dyDescent="0.3">
      <c r="A1613" s="27" t="s">
        <v>273</v>
      </c>
      <c r="B1613" s="27" t="str">
        <f>"46.0302"</f>
        <v>46.0302</v>
      </c>
      <c r="C1613" s="64" t="s">
        <v>274</v>
      </c>
      <c r="D1613" s="27" t="s">
        <v>2229</v>
      </c>
      <c r="E1613" s="27" t="s">
        <v>2232</v>
      </c>
      <c r="F1613" s="27" t="str">
        <f>"46.0302"</f>
        <v>46.0302</v>
      </c>
      <c r="G1613" s="27" t="s">
        <v>274</v>
      </c>
      <c r="H1613" s="65" t="str">
        <f t="shared" si="75"/>
        <v>No Change</v>
      </c>
      <c r="I1613" s="65" t="str">
        <f t="shared" si="76"/>
        <v>460302</v>
      </c>
      <c r="J1613" s="65" t="str">
        <f t="shared" si="77"/>
        <v>460302</v>
      </c>
    </row>
    <row r="1614" spans="1:10" x14ac:dyDescent="0.3">
      <c r="A1614" s="27" t="s">
        <v>604</v>
      </c>
      <c r="B1614" s="27" t="str">
        <f>"46.0303"</f>
        <v>46.0303</v>
      </c>
      <c r="C1614" s="64" t="s">
        <v>605</v>
      </c>
      <c r="D1614" s="27" t="s">
        <v>2229</v>
      </c>
      <c r="E1614" s="27" t="s">
        <v>2232</v>
      </c>
      <c r="F1614" s="27" t="str">
        <f>"46.0303"</f>
        <v>46.0303</v>
      </c>
      <c r="G1614" s="27" t="s">
        <v>605</v>
      </c>
      <c r="H1614" s="65" t="str">
        <f t="shared" si="75"/>
        <v>No Change</v>
      </c>
      <c r="I1614" s="65" t="str">
        <f t="shared" si="76"/>
        <v>460303</v>
      </c>
      <c r="J1614" s="65" t="str">
        <f t="shared" si="77"/>
        <v>460303</v>
      </c>
    </row>
    <row r="1615" spans="1:10" x14ac:dyDescent="0.3">
      <c r="A1615" s="27" t="s">
        <v>4592</v>
      </c>
      <c r="B1615" s="27" t="str">
        <f>"46.0399"</f>
        <v>46.0399</v>
      </c>
      <c r="C1615" s="64" t="s">
        <v>4593</v>
      </c>
      <c r="D1615" s="27" t="s">
        <v>2229</v>
      </c>
      <c r="E1615" s="27" t="s">
        <v>2232</v>
      </c>
      <c r="F1615" s="27" t="str">
        <f>"46.0399"</f>
        <v>46.0399</v>
      </c>
      <c r="G1615" s="27" t="s">
        <v>4593</v>
      </c>
      <c r="H1615" s="65" t="str">
        <f t="shared" si="75"/>
        <v>No Change</v>
      </c>
      <c r="I1615" s="65" t="str">
        <f t="shared" si="76"/>
        <v>460399</v>
      </c>
      <c r="J1615" s="65" t="str">
        <f t="shared" si="77"/>
        <v>460399</v>
      </c>
    </row>
    <row r="1616" spans="1:10" x14ac:dyDescent="0.3">
      <c r="A1616" s="27" t="s">
        <v>1869</v>
      </c>
      <c r="B1616" s="27" t="str">
        <f>"46.04"</f>
        <v>46.04</v>
      </c>
      <c r="C1616" s="64" t="s">
        <v>4594</v>
      </c>
      <c r="D1616" s="27" t="s">
        <v>2229</v>
      </c>
      <c r="E1616" s="27" t="s">
        <v>2232</v>
      </c>
      <c r="F1616" s="27" t="str">
        <f>"46.04"</f>
        <v>46.04</v>
      </c>
      <c r="G1616" s="27" t="s">
        <v>4594</v>
      </c>
      <c r="H1616" s="65" t="str">
        <f t="shared" si="75"/>
        <v>No Change</v>
      </c>
      <c r="I1616" s="65" t="str">
        <f t="shared" si="76"/>
        <v/>
      </c>
      <c r="J1616" s="65" t="str">
        <f t="shared" si="77"/>
        <v/>
      </c>
    </row>
    <row r="1617" spans="1:10" x14ac:dyDescent="0.3">
      <c r="A1617" s="27" t="s">
        <v>4595</v>
      </c>
      <c r="B1617" s="27" t="str">
        <f>"46.0401"</f>
        <v>46.0401</v>
      </c>
      <c r="C1617" s="64" t="s">
        <v>4596</v>
      </c>
      <c r="D1617" s="27" t="s">
        <v>2229</v>
      </c>
      <c r="E1617" s="27" t="s">
        <v>2232</v>
      </c>
      <c r="F1617" s="27" t="str">
        <f>"46.0401"</f>
        <v>46.0401</v>
      </c>
      <c r="G1617" s="27" t="s">
        <v>4596</v>
      </c>
      <c r="H1617" s="65" t="str">
        <f t="shared" si="75"/>
        <v>No Change</v>
      </c>
      <c r="I1617" s="65" t="str">
        <f t="shared" si="76"/>
        <v>460401</v>
      </c>
      <c r="J1617" s="65" t="str">
        <f t="shared" si="77"/>
        <v>460401</v>
      </c>
    </row>
    <row r="1618" spans="1:10" x14ac:dyDescent="0.3">
      <c r="A1618" s="27" t="s">
        <v>4597</v>
      </c>
      <c r="B1618" s="27" t="str">
        <f>"46.0402"</f>
        <v>46.0402</v>
      </c>
      <c r="C1618" s="64" t="s">
        <v>4598</v>
      </c>
      <c r="D1618" s="27" t="s">
        <v>2229</v>
      </c>
      <c r="E1618" s="27" t="s">
        <v>2232</v>
      </c>
      <c r="F1618" s="27" t="str">
        <f>"46.0402"</f>
        <v>46.0402</v>
      </c>
      <c r="G1618" s="27" t="s">
        <v>4598</v>
      </c>
      <c r="H1618" s="65" t="str">
        <f t="shared" si="75"/>
        <v>No Change</v>
      </c>
      <c r="I1618" s="65" t="str">
        <f t="shared" si="76"/>
        <v>460402</v>
      </c>
      <c r="J1618" s="65" t="str">
        <f t="shared" si="77"/>
        <v>460402</v>
      </c>
    </row>
    <row r="1619" spans="1:10" x14ac:dyDescent="0.3">
      <c r="A1619" s="27" t="s">
        <v>4599</v>
      </c>
      <c r="B1619" s="27" t="str">
        <f>"46.0403"</f>
        <v>46.0403</v>
      </c>
      <c r="C1619" s="64" t="s">
        <v>4600</v>
      </c>
      <c r="D1619" s="27" t="s">
        <v>2229</v>
      </c>
      <c r="E1619" s="27" t="s">
        <v>2232</v>
      </c>
      <c r="F1619" s="27" t="str">
        <f>"46.0403"</f>
        <v>46.0403</v>
      </c>
      <c r="G1619" s="27" t="s">
        <v>4600</v>
      </c>
      <c r="H1619" s="65" t="str">
        <f t="shared" si="75"/>
        <v>No Change</v>
      </c>
      <c r="I1619" s="65" t="str">
        <f t="shared" si="76"/>
        <v>460403</v>
      </c>
      <c r="J1619" s="65" t="str">
        <f t="shared" si="77"/>
        <v>460403</v>
      </c>
    </row>
    <row r="1620" spans="1:10" x14ac:dyDescent="0.3">
      <c r="A1620" s="27" t="s">
        <v>4601</v>
      </c>
      <c r="B1620" s="27" t="str">
        <f>"46.0404"</f>
        <v>46.0404</v>
      </c>
      <c r="C1620" s="64" t="s">
        <v>4602</v>
      </c>
      <c r="D1620" s="27" t="s">
        <v>2229</v>
      </c>
      <c r="E1620" s="27" t="s">
        <v>2232</v>
      </c>
      <c r="F1620" s="27" t="str">
        <f>"46.0404"</f>
        <v>46.0404</v>
      </c>
      <c r="G1620" s="27" t="s">
        <v>4602</v>
      </c>
      <c r="H1620" s="65" t="str">
        <f t="shared" si="75"/>
        <v>No Change</v>
      </c>
      <c r="I1620" s="65" t="str">
        <f t="shared" si="76"/>
        <v>460404</v>
      </c>
      <c r="J1620" s="65" t="str">
        <f t="shared" si="77"/>
        <v>460404</v>
      </c>
    </row>
    <row r="1621" spans="1:10" x14ac:dyDescent="0.3">
      <c r="A1621" s="27" t="s">
        <v>4603</v>
      </c>
      <c r="B1621" s="27" t="str">
        <f>"46.0406"</f>
        <v>46.0406</v>
      </c>
      <c r="C1621" s="64" t="s">
        <v>4604</v>
      </c>
      <c r="D1621" s="27" t="s">
        <v>2229</v>
      </c>
      <c r="E1621" s="27" t="s">
        <v>2232</v>
      </c>
      <c r="F1621" s="27" t="str">
        <f>"46.0406"</f>
        <v>46.0406</v>
      </c>
      <c r="G1621" s="27" t="s">
        <v>4604</v>
      </c>
      <c r="H1621" s="65" t="str">
        <f t="shared" si="75"/>
        <v>No Change</v>
      </c>
      <c r="I1621" s="65" t="str">
        <f t="shared" si="76"/>
        <v>460406</v>
      </c>
      <c r="J1621" s="65" t="str">
        <f t="shared" si="77"/>
        <v>460406</v>
      </c>
    </row>
    <row r="1622" spans="1:10" x14ac:dyDescent="0.3">
      <c r="A1622" s="27" t="s">
        <v>1002</v>
      </c>
      <c r="B1622" s="27" t="str">
        <f>"46.0408"</f>
        <v>46.0408</v>
      </c>
      <c r="C1622" s="64" t="s">
        <v>1003</v>
      </c>
      <c r="D1622" s="27" t="s">
        <v>2229</v>
      </c>
      <c r="E1622" s="27" t="s">
        <v>2232</v>
      </c>
      <c r="F1622" s="27" t="str">
        <f>"46.0408"</f>
        <v>46.0408</v>
      </c>
      <c r="G1622" s="27" t="s">
        <v>1003</v>
      </c>
      <c r="H1622" s="65" t="str">
        <f t="shared" si="75"/>
        <v>No Change</v>
      </c>
      <c r="I1622" s="65" t="str">
        <f t="shared" si="76"/>
        <v>460408</v>
      </c>
      <c r="J1622" s="65" t="str">
        <f t="shared" si="77"/>
        <v>460408</v>
      </c>
    </row>
    <row r="1623" spans="1:10" x14ac:dyDescent="0.3">
      <c r="A1623" s="27" t="s">
        <v>1833</v>
      </c>
      <c r="B1623" s="27" t="str">
        <f>"46.0410"</f>
        <v>46.0410</v>
      </c>
      <c r="C1623" s="64" t="s">
        <v>4605</v>
      </c>
      <c r="D1623" s="27" t="s">
        <v>2229</v>
      </c>
      <c r="E1623" s="27" t="s">
        <v>2232</v>
      </c>
      <c r="F1623" s="27" t="str">
        <f>"46.0410"</f>
        <v>46.0410</v>
      </c>
      <c r="G1623" s="27" t="s">
        <v>4605</v>
      </c>
      <c r="H1623" s="65" t="str">
        <f t="shared" si="75"/>
        <v>No Change</v>
      </c>
      <c r="I1623" s="65" t="str">
        <f t="shared" si="76"/>
        <v>460410</v>
      </c>
      <c r="J1623" s="65" t="str">
        <f t="shared" si="77"/>
        <v>460410</v>
      </c>
    </row>
    <row r="1624" spans="1:10" x14ac:dyDescent="0.3">
      <c r="A1624" s="27" t="s">
        <v>4606</v>
      </c>
      <c r="B1624" s="27" t="str">
        <f>"46.0411"</f>
        <v>46.0411</v>
      </c>
      <c r="C1624" s="64" t="s">
        <v>4607</v>
      </c>
      <c r="D1624" s="27" t="s">
        <v>2229</v>
      </c>
      <c r="E1624" s="27" t="s">
        <v>2232</v>
      </c>
      <c r="F1624" s="27" t="str">
        <f>"46.0411"</f>
        <v>46.0411</v>
      </c>
      <c r="G1624" s="27" t="s">
        <v>4607</v>
      </c>
      <c r="H1624" s="65" t="str">
        <f t="shared" si="75"/>
        <v>No Change</v>
      </c>
      <c r="I1624" s="65" t="str">
        <f t="shared" si="76"/>
        <v>460411</v>
      </c>
      <c r="J1624" s="65" t="str">
        <f t="shared" si="77"/>
        <v>460411</v>
      </c>
    </row>
    <row r="1625" spans="1:10" x14ac:dyDescent="0.3">
      <c r="A1625" s="27" t="s">
        <v>645</v>
      </c>
      <c r="B1625" s="27" t="str">
        <f>"46.0412"</f>
        <v>46.0412</v>
      </c>
      <c r="C1625" s="64" t="s">
        <v>646</v>
      </c>
      <c r="D1625" s="27" t="s">
        <v>2229</v>
      </c>
      <c r="E1625" s="27" t="s">
        <v>2232</v>
      </c>
      <c r="F1625" s="27" t="str">
        <f>"46.0412"</f>
        <v>46.0412</v>
      </c>
      <c r="G1625" s="27" t="s">
        <v>646</v>
      </c>
      <c r="H1625" s="65" t="str">
        <f t="shared" si="75"/>
        <v>No Change</v>
      </c>
      <c r="I1625" s="65" t="str">
        <f t="shared" si="76"/>
        <v>460412</v>
      </c>
      <c r="J1625" s="65" t="str">
        <f t="shared" si="77"/>
        <v>460412</v>
      </c>
    </row>
    <row r="1626" spans="1:10" x14ac:dyDescent="0.3">
      <c r="A1626" s="27" t="s">
        <v>4608</v>
      </c>
      <c r="B1626" s="27" t="str">
        <f>"46.0413"</f>
        <v>46.0413</v>
      </c>
      <c r="C1626" s="64" t="s">
        <v>4609</v>
      </c>
      <c r="D1626" s="27" t="s">
        <v>2229</v>
      </c>
      <c r="E1626" s="27" t="s">
        <v>2232</v>
      </c>
      <c r="F1626" s="27" t="str">
        <f>"46.0413"</f>
        <v>46.0413</v>
      </c>
      <c r="G1626" s="27" t="s">
        <v>4609</v>
      </c>
      <c r="H1626" s="65" t="str">
        <f t="shared" si="75"/>
        <v>No Change</v>
      </c>
      <c r="I1626" s="65" t="str">
        <f t="shared" si="76"/>
        <v>460413</v>
      </c>
      <c r="J1626" s="65" t="str">
        <f t="shared" si="77"/>
        <v>460413</v>
      </c>
    </row>
    <row r="1627" spans="1:10" x14ac:dyDescent="0.3">
      <c r="A1627" s="27" t="s">
        <v>4610</v>
      </c>
      <c r="B1627" s="27" t="str">
        <f>"46.0414"</f>
        <v>46.0414</v>
      </c>
      <c r="C1627" s="64" t="s">
        <v>4611</v>
      </c>
      <c r="D1627" s="27" t="s">
        <v>2229</v>
      </c>
      <c r="E1627" s="27" t="s">
        <v>2232</v>
      </c>
      <c r="F1627" s="27" t="str">
        <f>"46.0414"</f>
        <v>46.0414</v>
      </c>
      <c r="G1627" s="27" t="s">
        <v>4611</v>
      </c>
      <c r="H1627" s="65" t="str">
        <f t="shared" si="75"/>
        <v>No Change</v>
      </c>
      <c r="I1627" s="65" t="str">
        <f t="shared" si="76"/>
        <v>460414</v>
      </c>
      <c r="J1627" s="65" t="str">
        <f t="shared" si="77"/>
        <v>460414</v>
      </c>
    </row>
    <row r="1628" spans="1:10" x14ac:dyDescent="0.3">
      <c r="A1628" s="27" t="s">
        <v>441</v>
      </c>
      <c r="B1628" s="27" t="str">
        <f>"46.0415"</f>
        <v>46.0415</v>
      </c>
      <c r="C1628" s="64" t="s">
        <v>4612</v>
      </c>
      <c r="D1628" s="27" t="s">
        <v>2229</v>
      </c>
      <c r="E1628" s="27" t="s">
        <v>2230</v>
      </c>
      <c r="F1628" s="27" t="str">
        <f>"46.0415"</f>
        <v>46.0415</v>
      </c>
      <c r="G1628" s="27" t="s">
        <v>442</v>
      </c>
      <c r="H1628" s="65" t="str">
        <f t="shared" si="75"/>
        <v>No Change</v>
      </c>
      <c r="I1628" s="65" t="str">
        <f t="shared" si="76"/>
        <v>460415</v>
      </c>
      <c r="J1628" s="65" t="str">
        <f t="shared" si="77"/>
        <v>460415</v>
      </c>
    </row>
    <row r="1629" spans="1:10" ht="28.8" x14ac:dyDescent="0.3">
      <c r="A1629" s="27" t="s">
        <v>4613</v>
      </c>
      <c r="B1629" s="27" t="str">
        <f>"46.0499"</f>
        <v>46.0499</v>
      </c>
      <c r="C1629" s="64" t="s">
        <v>4614</v>
      </c>
      <c r="D1629" s="27" t="s">
        <v>2229</v>
      </c>
      <c r="E1629" s="27" t="s">
        <v>2232</v>
      </c>
      <c r="F1629" s="27" t="str">
        <f>"46.0499"</f>
        <v>46.0499</v>
      </c>
      <c r="G1629" s="27" t="s">
        <v>4614</v>
      </c>
      <c r="H1629" s="65" t="str">
        <f t="shared" si="75"/>
        <v>No Change</v>
      </c>
      <c r="I1629" s="65" t="str">
        <f t="shared" si="76"/>
        <v>460499</v>
      </c>
      <c r="J1629" s="65" t="str">
        <f t="shared" si="77"/>
        <v>460499</v>
      </c>
    </row>
    <row r="1630" spans="1:10" x14ac:dyDescent="0.3">
      <c r="A1630" s="27" t="s">
        <v>1869</v>
      </c>
      <c r="B1630" s="27" t="str">
        <f>"46.05"</f>
        <v>46.05</v>
      </c>
      <c r="C1630" s="64" t="s">
        <v>4615</v>
      </c>
      <c r="D1630" s="27" t="s">
        <v>2229</v>
      </c>
      <c r="E1630" s="27" t="s">
        <v>2232</v>
      </c>
      <c r="F1630" s="27" t="str">
        <f>"46.05"</f>
        <v>46.05</v>
      </c>
      <c r="G1630" s="27" t="s">
        <v>4615</v>
      </c>
      <c r="H1630" s="65" t="str">
        <f t="shared" si="75"/>
        <v>No Change</v>
      </c>
      <c r="I1630" s="65" t="str">
        <f t="shared" si="76"/>
        <v/>
      </c>
      <c r="J1630" s="65" t="str">
        <f t="shared" si="77"/>
        <v/>
      </c>
    </row>
    <row r="1631" spans="1:10" x14ac:dyDescent="0.3">
      <c r="A1631" s="27" t="s">
        <v>1835</v>
      </c>
      <c r="B1631" s="27" t="str">
        <f>"46.0502"</f>
        <v>46.0502</v>
      </c>
      <c r="C1631" s="64" t="s">
        <v>4616</v>
      </c>
      <c r="D1631" s="27" t="s">
        <v>2229</v>
      </c>
      <c r="E1631" s="27" t="s">
        <v>2232</v>
      </c>
      <c r="F1631" s="27" t="str">
        <f>"46.0502"</f>
        <v>46.0502</v>
      </c>
      <c r="G1631" s="27" t="s">
        <v>4616</v>
      </c>
      <c r="H1631" s="65" t="str">
        <f t="shared" si="75"/>
        <v>No Change</v>
      </c>
      <c r="I1631" s="65" t="str">
        <f t="shared" si="76"/>
        <v>460502</v>
      </c>
      <c r="J1631" s="65" t="str">
        <f t="shared" si="77"/>
        <v>460502</v>
      </c>
    </row>
    <row r="1632" spans="1:10" x14ac:dyDescent="0.3">
      <c r="A1632" s="27" t="s">
        <v>635</v>
      </c>
      <c r="B1632" s="27" t="str">
        <f>"46.0503"</f>
        <v>46.0503</v>
      </c>
      <c r="C1632" s="64" t="s">
        <v>636</v>
      </c>
      <c r="D1632" s="27" t="s">
        <v>2229</v>
      </c>
      <c r="E1632" s="27" t="s">
        <v>2232</v>
      </c>
      <c r="F1632" s="27" t="str">
        <f>"46.0503"</f>
        <v>46.0503</v>
      </c>
      <c r="G1632" s="27" t="s">
        <v>636</v>
      </c>
      <c r="H1632" s="65" t="str">
        <f t="shared" si="75"/>
        <v>No Change</v>
      </c>
      <c r="I1632" s="65" t="str">
        <f t="shared" si="76"/>
        <v>460503</v>
      </c>
      <c r="J1632" s="65" t="str">
        <f t="shared" si="77"/>
        <v>460503</v>
      </c>
    </row>
    <row r="1633" spans="1:10" x14ac:dyDescent="0.3">
      <c r="A1633" s="27" t="s">
        <v>4617</v>
      </c>
      <c r="B1633" s="27" t="str">
        <f>"46.0504"</f>
        <v>46.0504</v>
      </c>
      <c r="C1633" s="64" t="s">
        <v>4618</v>
      </c>
      <c r="D1633" s="27" t="s">
        <v>2229</v>
      </c>
      <c r="E1633" s="27" t="s">
        <v>2232</v>
      </c>
      <c r="F1633" s="27" t="str">
        <f>"46.0504"</f>
        <v>46.0504</v>
      </c>
      <c r="G1633" s="27" t="s">
        <v>4618</v>
      </c>
      <c r="H1633" s="65" t="str">
        <f t="shared" si="75"/>
        <v>No Change</v>
      </c>
      <c r="I1633" s="65" t="str">
        <f t="shared" si="76"/>
        <v>460504</v>
      </c>
      <c r="J1633" s="65" t="str">
        <f t="shared" si="77"/>
        <v>460504</v>
      </c>
    </row>
    <row r="1634" spans="1:10" x14ac:dyDescent="0.3">
      <c r="A1634" s="27" t="s">
        <v>4619</v>
      </c>
      <c r="B1634" s="27" t="str">
        <f>"46.0505"</f>
        <v>46.0505</v>
      </c>
      <c r="C1634" s="64" t="s">
        <v>4620</v>
      </c>
      <c r="D1634" s="27" t="s">
        <v>2229</v>
      </c>
      <c r="E1634" s="27" t="s">
        <v>2232</v>
      </c>
      <c r="F1634" s="27" t="str">
        <f>"46.0505"</f>
        <v>46.0505</v>
      </c>
      <c r="G1634" s="27" t="s">
        <v>4620</v>
      </c>
      <c r="H1634" s="65" t="str">
        <f t="shared" si="75"/>
        <v>No Change</v>
      </c>
      <c r="I1634" s="65" t="str">
        <f t="shared" si="76"/>
        <v>460505</v>
      </c>
      <c r="J1634" s="65" t="str">
        <f t="shared" si="77"/>
        <v>460505</v>
      </c>
    </row>
    <row r="1635" spans="1:10" x14ac:dyDescent="0.3">
      <c r="A1635" s="27" t="s">
        <v>4621</v>
      </c>
      <c r="B1635" s="27" t="str">
        <f>"46.0599"</f>
        <v>46.0599</v>
      </c>
      <c r="C1635" s="64" t="s">
        <v>4622</v>
      </c>
      <c r="D1635" s="27" t="s">
        <v>2229</v>
      </c>
      <c r="E1635" s="27" t="s">
        <v>2232</v>
      </c>
      <c r="F1635" s="27" t="str">
        <f>"46.0599"</f>
        <v>46.0599</v>
      </c>
      <c r="G1635" s="27" t="s">
        <v>4622</v>
      </c>
      <c r="H1635" s="65" t="str">
        <f t="shared" si="75"/>
        <v>No Change</v>
      </c>
      <c r="I1635" s="65" t="str">
        <f t="shared" si="76"/>
        <v>460599</v>
      </c>
      <c r="J1635" s="65" t="str">
        <f t="shared" si="77"/>
        <v>460599</v>
      </c>
    </row>
    <row r="1636" spans="1:10" x14ac:dyDescent="0.3">
      <c r="A1636" s="27" t="s">
        <v>1869</v>
      </c>
      <c r="B1636" s="27" t="str">
        <f>"46.99"</f>
        <v>46.99</v>
      </c>
      <c r="C1636" s="64" t="s">
        <v>4623</v>
      </c>
      <c r="D1636" s="27" t="s">
        <v>2229</v>
      </c>
      <c r="E1636" s="27" t="s">
        <v>2232</v>
      </c>
      <c r="F1636" s="27" t="str">
        <f>"46.99"</f>
        <v>46.99</v>
      </c>
      <c r="G1636" s="27" t="s">
        <v>4623</v>
      </c>
      <c r="H1636" s="65" t="str">
        <f t="shared" si="75"/>
        <v>No Change</v>
      </c>
      <c r="I1636" s="65" t="str">
        <f t="shared" si="76"/>
        <v/>
      </c>
      <c r="J1636" s="65" t="str">
        <f t="shared" si="77"/>
        <v/>
      </c>
    </row>
    <row r="1637" spans="1:10" x14ac:dyDescent="0.3">
      <c r="A1637" s="27" t="s">
        <v>4624</v>
      </c>
      <c r="B1637" s="27" t="str">
        <f>"46.9999"</f>
        <v>46.9999</v>
      </c>
      <c r="C1637" s="64" t="s">
        <v>4623</v>
      </c>
      <c r="D1637" s="27" t="s">
        <v>2229</v>
      </c>
      <c r="E1637" s="27" t="s">
        <v>2232</v>
      </c>
      <c r="F1637" s="27" t="str">
        <f>"46.9999"</f>
        <v>46.9999</v>
      </c>
      <c r="G1637" s="27" t="s">
        <v>4623</v>
      </c>
      <c r="H1637" s="65" t="str">
        <f t="shared" si="75"/>
        <v>No Change</v>
      </c>
      <c r="I1637" s="65" t="str">
        <f t="shared" si="76"/>
        <v>469999</v>
      </c>
      <c r="J1637" s="65" t="str">
        <f t="shared" si="77"/>
        <v>469999</v>
      </c>
    </row>
    <row r="1638" spans="1:10" x14ac:dyDescent="0.3">
      <c r="A1638" s="27" t="s">
        <v>1869</v>
      </c>
      <c r="B1638" s="27" t="str">
        <f>"47"</f>
        <v>47</v>
      </c>
      <c r="C1638" s="64" t="s">
        <v>4625</v>
      </c>
      <c r="D1638" s="27" t="s">
        <v>2229</v>
      </c>
      <c r="E1638" s="27" t="s">
        <v>2232</v>
      </c>
      <c r="F1638" s="27" t="str">
        <f>"47"</f>
        <v>47</v>
      </c>
      <c r="G1638" s="27" t="s">
        <v>4625</v>
      </c>
      <c r="H1638" s="65" t="str">
        <f t="shared" si="75"/>
        <v>No Change</v>
      </c>
      <c r="I1638" s="65" t="str">
        <f t="shared" si="76"/>
        <v/>
      </c>
      <c r="J1638" s="65" t="str">
        <f t="shared" si="77"/>
        <v/>
      </c>
    </row>
    <row r="1639" spans="1:10" x14ac:dyDescent="0.3">
      <c r="A1639" s="27" t="s">
        <v>1869</v>
      </c>
      <c r="B1639" s="27" t="str">
        <f>"47.00"</f>
        <v>47.00</v>
      </c>
      <c r="C1639" s="64" t="s">
        <v>1212</v>
      </c>
      <c r="D1639" s="27" t="s">
        <v>2229</v>
      </c>
      <c r="E1639" s="27" t="s">
        <v>2232</v>
      </c>
      <c r="F1639" s="27" t="str">
        <f>"47.00"</f>
        <v>47.00</v>
      </c>
      <c r="G1639" s="27" t="s">
        <v>1212</v>
      </c>
      <c r="H1639" s="65" t="str">
        <f t="shared" si="75"/>
        <v>No Change</v>
      </c>
      <c r="I1639" s="65" t="str">
        <f t="shared" si="76"/>
        <v/>
      </c>
      <c r="J1639" s="65" t="str">
        <f t="shared" si="77"/>
        <v/>
      </c>
    </row>
    <row r="1640" spans="1:10" x14ac:dyDescent="0.3">
      <c r="A1640" s="27" t="s">
        <v>1211</v>
      </c>
      <c r="B1640" s="27" t="str">
        <f>"47.0000"</f>
        <v>47.0000</v>
      </c>
      <c r="C1640" s="64" t="s">
        <v>1212</v>
      </c>
      <c r="D1640" s="27" t="s">
        <v>2229</v>
      </c>
      <c r="E1640" s="27" t="s">
        <v>2232</v>
      </c>
      <c r="F1640" s="27" t="str">
        <f>"47.0000"</f>
        <v>47.0000</v>
      </c>
      <c r="G1640" s="27" t="s">
        <v>1212</v>
      </c>
      <c r="H1640" s="65" t="str">
        <f t="shared" si="75"/>
        <v>No Change</v>
      </c>
      <c r="I1640" s="65" t="str">
        <f t="shared" si="76"/>
        <v>470000</v>
      </c>
      <c r="J1640" s="65" t="str">
        <f t="shared" si="77"/>
        <v>470000</v>
      </c>
    </row>
    <row r="1641" spans="1:10" x14ac:dyDescent="0.3">
      <c r="A1641" s="27" t="s">
        <v>1869</v>
      </c>
      <c r="B1641" s="27" t="str">
        <f>"47.01"</f>
        <v>47.01</v>
      </c>
      <c r="C1641" s="64" t="s">
        <v>4626</v>
      </c>
      <c r="D1641" s="27" t="s">
        <v>2229</v>
      </c>
      <c r="E1641" s="27" t="s">
        <v>2230</v>
      </c>
      <c r="F1641" s="27" t="str">
        <f>"47.01"</f>
        <v>47.01</v>
      </c>
      <c r="G1641" s="27" t="s">
        <v>4627</v>
      </c>
      <c r="H1641" s="65" t="str">
        <f t="shared" si="75"/>
        <v>No Change</v>
      </c>
      <c r="I1641" s="65" t="str">
        <f t="shared" si="76"/>
        <v/>
      </c>
      <c r="J1641" s="65" t="str">
        <f t="shared" si="77"/>
        <v/>
      </c>
    </row>
    <row r="1642" spans="1:10" ht="28.8" x14ac:dyDescent="0.3">
      <c r="A1642" s="27" t="s">
        <v>783</v>
      </c>
      <c r="B1642" s="27" t="str">
        <f>"47.0101"</f>
        <v>47.0101</v>
      </c>
      <c r="C1642" s="64" t="s">
        <v>4628</v>
      </c>
      <c r="D1642" s="27" t="s">
        <v>2229</v>
      </c>
      <c r="E1642" s="27" t="s">
        <v>2230</v>
      </c>
      <c r="F1642" s="27" t="str">
        <f>"47.0101"</f>
        <v>47.0101</v>
      </c>
      <c r="G1642" s="27" t="s">
        <v>784</v>
      </c>
      <c r="H1642" s="65" t="str">
        <f t="shared" si="75"/>
        <v>No Change</v>
      </c>
      <c r="I1642" s="65" t="str">
        <f t="shared" si="76"/>
        <v>470101</v>
      </c>
      <c r="J1642" s="65" t="str">
        <f t="shared" si="77"/>
        <v>470101</v>
      </c>
    </row>
    <row r="1643" spans="1:10" x14ac:dyDescent="0.3">
      <c r="A1643" s="27" t="s">
        <v>4629</v>
      </c>
      <c r="B1643" s="27" t="str">
        <f>"47.0102"</f>
        <v>47.0102</v>
      </c>
      <c r="C1643" s="64" t="s">
        <v>4630</v>
      </c>
      <c r="D1643" s="27" t="s">
        <v>2229</v>
      </c>
      <c r="E1643" s="27" t="s">
        <v>2232</v>
      </c>
      <c r="F1643" s="27" t="str">
        <f>"47.0102"</f>
        <v>47.0102</v>
      </c>
      <c r="G1643" s="27" t="s">
        <v>4630</v>
      </c>
      <c r="H1643" s="65" t="str">
        <f t="shared" si="75"/>
        <v>No Change</v>
      </c>
      <c r="I1643" s="65" t="str">
        <f t="shared" si="76"/>
        <v>470102</v>
      </c>
      <c r="J1643" s="65" t="str">
        <f t="shared" si="77"/>
        <v>470102</v>
      </c>
    </row>
    <row r="1644" spans="1:10" x14ac:dyDescent="0.3">
      <c r="A1644" s="27" t="s">
        <v>1073</v>
      </c>
      <c r="B1644" s="27" t="str">
        <f>"47.0103"</f>
        <v>47.0103</v>
      </c>
      <c r="C1644" s="64" t="s">
        <v>4631</v>
      </c>
      <c r="D1644" s="27" t="s">
        <v>2229</v>
      </c>
      <c r="E1644" s="27" t="s">
        <v>2230</v>
      </c>
      <c r="F1644" s="27" t="str">
        <f>"47.0103"</f>
        <v>47.0103</v>
      </c>
      <c r="G1644" s="27" t="s">
        <v>1074</v>
      </c>
      <c r="H1644" s="65" t="str">
        <f t="shared" si="75"/>
        <v>No Change</v>
      </c>
      <c r="I1644" s="65" t="str">
        <f t="shared" si="76"/>
        <v>470103</v>
      </c>
      <c r="J1644" s="65" t="str">
        <f t="shared" si="77"/>
        <v>470103</v>
      </c>
    </row>
    <row r="1645" spans="1:10" x14ac:dyDescent="0.3">
      <c r="A1645" s="27" t="s">
        <v>444</v>
      </c>
      <c r="B1645" s="27" t="str">
        <f>"47.0104"</f>
        <v>47.0104</v>
      </c>
      <c r="C1645" s="64" t="s">
        <v>445</v>
      </c>
      <c r="D1645" s="27" t="s">
        <v>2229</v>
      </c>
      <c r="E1645" s="27" t="s">
        <v>2232</v>
      </c>
      <c r="F1645" s="27" t="str">
        <f>"47.0104"</f>
        <v>47.0104</v>
      </c>
      <c r="G1645" s="27" t="s">
        <v>445</v>
      </c>
      <c r="H1645" s="65" t="str">
        <f t="shared" si="75"/>
        <v>No Change</v>
      </c>
      <c r="I1645" s="65" t="str">
        <f t="shared" si="76"/>
        <v>470104</v>
      </c>
      <c r="J1645" s="65" t="str">
        <f t="shared" si="77"/>
        <v>470104</v>
      </c>
    </row>
    <row r="1646" spans="1:10" x14ac:dyDescent="0.3">
      <c r="A1646" s="27" t="s">
        <v>4632</v>
      </c>
      <c r="B1646" s="27" t="str">
        <f>"47.0105"</f>
        <v>47.0105</v>
      </c>
      <c r="C1646" s="64" t="s">
        <v>4633</v>
      </c>
      <c r="D1646" s="27" t="s">
        <v>2229</v>
      </c>
      <c r="E1646" s="27" t="s">
        <v>2232</v>
      </c>
      <c r="F1646" s="27" t="str">
        <f>"47.0105"</f>
        <v>47.0105</v>
      </c>
      <c r="G1646" s="27" t="s">
        <v>4633</v>
      </c>
      <c r="H1646" s="65" t="str">
        <f t="shared" si="75"/>
        <v>No Change</v>
      </c>
      <c r="I1646" s="65" t="str">
        <f t="shared" si="76"/>
        <v>470105</v>
      </c>
      <c r="J1646" s="65" t="str">
        <f t="shared" si="77"/>
        <v>470105</v>
      </c>
    </row>
    <row r="1647" spans="1:10" x14ac:dyDescent="0.3">
      <c r="A1647" s="27" t="s">
        <v>1652</v>
      </c>
      <c r="B1647" s="27" t="str">
        <f>"47.0106"</f>
        <v>47.0106</v>
      </c>
      <c r="C1647" s="64" t="s">
        <v>1653</v>
      </c>
      <c r="D1647" s="27" t="s">
        <v>2229</v>
      </c>
      <c r="E1647" s="27" t="s">
        <v>2232</v>
      </c>
      <c r="F1647" s="27" t="str">
        <f>"47.0106"</f>
        <v>47.0106</v>
      </c>
      <c r="G1647" s="27" t="s">
        <v>1653</v>
      </c>
      <c r="H1647" s="65" t="str">
        <f t="shared" si="75"/>
        <v>No Change</v>
      </c>
      <c r="I1647" s="65" t="str">
        <f t="shared" si="76"/>
        <v>470106</v>
      </c>
      <c r="J1647" s="65" t="str">
        <f t="shared" si="77"/>
        <v>470106</v>
      </c>
    </row>
    <row r="1648" spans="1:10" ht="28.8" x14ac:dyDescent="0.3">
      <c r="A1648" s="27" t="s">
        <v>4634</v>
      </c>
      <c r="B1648" s="27" t="str">
        <f>"47.0110"</f>
        <v>47.0110</v>
      </c>
      <c r="C1648" s="64" t="s">
        <v>4635</v>
      </c>
      <c r="D1648" s="27" t="s">
        <v>2229</v>
      </c>
      <c r="E1648" s="27" t="s">
        <v>2232</v>
      </c>
      <c r="F1648" s="27" t="str">
        <f>"47.0110"</f>
        <v>47.0110</v>
      </c>
      <c r="G1648" s="27" t="s">
        <v>4635</v>
      </c>
      <c r="H1648" s="65" t="str">
        <f t="shared" si="75"/>
        <v>No Change</v>
      </c>
      <c r="I1648" s="65" t="str">
        <f t="shared" si="76"/>
        <v>470110</v>
      </c>
      <c r="J1648" s="65" t="str">
        <f t="shared" si="77"/>
        <v>470110</v>
      </c>
    </row>
    <row r="1649" spans="1:10" ht="28.8" x14ac:dyDescent="0.3">
      <c r="A1649" s="27" t="s">
        <v>4636</v>
      </c>
      <c r="B1649" s="27" t="str">
        <f>"47.0199"</f>
        <v>47.0199</v>
      </c>
      <c r="C1649" s="64" t="s">
        <v>4637</v>
      </c>
      <c r="D1649" s="27" t="s">
        <v>2229</v>
      </c>
      <c r="E1649" s="27" t="s">
        <v>2230</v>
      </c>
      <c r="F1649" s="27" t="str">
        <f>"47.0199"</f>
        <v>47.0199</v>
      </c>
      <c r="G1649" s="27" t="s">
        <v>4638</v>
      </c>
      <c r="H1649" s="65" t="str">
        <f t="shared" si="75"/>
        <v>No Change</v>
      </c>
      <c r="I1649" s="65" t="str">
        <f t="shared" si="76"/>
        <v>470199</v>
      </c>
      <c r="J1649" s="65" t="str">
        <f t="shared" si="77"/>
        <v>470199</v>
      </c>
    </row>
    <row r="1650" spans="1:10" ht="43.2" x14ac:dyDescent="0.3">
      <c r="A1650" s="27" t="s">
        <v>1869</v>
      </c>
      <c r="B1650" s="27" t="str">
        <f>"47.02"</f>
        <v>47.02</v>
      </c>
      <c r="C1650" s="64" t="s">
        <v>4639</v>
      </c>
      <c r="D1650" s="27" t="s">
        <v>2229</v>
      </c>
      <c r="E1650" s="27" t="s">
        <v>2232</v>
      </c>
      <c r="F1650" s="27" t="str">
        <f>"47.02"</f>
        <v>47.02</v>
      </c>
      <c r="G1650" s="27" t="s">
        <v>4639</v>
      </c>
      <c r="H1650" s="65" t="str">
        <f t="shared" si="75"/>
        <v>No Change</v>
      </c>
      <c r="I1650" s="65" t="str">
        <f t="shared" si="76"/>
        <v/>
      </c>
      <c r="J1650" s="65" t="str">
        <f t="shared" si="77"/>
        <v/>
      </c>
    </row>
    <row r="1651" spans="1:10" ht="28.8" x14ac:dyDescent="0.3">
      <c r="A1651" s="27" t="s">
        <v>276</v>
      </c>
      <c r="B1651" s="27" t="str">
        <f>"47.0201"</f>
        <v>47.0201</v>
      </c>
      <c r="C1651" s="64" t="s">
        <v>277</v>
      </c>
      <c r="D1651" s="27" t="s">
        <v>2229</v>
      </c>
      <c r="E1651" s="27" t="s">
        <v>2232</v>
      </c>
      <c r="F1651" s="27" t="str">
        <f>"47.0201"</f>
        <v>47.0201</v>
      </c>
      <c r="G1651" s="27" t="s">
        <v>277</v>
      </c>
      <c r="H1651" s="65" t="str">
        <f t="shared" si="75"/>
        <v>No Change</v>
      </c>
      <c r="I1651" s="65" t="str">
        <f t="shared" si="76"/>
        <v>470201</v>
      </c>
      <c r="J1651" s="65" t="str">
        <f t="shared" si="77"/>
        <v>470201</v>
      </c>
    </row>
    <row r="1652" spans="1:10" x14ac:dyDescent="0.3">
      <c r="A1652" s="27" t="s">
        <v>1869</v>
      </c>
      <c r="B1652" s="27" t="str">
        <f>"47.03"</f>
        <v>47.03</v>
      </c>
      <c r="C1652" s="64" t="s">
        <v>4640</v>
      </c>
      <c r="D1652" s="27" t="s">
        <v>2229</v>
      </c>
      <c r="E1652" s="27" t="s">
        <v>2230</v>
      </c>
      <c r="F1652" s="27" t="str">
        <f>"47.03"</f>
        <v>47.03</v>
      </c>
      <c r="G1652" s="27" t="s">
        <v>4641</v>
      </c>
      <c r="H1652" s="65" t="str">
        <f t="shared" si="75"/>
        <v>No Change</v>
      </c>
      <c r="I1652" s="65" t="str">
        <f t="shared" si="76"/>
        <v/>
      </c>
      <c r="J1652" s="65" t="str">
        <f t="shared" si="77"/>
        <v/>
      </c>
    </row>
    <row r="1653" spans="1:10" x14ac:dyDescent="0.3">
      <c r="A1653" s="27" t="s">
        <v>786</v>
      </c>
      <c r="B1653" s="27" t="str">
        <f>"47.0302"</f>
        <v>47.0302</v>
      </c>
      <c r="C1653" s="64" t="s">
        <v>787</v>
      </c>
      <c r="D1653" s="27" t="s">
        <v>2229</v>
      </c>
      <c r="E1653" s="27" t="s">
        <v>2232</v>
      </c>
      <c r="F1653" s="27" t="str">
        <f>"47.0302"</f>
        <v>47.0302</v>
      </c>
      <c r="G1653" s="27" t="s">
        <v>787</v>
      </c>
      <c r="H1653" s="65" t="str">
        <f t="shared" si="75"/>
        <v>No Change</v>
      </c>
      <c r="I1653" s="65" t="str">
        <f t="shared" si="76"/>
        <v>470302</v>
      </c>
      <c r="J1653" s="65" t="str">
        <f t="shared" si="77"/>
        <v>470302</v>
      </c>
    </row>
    <row r="1654" spans="1:10" x14ac:dyDescent="0.3">
      <c r="A1654" s="27" t="s">
        <v>593</v>
      </c>
      <c r="B1654" s="27" t="str">
        <f>"47.0303"</f>
        <v>47.0303</v>
      </c>
      <c r="C1654" s="64" t="s">
        <v>4642</v>
      </c>
      <c r="D1654" s="27" t="s">
        <v>2229</v>
      </c>
      <c r="E1654" s="27" t="s">
        <v>2230</v>
      </c>
      <c r="F1654" s="27" t="str">
        <f>"47.0303"</f>
        <v>47.0303</v>
      </c>
      <c r="G1654" s="27" t="s">
        <v>594</v>
      </c>
      <c r="H1654" s="65" t="str">
        <f t="shared" si="75"/>
        <v>No Change</v>
      </c>
      <c r="I1654" s="65" t="str">
        <f t="shared" si="76"/>
        <v>470303</v>
      </c>
      <c r="J1654" s="65" t="str">
        <f t="shared" si="77"/>
        <v>470303</v>
      </c>
    </row>
    <row r="1655" spans="1:10" x14ac:dyDescent="0.3">
      <c r="A1655" s="27" t="s">
        <v>4643</v>
      </c>
      <c r="B1655" s="27" t="str">
        <f>"47.0399"</f>
        <v>47.0399</v>
      </c>
      <c r="C1655" s="64" t="s">
        <v>4644</v>
      </c>
      <c r="D1655" s="27" t="s">
        <v>2229</v>
      </c>
      <c r="E1655" s="27" t="s">
        <v>2230</v>
      </c>
      <c r="F1655" s="27" t="str">
        <f>"47.0399"</f>
        <v>47.0399</v>
      </c>
      <c r="G1655" s="27" t="s">
        <v>4645</v>
      </c>
      <c r="H1655" s="65" t="str">
        <f t="shared" si="75"/>
        <v>No Change</v>
      </c>
      <c r="I1655" s="65" t="str">
        <f t="shared" si="76"/>
        <v>470399</v>
      </c>
      <c r="J1655" s="65" t="str">
        <f t="shared" si="77"/>
        <v>470399</v>
      </c>
    </row>
    <row r="1656" spans="1:10" x14ac:dyDescent="0.3">
      <c r="A1656" s="27" t="s">
        <v>1869</v>
      </c>
      <c r="B1656" s="27" t="str">
        <f>"47.04"</f>
        <v>47.04</v>
      </c>
      <c r="C1656" s="64" t="s">
        <v>4646</v>
      </c>
      <c r="D1656" s="27" t="s">
        <v>2229</v>
      </c>
      <c r="E1656" s="27" t="s">
        <v>2230</v>
      </c>
      <c r="F1656" s="27" t="str">
        <f>"47.04"</f>
        <v>47.04</v>
      </c>
      <c r="G1656" s="27" t="s">
        <v>4647</v>
      </c>
      <c r="H1656" s="65" t="str">
        <f t="shared" si="75"/>
        <v>No Change</v>
      </c>
      <c r="I1656" s="65" t="str">
        <f t="shared" si="76"/>
        <v/>
      </c>
      <c r="J1656" s="65" t="str">
        <f t="shared" si="77"/>
        <v/>
      </c>
    </row>
    <row r="1657" spans="1:10" x14ac:dyDescent="0.3">
      <c r="A1657" s="27" t="s">
        <v>4648</v>
      </c>
      <c r="B1657" s="27" t="str">
        <f>"47.0402"</f>
        <v>47.0402</v>
      </c>
      <c r="C1657" s="64" t="s">
        <v>4649</v>
      </c>
      <c r="D1657" s="27" t="s">
        <v>2229</v>
      </c>
      <c r="E1657" s="27" t="s">
        <v>2232</v>
      </c>
      <c r="F1657" s="27" t="str">
        <f>"47.0402"</f>
        <v>47.0402</v>
      </c>
      <c r="G1657" s="27" t="s">
        <v>4649</v>
      </c>
      <c r="H1657" s="65" t="str">
        <f t="shared" si="75"/>
        <v>No Change</v>
      </c>
      <c r="I1657" s="65" t="str">
        <f t="shared" si="76"/>
        <v>470402</v>
      </c>
      <c r="J1657" s="65" t="str">
        <f t="shared" si="77"/>
        <v>470402</v>
      </c>
    </row>
    <row r="1658" spans="1:10" x14ac:dyDescent="0.3">
      <c r="A1658" s="27" t="s">
        <v>4650</v>
      </c>
      <c r="B1658" s="27" t="str">
        <f>"47.0403"</f>
        <v>47.0403</v>
      </c>
      <c r="C1658" s="64" t="s">
        <v>4651</v>
      </c>
      <c r="D1658" s="27" t="s">
        <v>2229</v>
      </c>
      <c r="E1658" s="27" t="s">
        <v>2232</v>
      </c>
      <c r="F1658" s="27" t="str">
        <f>"47.0403"</f>
        <v>47.0403</v>
      </c>
      <c r="G1658" s="27" t="s">
        <v>4651</v>
      </c>
      <c r="H1658" s="65" t="str">
        <f t="shared" si="75"/>
        <v>No Change</v>
      </c>
      <c r="I1658" s="65" t="str">
        <f t="shared" si="76"/>
        <v>470403</v>
      </c>
      <c r="J1658" s="65" t="str">
        <f t="shared" si="77"/>
        <v>470403</v>
      </c>
    </row>
    <row r="1659" spans="1:10" x14ac:dyDescent="0.3">
      <c r="A1659" s="27" t="s">
        <v>4652</v>
      </c>
      <c r="B1659" s="27" t="str">
        <f>"47.0404"</f>
        <v>47.0404</v>
      </c>
      <c r="C1659" s="64" t="s">
        <v>4653</v>
      </c>
      <c r="D1659" s="27" t="s">
        <v>2229</v>
      </c>
      <c r="E1659" s="27" t="s">
        <v>2232</v>
      </c>
      <c r="F1659" s="27" t="str">
        <f>"47.0404"</f>
        <v>47.0404</v>
      </c>
      <c r="G1659" s="27" t="s">
        <v>4653</v>
      </c>
      <c r="H1659" s="65" t="str">
        <f t="shared" si="75"/>
        <v>No Change</v>
      </c>
      <c r="I1659" s="65" t="str">
        <f t="shared" si="76"/>
        <v>470404</v>
      </c>
      <c r="J1659" s="65" t="str">
        <f t="shared" si="77"/>
        <v>470404</v>
      </c>
    </row>
    <row r="1660" spans="1:10" x14ac:dyDescent="0.3">
      <c r="A1660" s="27" t="s">
        <v>1667</v>
      </c>
      <c r="B1660" s="27" t="str">
        <f>"47.0408"</f>
        <v>47.0408</v>
      </c>
      <c r="C1660" s="64" t="s">
        <v>1668</v>
      </c>
      <c r="D1660" s="27" t="s">
        <v>2229</v>
      </c>
      <c r="E1660" s="27" t="s">
        <v>2232</v>
      </c>
      <c r="F1660" s="27" t="str">
        <f>"47.0408"</f>
        <v>47.0408</v>
      </c>
      <c r="G1660" s="27" t="s">
        <v>1668</v>
      </c>
      <c r="H1660" s="65" t="str">
        <f t="shared" si="75"/>
        <v>No Change</v>
      </c>
      <c r="I1660" s="65" t="str">
        <f t="shared" si="76"/>
        <v>470408</v>
      </c>
      <c r="J1660" s="65" t="str">
        <f t="shared" si="77"/>
        <v>470408</v>
      </c>
    </row>
    <row r="1661" spans="1:10" ht="28.8" x14ac:dyDescent="0.3">
      <c r="A1661" s="27" t="s">
        <v>4654</v>
      </c>
      <c r="B1661" s="27" t="str">
        <f>"47.0409"</f>
        <v>47.0409</v>
      </c>
      <c r="C1661" s="64" t="s">
        <v>4655</v>
      </c>
      <c r="D1661" s="27" t="s">
        <v>2229</v>
      </c>
      <c r="E1661" s="27" t="s">
        <v>2232</v>
      </c>
      <c r="F1661" s="27" t="str">
        <f>"47.0409"</f>
        <v>47.0409</v>
      </c>
      <c r="G1661" s="27" t="s">
        <v>4655</v>
      </c>
      <c r="H1661" s="65" t="str">
        <f t="shared" si="75"/>
        <v>No Change</v>
      </c>
      <c r="I1661" s="65" t="str">
        <f t="shared" si="76"/>
        <v>470409</v>
      </c>
      <c r="J1661" s="65" t="str">
        <f t="shared" si="77"/>
        <v>470409</v>
      </c>
    </row>
    <row r="1662" spans="1:10" ht="28.8" x14ac:dyDescent="0.3">
      <c r="A1662" s="27" t="s">
        <v>4656</v>
      </c>
      <c r="B1662" s="27" t="str">
        <f>"47.0499"</f>
        <v>47.0499</v>
      </c>
      <c r="C1662" s="64" t="s">
        <v>4657</v>
      </c>
      <c r="D1662" s="27" t="s">
        <v>2229</v>
      </c>
      <c r="E1662" s="27" t="s">
        <v>2230</v>
      </c>
      <c r="F1662" s="27" t="str">
        <f>"47.0499"</f>
        <v>47.0499</v>
      </c>
      <c r="G1662" s="27" t="s">
        <v>4658</v>
      </c>
      <c r="H1662" s="65" t="str">
        <f t="shared" si="75"/>
        <v>No Change</v>
      </c>
      <c r="I1662" s="65" t="str">
        <f t="shared" si="76"/>
        <v>470499</v>
      </c>
      <c r="J1662" s="65" t="str">
        <f t="shared" si="77"/>
        <v>470499</v>
      </c>
    </row>
    <row r="1663" spans="1:10" x14ac:dyDescent="0.3">
      <c r="A1663" s="27" t="s">
        <v>1869</v>
      </c>
      <c r="B1663" s="27" t="str">
        <f>"47.06"</f>
        <v>47.06</v>
      </c>
      <c r="C1663" s="64" t="s">
        <v>4659</v>
      </c>
      <c r="D1663" s="27" t="s">
        <v>2229</v>
      </c>
      <c r="E1663" s="27" t="s">
        <v>2230</v>
      </c>
      <c r="F1663" s="27" t="str">
        <f>"47.06"</f>
        <v>47.06</v>
      </c>
      <c r="G1663" s="27" t="s">
        <v>4660</v>
      </c>
      <c r="H1663" s="65" t="str">
        <f t="shared" si="75"/>
        <v>No Change</v>
      </c>
      <c r="I1663" s="65" t="str">
        <f t="shared" si="76"/>
        <v/>
      </c>
      <c r="J1663" s="65" t="str">
        <f t="shared" si="77"/>
        <v/>
      </c>
    </row>
    <row r="1664" spans="1:10" x14ac:dyDescent="0.3">
      <c r="A1664" s="27" t="s">
        <v>4661</v>
      </c>
      <c r="B1664" s="27" t="str">
        <f>"47.0600"</f>
        <v>47.0600</v>
      </c>
      <c r="C1664" s="64" t="s">
        <v>4662</v>
      </c>
      <c r="D1664" s="27" t="s">
        <v>2229</v>
      </c>
      <c r="E1664" s="27" t="s">
        <v>2230</v>
      </c>
      <c r="F1664" s="27" t="str">
        <f>"47.0600"</f>
        <v>47.0600</v>
      </c>
      <c r="G1664" s="27" t="s">
        <v>4663</v>
      </c>
      <c r="H1664" s="65" t="str">
        <f t="shared" si="75"/>
        <v>No Change</v>
      </c>
      <c r="I1664" s="65" t="str">
        <f t="shared" si="76"/>
        <v>470600</v>
      </c>
      <c r="J1664" s="65" t="str">
        <f t="shared" si="77"/>
        <v>470600</v>
      </c>
    </row>
    <row r="1665" spans="1:10" x14ac:dyDescent="0.3">
      <c r="A1665" s="27" t="s">
        <v>447</v>
      </c>
      <c r="B1665" s="27" t="str">
        <f>"47.0603"</f>
        <v>47.0603</v>
      </c>
      <c r="C1665" s="64" t="s">
        <v>448</v>
      </c>
      <c r="D1665" s="27" t="s">
        <v>2229</v>
      </c>
      <c r="E1665" s="27" t="s">
        <v>2232</v>
      </c>
      <c r="F1665" s="27" t="str">
        <f>"47.0603"</f>
        <v>47.0603</v>
      </c>
      <c r="G1665" s="27" t="s">
        <v>448</v>
      </c>
      <c r="H1665" s="65" t="str">
        <f t="shared" si="75"/>
        <v>No Change</v>
      </c>
      <c r="I1665" s="65" t="str">
        <f t="shared" si="76"/>
        <v>470603</v>
      </c>
      <c r="J1665" s="65" t="str">
        <f t="shared" si="77"/>
        <v>470603</v>
      </c>
    </row>
    <row r="1666" spans="1:10" x14ac:dyDescent="0.3">
      <c r="A1666" s="27" t="s">
        <v>450</v>
      </c>
      <c r="B1666" s="27" t="str">
        <f>"47.0604"</f>
        <v>47.0604</v>
      </c>
      <c r="C1666" s="64" t="s">
        <v>451</v>
      </c>
      <c r="D1666" s="27" t="s">
        <v>2229</v>
      </c>
      <c r="E1666" s="27" t="s">
        <v>2232</v>
      </c>
      <c r="F1666" s="27" t="str">
        <f>"47.0604"</f>
        <v>47.0604</v>
      </c>
      <c r="G1666" s="27" t="s">
        <v>451</v>
      </c>
      <c r="H1666" s="65" t="str">
        <f t="shared" si="75"/>
        <v>No Change</v>
      </c>
      <c r="I1666" s="65" t="str">
        <f t="shared" si="76"/>
        <v>470604</v>
      </c>
      <c r="J1666" s="65" t="str">
        <f t="shared" si="77"/>
        <v>470604</v>
      </c>
    </row>
    <row r="1667" spans="1:10" x14ac:dyDescent="0.3">
      <c r="A1667" s="27" t="s">
        <v>157</v>
      </c>
      <c r="B1667" s="27" t="str">
        <f>"47.0605"</f>
        <v>47.0605</v>
      </c>
      <c r="C1667" s="64" t="s">
        <v>158</v>
      </c>
      <c r="D1667" s="27" t="s">
        <v>2229</v>
      </c>
      <c r="E1667" s="27" t="s">
        <v>2232</v>
      </c>
      <c r="F1667" s="27" t="str">
        <f>"47.0605"</f>
        <v>47.0605</v>
      </c>
      <c r="G1667" s="27" t="s">
        <v>158</v>
      </c>
      <c r="H1667" s="65" t="str">
        <f t="shared" ref="H1667:H1730" si="78">IF(I1667=J1667,"No Change","Other")</f>
        <v>No Change</v>
      </c>
      <c r="I1667" s="65" t="str">
        <f t="shared" ref="I1667:I1730" si="79">SUBSTITUTE(IF(SUM(LEN(B1667))&lt;7,"",B1667),".","")</f>
        <v>470605</v>
      </c>
      <c r="J1667" s="65" t="str">
        <f t="shared" ref="J1667:J1730" si="80">SUBSTITUTE(IF(SUM(LEN(F1667))&lt;7,"",F1667),".","")</f>
        <v>470605</v>
      </c>
    </row>
    <row r="1668" spans="1:10" x14ac:dyDescent="0.3">
      <c r="A1668" s="27" t="s">
        <v>1756</v>
      </c>
      <c r="B1668" s="27" t="str">
        <f>"47.0606"</f>
        <v>47.0606</v>
      </c>
      <c r="C1668" s="64" t="s">
        <v>1757</v>
      </c>
      <c r="D1668" s="27" t="s">
        <v>2229</v>
      </c>
      <c r="E1668" s="27" t="s">
        <v>2232</v>
      </c>
      <c r="F1668" s="27" t="str">
        <f>"47.0606"</f>
        <v>47.0606</v>
      </c>
      <c r="G1668" s="27" t="s">
        <v>1757</v>
      </c>
      <c r="H1668" s="65" t="str">
        <f t="shared" si="78"/>
        <v>No Change</v>
      </c>
      <c r="I1668" s="65" t="str">
        <f t="shared" si="79"/>
        <v>470606</v>
      </c>
      <c r="J1668" s="65" t="str">
        <f t="shared" si="80"/>
        <v>470606</v>
      </c>
    </row>
    <row r="1669" spans="1:10" ht="28.8" x14ac:dyDescent="0.3">
      <c r="A1669" s="27" t="s">
        <v>283</v>
      </c>
      <c r="B1669" s="27" t="str">
        <f>"47.0607"</f>
        <v>47.0607</v>
      </c>
      <c r="C1669" s="64" t="s">
        <v>284</v>
      </c>
      <c r="D1669" s="27" t="s">
        <v>2229</v>
      </c>
      <c r="E1669" s="27" t="s">
        <v>2232</v>
      </c>
      <c r="F1669" s="27" t="str">
        <f>"47.0607"</f>
        <v>47.0607</v>
      </c>
      <c r="G1669" s="27" t="s">
        <v>284</v>
      </c>
      <c r="H1669" s="65" t="str">
        <f t="shared" si="78"/>
        <v>No Change</v>
      </c>
      <c r="I1669" s="65" t="str">
        <f t="shared" si="79"/>
        <v>470607</v>
      </c>
      <c r="J1669" s="65" t="str">
        <f t="shared" si="80"/>
        <v>470607</v>
      </c>
    </row>
    <row r="1670" spans="1:10" x14ac:dyDescent="0.3">
      <c r="A1670" s="27" t="s">
        <v>286</v>
      </c>
      <c r="B1670" s="27" t="str">
        <f>"47.0608"</f>
        <v>47.0608</v>
      </c>
      <c r="C1670" s="64" t="s">
        <v>287</v>
      </c>
      <c r="D1670" s="27" t="s">
        <v>2229</v>
      </c>
      <c r="E1670" s="27" t="s">
        <v>2232</v>
      </c>
      <c r="F1670" s="27" t="str">
        <f>"47.0608"</f>
        <v>47.0608</v>
      </c>
      <c r="G1670" s="27" t="s">
        <v>287</v>
      </c>
      <c r="H1670" s="65" t="str">
        <f t="shared" si="78"/>
        <v>No Change</v>
      </c>
      <c r="I1670" s="65" t="str">
        <f t="shared" si="79"/>
        <v>470608</v>
      </c>
      <c r="J1670" s="65" t="str">
        <f t="shared" si="80"/>
        <v>470608</v>
      </c>
    </row>
    <row r="1671" spans="1:10" x14ac:dyDescent="0.3">
      <c r="A1671" s="27" t="s">
        <v>740</v>
      </c>
      <c r="B1671" s="27" t="str">
        <f>"47.0609"</f>
        <v>47.0609</v>
      </c>
      <c r="C1671" s="64" t="s">
        <v>741</v>
      </c>
      <c r="D1671" s="27" t="s">
        <v>2229</v>
      </c>
      <c r="E1671" s="27" t="s">
        <v>2232</v>
      </c>
      <c r="F1671" s="27" t="str">
        <f>"47.0609"</f>
        <v>47.0609</v>
      </c>
      <c r="G1671" s="27" t="s">
        <v>741</v>
      </c>
      <c r="H1671" s="65" t="str">
        <f t="shared" si="78"/>
        <v>No Change</v>
      </c>
      <c r="I1671" s="65" t="str">
        <f t="shared" si="79"/>
        <v>470609</v>
      </c>
      <c r="J1671" s="65" t="str">
        <f t="shared" si="80"/>
        <v>470609</v>
      </c>
    </row>
    <row r="1672" spans="1:10" x14ac:dyDescent="0.3">
      <c r="A1672" s="27" t="s">
        <v>4664</v>
      </c>
      <c r="B1672" s="27" t="str">
        <f>"47.0610"</f>
        <v>47.0610</v>
      </c>
      <c r="C1672" s="64" t="s">
        <v>4665</v>
      </c>
      <c r="D1672" s="27" t="s">
        <v>2229</v>
      </c>
      <c r="E1672" s="27" t="s">
        <v>2232</v>
      </c>
      <c r="F1672" s="27" t="str">
        <f>"47.0610"</f>
        <v>47.0610</v>
      </c>
      <c r="G1672" s="27" t="s">
        <v>4665</v>
      </c>
      <c r="H1672" s="65" t="str">
        <f t="shared" si="78"/>
        <v>No Change</v>
      </c>
      <c r="I1672" s="65" t="str">
        <f t="shared" si="79"/>
        <v>470610</v>
      </c>
      <c r="J1672" s="65" t="str">
        <f t="shared" si="80"/>
        <v>470610</v>
      </c>
    </row>
    <row r="1673" spans="1:10" x14ac:dyDescent="0.3">
      <c r="A1673" s="27" t="s">
        <v>4666</v>
      </c>
      <c r="B1673" s="27" t="str">
        <f>"47.0611"</f>
        <v>47.0611</v>
      </c>
      <c r="C1673" s="64" t="s">
        <v>4667</v>
      </c>
      <c r="D1673" s="27" t="s">
        <v>2229</v>
      </c>
      <c r="E1673" s="27" t="s">
        <v>2232</v>
      </c>
      <c r="F1673" s="27" t="str">
        <f>"47.0611"</f>
        <v>47.0611</v>
      </c>
      <c r="G1673" s="27" t="s">
        <v>4667</v>
      </c>
      <c r="H1673" s="65" t="str">
        <f t="shared" si="78"/>
        <v>No Change</v>
      </c>
      <c r="I1673" s="65" t="str">
        <f t="shared" si="79"/>
        <v>470611</v>
      </c>
      <c r="J1673" s="65" t="str">
        <f t="shared" si="80"/>
        <v>470611</v>
      </c>
    </row>
    <row r="1674" spans="1:10" ht="28.8" x14ac:dyDescent="0.3">
      <c r="A1674" s="27" t="s">
        <v>4668</v>
      </c>
      <c r="B1674" s="27" t="str">
        <f>"47.0612"</f>
        <v>47.0612</v>
      </c>
      <c r="C1674" s="64" t="s">
        <v>4669</v>
      </c>
      <c r="D1674" s="27" t="s">
        <v>2229</v>
      </c>
      <c r="E1674" s="27" t="s">
        <v>2232</v>
      </c>
      <c r="F1674" s="27" t="str">
        <f>"47.0612"</f>
        <v>47.0612</v>
      </c>
      <c r="G1674" s="27" t="s">
        <v>4669</v>
      </c>
      <c r="H1674" s="65" t="str">
        <f t="shared" si="78"/>
        <v>No Change</v>
      </c>
      <c r="I1674" s="65" t="str">
        <f t="shared" si="79"/>
        <v>470612</v>
      </c>
      <c r="J1674" s="65" t="str">
        <f t="shared" si="80"/>
        <v>470612</v>
      </c>
    </row>
    <row r="1675" spans="1:10" x14ac:dyDescent="0.3">
      <c r="A1675" s="27" t="s">
        <v>289</v>
      </c>
      <c r="B1675" s="27" t="str">
        <f>"47.0613"</f>
        <v>47.0613</v>
      </c>
      <c r="C1675" s="64" t="s">
        <v>290</v>
      </c>
      <c r="D1675" s="27" t="s">
        <v>2229</v>
      </c>
      <c r="E1675" s="27" t="s">
        <v>2232</v>
      </c>
      <c r="F1675" s="27" t="str">
        <f>"47.0613"</f>
        <v>47.0613</v>
      </c>
      <c r="G1675" s="27" t="s">
        <v>290</v>
      </c>
      <c r="H1675" s="65" t="str">
        <f t="shared" si="78"/>
        <v>No Change</v>
      </c>
      <c r="I1675" s="65" t="str">
        <f t="shared" si="79"/>
        <v>470613</v>
      </c>
      <c r="J1675" s="65" t="str">
        <f t="shared" si="80"/>
        <v>470613</v>
      </c>
    </row>
    <row r="1676" spans="1:10" x14ac:dyDescent="0.3">
      <c r="A1676" s="27" t="s">
        <v>4670</v>
      </c>
      <c r="B1676" s="27" t="str">
        <f>"47.0614"</f>
        <v>47.0614</v>
      </c>
      <c r="C1676" s="64" t="s">
        <v>4671</v>
      </c>
      <c r="D1676" s="27" t="s">
        <v>2229</v>
      </c>
      <c r="E1676" s="27" t="s">
        <v>2232</v>
      </c>
      <c r="F1676" s="27" t="str">
        <f>"47.0614"</f>
        <v>47.0614</v>
      </c>
      <c r="G1676" s="27" t="s">
        <v>4671</v>
      </c>
      <c r="H1676" s="65" t="str">
        <f t="shared" si="78"/>
        <v>No Change</v>
      </c>
      <c r="I1676" s="65" t="str">
        <f t="shared" si="79"/>
        <v>470614</v>
      </c>
      <c r="J1676" s="65" t="str">
        <f t="shared" si="80"/>
        <v>470614</v>
      </c>
    </row>
    <row r="1677" spans="1:10" x14ac:dyDescent="0.3">
      <c r="A1677" s="27" t="s">
        <v>4672</v>
      </c>
      <c r="B1677" s="27" t="str">
        <f>"47.0615"</f>
        <v>47.0615</v>
      </c>
      <c r="C1677" s="64" t="s">
        <v>4673</v>
      </c>
      <c r="D1677" s="27" t="s">
        <v>2229</v>
      </c>
      <c r="E1677" s="27" t="s">
        <v>2232</v>
      </c>
      <c r="F1677" s="27" t="str">
        <f>"47.0615"</f>
        <v>47.0615</v>
      </c>
      <c r="G1677" s="27" t="s">
        <v>4673</v>
      </c>
      <c r="H1677" s="65" t="str">
        <f t="shared" si="78"/>
        <v>No Change</v>
      </c>
      <c r="I1677" s="65" t="str">
        <f t="shared" si="79"/>
        <v>470615</v>
      </c>
      <c r="J1677" s="65" t="str">
        <f t="shared" si="80"/>
        <v>470615</v>
      </c>
    </row>
    <row r="1678" spans="1:10" ht="28.8" x14ac:dyDescent="0.3">
      <c r="A1678" s="27" t="s">
        <v>792</v>
      </c>
      <c r="B1678" s="27" t="str">
        <f>"47.0616"</f>
        <v>47.0616</v>
      </c>
      <c r="C1678" s="64" t="s">
        <v>793</v>
      </c>
      <c r="D1678" s="27" t="s">
        <v>2229</v>
      </c>
      <c r="E1678" s="27" t="s">
        <v>2232</v>
      </c>
      <c r="F1678" s="27" t="str">
        <f>"47.0616"</f>
        <v>47.0616</v>
      </c>
      <c r="G1678" s="27" t="s">
        <v>793</v>
      </c>
      <c r="H1678" s="65" t="str">
        <f t="shared" si="78"/>
        <v>No Change</v>
      </c>
      <c r="I1678" s="65" t="str">
        <f t="shared" si="79"/>
        <v>470616</v>
      </c>
      <c r="J1678" s="65" t="str">
        <f t="shared" si="80"/>
        <v>470616</v>
      </c>
    </row>
    <row r="1679" spans="1:10" x14ac:dyDescent="0.3">
      <c r="A1679" s="27" t="s">
        <v>4674</v>
      </c>
      <c r="B1679" s="27" t="str">
        <f>"47.0617"</f>
        <v>47.0617</v>
      </c>
      <c r="C1679" s="64" t="s">
        <v>4675</v>
      </c>
      <c r="D1679" s="27" t="s">
        <v>2229</v>
      </c>
      <c r="E1679" s="27" t="s">
        <v>2232</v>
      </c>
      <c r="F1679" s="27" t="str">
        <f>"47.0617"</f>
        <v>47.0617</v>
      </c>
      <c r="G1679" s="27" t="s">
        <v>4675</v>
      </c>
      <c r="H1679" s="65" t="str">
        <f t="shared" si="78"/>
        <v>No Change</v>
      </c>
      <c r="I1679" s="65" t="str">
        <f t="shared" si="79"/>
        <v>470617</v>
      </c>
      <c r="J1679" s="65" t="str">
        <f t="shared" si="80"/>
        <v>470617</v>
      </c>
    </row>
    <row r="1680" spans="1:10" x14ac:dyDescent="0.3">
      <c r="A1680" s="27" t="s">
        <v>4676</v>
      </c>
      <c r="B1680" s="27" t="str">
        <f>"47.0618"</f>
        <v>47.0618</v>
      </c>
      <c r="C1680" s="64" t="s">
        <v>4677</v>
      </c>
      <c r="D1680" s="27" t="s">
        <v>2229</v>
      </c>
      <c r="E1680" s="27" t="s">
        <v>2232</v>
      </c>
      <c r="F1680" s="27" t="str">
        <f>"47.0618"</f>
        <v>47.0618</v>
      </c>
      <c r="G1680" s="27" t="s">
        <v>4677</v>
      </c>
      <c r="H1680" s="65" t="str">
        <f t="shared" si="78"/>
        <v>No Change</v>
      </c>
      <c r="I1680" s="65" t="str">
        <f t="shared" si="79"/>
        <v>470618</v>
      </c>
      <c r="J1680" s="65" t="str">
        <f t="shared" si="80"/>
        <v>470618</v>
      </c>
    </row>
    <row r="1681" spans="1:10" x14ac:dyDescent="0.3">
      <c r="A1681" s="27" t="s">
        <v>4678</v>
      </c>
      <c r="B1681" s="27" t="str">
        <f>"47.0699"</f>
        <v>47.0699</v>
      </c>
      <c r="C1681" s="64" t="s">
        <v>4679</v>
      </c>
      <c r="D1681" s="27" t="s">
        <v>2229</v>
      </c>
      <c r="E1681" s="27" t="s">
        <v>2230</v>
      </c>
      <c r="F1681" s="27" t="str">
        <f>"47.0699"</f>
        <v>47.0699</v>
      </c>
      <c r="G1681" s="27" t="s">
        <v>4680</v>
      </c>
      <c r="H1681" s="65" t="str">
        <f t="shared" si="78"/>
        <v>No Change</v>
      </c>
      <c r="I1681" s="65" t="str">
        <f t="shared" si="79"/>
        <v>470699</v>
      </c>
      <c r="J1681" s="65" t="str">
        <f t="shared" si="80"/>
        <v>470699</v>
      </c>
    </row>
    <row r="1682" spans="1:10" x14ac:dyDescent="0.3">
      <c r="A1682" s="27" t="s">
        <v>1869</v>
      </c>
      <c r="D1682" s="27" t="s">
        <v>2255</v>
      </c>
      <c r="E1682" s="27" t="s">
        <v>2232</v>
      </c>
      <c r="F1682" s="27" t="str">
        <f>"47.07"</f>
        <v>47.07</v>
      </c>
      <c r="G1682" s="27" t="s">
        <v>4681</v>
      </c>
      <c r="H1682" s="65" t="str">
        <f t="shared" si="78"/>
        <v>No Change</v>
      </c>
      <c r="I1682" s="65" t="str">
        <f t="shared" si="79"/>
        <v/>
      </c>
      <c r="J1682" s="65" t="str">
        <f t="shared" si="80"/>
        <v/>
      </c>
    </row>
    <row r="1683" spans="1:10" x14ac:dyDescent="0.3">
      <c r="A1683" s="27" t="s">
        <v>1869</v>
      </c>
      <c r="D1683" s="27" t="s">
        <v>2255</v>
      </c>
      <c r="E1683" s="27" t="s">
        <v>2232</v>
      </c>
      <c r="F1683" s="27" t="str">
        <f>"47.0701"</f>
        <v>47.0701</v>
      </c>
      <c r="G1683" s="27" t="s">
        <v>4682</v>
      </c>
      <c r="H1683" s="65" t="str">
        <f t="shared" si="78"/>
        <v>Other</v>
      </c>
      <c r="I1683" s="65" t="str">
        <f t="shared" si="79"/>
        <v/>
      </c>
      <c r="J1683" s="65" t="str">
        <f t="shared" si="80"/>
        <v>470701</v>
      </c>
    </row>
    <row r="1684" spans="1:10" x14ac:dyDescent="0.3">
      <c r="A1684" s="27" t="s">
        <v>1869</v>
      </c>
      <c r="D1684" s="27" t="s">
        <v>2255</v>
      </c>
      <c r="E1684" s="27" t="s">
        <v>2232</v>
      </c>
      <c r="F1684" s="27" t="str">
        <f>"47.0703"</f>
        <v>47.0703</v>
      </c>
      <c r="G1684" s="27" t="s">
        <v>4683</v>
      </c>
      <c r="H1684" s="65" t="str">
        <f t="shared" si="78"/>
        <v>Other</v>
      </c>
      <c r="I1684" s="65" t="str">
        <f t="shared" si="79"/>
        <v/>
      </c>
      <c r="J1684" s="65" t="str">
        <f t="shared" si="80"/>
        <v>470703</v>
      </c>
    </row>
    <row r="1685" spans="1:10" x14ac:dyDescent="0.3">
      <c r="A1685" s="27" t="s">
        <v>1869</v>
      </c>
      <c r="D1685" s="27" t="s">
        <v>2255</v>
      </c>
      <c r="E1685" s="27" t="s">
        <v>2232</v>
      </c>
      <c r="F1685" s="27" t="str">
        <f>"47.0704"</f>
        <v>47.0704</v>
      </c>
      <c r="G1685" s="27" t="s">
        <v>4684</v>
      </c>
      <c r="H1685" s="65" t="str">
        <f t="shared" si="78"/>
        <v>Other</v>
      </c>
      <c r="I1685" s="65" t="str">
        <f t="shared" si="79"/>
        <v/>
      </c>
      <c r="J1685" s="65" t="str">
        <f t="shared" si="80"/>
        <v>470704</v>
      </c>
    </row>
    <row r="1686" spans="1:10" x14ac:dyDescent="0.3">
      <c r="A1686" s="27" t="s">
        <v>1869</v>
      </c>
      <c r="D1686" s="27" t="s">
        <v>2255</v>
      </c>
      <c r="E1686" s="27" t="s">
        <v>2232</v>
      </c>
      <c r="F1686" s="27" t="str">
        <f>"47.0705"</f>
        <v>47.0705</v>
      </c>
      <c r="G1686" s="27" t="s">
        <v>4685</v>
      </c>
      <c r="H1686" s="65" t="str">
        <f t="shared" si="78"/>
        <v>Other</v>
      </c>
      <c r="I1686" s="65" t="str">
        <f t="shared" si="79"/>
        <v/>
      </c>
      <c r="J1686" s="65" t="str">
        <f t="shared" si="80"/>
        <v>470705</v>
      </c>
    </row>
    <row r="1687" spans="1:10" x14ac:dyDescent="0.3">
      <c r="A1687" s="27" t="s">
        <v>1869</v>
      </c>
      <c r="D1687" s="27" t="s">
        <v>2255</v>
      </c>
      <c r="E1687" s="27" t="s">
        <v>2232</v>
      </c>
      <c r="F1687" s="27" t="str">
        <f>"47.0706"</f>
        <v>47.0706</v>
      </c>
      <c r="G1687" s="27" t="s">
        <v>4686</v>
      </c>
      <c r="H1687" s="65" t="str">
        <f t="shared" si="78"/>
        <v>Other</v>
      </c>
      <c r="I1687" s="65" t="str">
        <f t="shared" si="79"/>
        <v/>
      </c>
      <c r="J1687" s="65" t="str">
        <f t="shared" si="80"/>
        <v>470706</v>
      </c>
    </row>
    <row r="1688" spans="1:10" x14ac:dyDescent="0.3">
      <c r="A1688" s="27" t="s">
        <v>1869</v>
      </c>
      <c r="D1688" s="27" t="s">
        <v>2255</v>
      </c>
      <c r="E1688" s="27" t="s">
        <v>2232</v>
      </c>
      <c r="F1688" s="27" t="str">
        <f>"47.0799"</f>
        <v>47.0799</v>
      </c>
      <c r="G1688" s="27" t="s">
        <v>4687</v>
      </c>
      <c r="H1688" s="65" t="str">
        <f t="shared" si="78"/>
        <v>Other</v>
      </c>
      <c r="I1688" s="65" t="str">
        <f t="shared" si="79"/>
        <v/>
      </c>
      <c r="J1688" s="65" t="str">
        <f t="shared" si="80"/>
        <v>470799</v>
      </c>
    </row>
    <row r="1689" spans="1:10" x14ac:dyDescent="0.3">
      <c r="A1689" s="27" t="s">
        <v>1869</v>
      </c>
      <c r="B1689" s="27" t="str">
        <f>"47.99"</f>
        <v>47.99</v>
      </c>
      <c r="C1689" s="64" t="s">
        <v>4688</v>
      </c>
      <c r="D1689" s="27" t="s">
        <v>2229</v>
      </c>
      <c r="E1689" s="27" t="s">
        <v>2232</v>
      </c>
      <c r="F1689" s="27" t="str">
        <f>"47.99"</f>
        <v>47.99</v>
      </c>
      <c r="G1689" s="27" t="s">
        <v>4688</v>
      </c>
      <c r="H1689" s="65" t="str">
        <f t="shared" si="78"/>
        <v>No Change</v>
      </c>
      <c r="I1689" s="65" t="str">
        <f t="shared" si="79"/>
        <v/>
      </c>
      <c r="J1689" s="65" t="str">
        <f t="shared" si="80"/>
        <v/>
      </c>
    </row>
    <row r="1690" spans="1:10" x14ac:dyDescent="0.3">
      <c r="A1690" s="27" t="s">
        <v>4689</v>
      </c>
      <c r="B1690" s="27" t="str">
        <f>"47.9999"</f>
        <v>47.9999</v>
      </c>
      <c r="C1690" s="64" t="s">
        <v>4688</v>
      </c>
      <c r="D1690" s="27" t="s">
        <v>2229</v>
      </c>
      <c r="E1690" s="27" t="s">
        <v>2232</v>
      </c>
      <c r="F1690" s="27" t="str">
        <f>"47.9999"</f>
        <v>47.9999</v>
      </c>
      <c r="G1690" s="27" t="s">
        <v>4688</v>
      </c>
      <c r="H1690" s="65" t="str">
        <f t="shared" si="78"/>
        <v>No Change</v>
      </c>
      <c r="I1690" s="65" t="str">
        <f t="shared" si="79"/>
        <v>479999</v>
      </c>
      <c r="J1690" s="65" t="str">
        <f t="shared" si="80"/>
        <v>479999</v>
      </c>
    </row>
    <row r="1691" spans="1:10" x14ac:dyDescent="0.3">
      <c r="A1691" s="27" t="s">
        <v>1869</v>
      </c>
      <c r="B1691" s="27" t="str">
        <f>"48"</f>
        <v>48</v>
      </c>
      <c r="C1691" s="64" t="s">
        <v>4690</v>
      </c>
      <c r="D1691" s="27" t="s">
        <v>2229</v>
      </c>
      <c r="E1691" s="27" t="s">
        <v>2232</v>
      </c>
      <c r="F1691" s="27" t="str">
        <f>"48"</f>
        <v>48</v>
      </c>
      <c r="G1691" s="27" t="s">
        <v>4690</v>
      </c>
      <c r="H1691" s="65" t="str">
        <f t="shared" si="78"/>
        <v>No Change</v>
      </c>
      <c r="I1691" s="65" t="str">
        <f t="shared" si="79"/>
        <v/>
      </c>
      <c r="J1691" s="65" t="str">
        <f t="shared" si="80"/>
        <v/>
      </c>
    </row>
    <row r="1692" spans="1:10" x14ac:dyDescent="0.3">
      <c r="A1692" s="27" t="s">
        <v>1869</v>
      </c>
      <c r="B1692" s="27" t="str">
        <f>"48.00"</f>
        <v>48.00</v>
      </c>
      <c r="C1692" s="64" t="s">
        <v>4691</v>
      </c>
      <c r="D1692" s="27" t="s">
        <v>2229</v>
      </c>
      <c r="E1692" s="27" t="s">
        <v>2232</v>
      </c>
      <c r="F1692" s="27" t="str">
        <f>"48.00"</f>
        <v>48.00</v>
      </c>
      <c r="G1692" s="27" t="s">
        <v>4691</v>
      </c>
      <c r="H1692" s="65" t="str">
        <f t="shared" si="78"/>
        <v>No Change</v>
      </c>
      <c r="I1692" s="65" t="str">
        <f t="shared" si="79"/>
        <v/>
      </c>
      <c r="J1692" s="65" t="str">
        <f t="shared" si="80"/>
        <v/>
      </c>
    </row>
    <row r="1693" spans="1:10" x14ac:dyDescent="0.3">
      <c r="A1693" s="27" t="s">
        <v>4692</v>
      </c>
      <c r="B1693" s="27" t="str">
        <f>"48.0000"</f>
        <v>48.0000</v>
      </c>
      <c r="C1693" s="64" t="s">
        <v>4691</v>
      </c>
      <c r="D1693" s="27" t="s">
        <v>2229</v>
      </c>
      <c r="E1693" s="27" t="s">
        <v>2232</v>
      </c>
      <c r="F1693" s="27" t="str">
        <f>"48.0000"</f>
        <v>48.0000</v>
      </c>
      <c r="G1693" s="27" t="s">
        <v>4691</v>
      </c>
      <c r="H1693" s="65" t="str">
        <f t="shared" si="78"/>
        <v>No Change</v>
      </c>
      <c r="I1693" s="65" t="str">
        <f t="shared" si="79"/>
        <v>480000</v>
      </c>
      <c r="J1693" s="65" t="str">
        <f t="shared" si="80"/>
        <v>480000</v>
      </c>
    </row>
    <row r="1694" spans="1:10" x14ac:dyDescent="0.3">
      <c r="A1694" s="27" t="s">
        <v>1869</v>
      </c>
      <c r="B1694" s="27" t="str">
        <f>"48.03"</f>
        <v>48.03</v>
      </c>
      <c r="C1694" s="64" t="s">
        <v>4693</v>
      </c>
      <c r="D1694" s="27" t="s">
        <v>2229</v>
      </c>
      <c r="E1694" s="27" t="s">
        <v>2232</v>
      </c>
      <c r="F1694" s="27" t="str">
        <f>"48.03"</f>
        <v>48.03</v>
      </c>
      <c r="G1694" s="27" t="s">
        <v>4693</v>
      </c>
      <c r="H1694" s="65" t="str">
        <f t="shared" si="78"/>
        <v>No Change</v>
      </c>
      <c r="I1694" s="65" t="str">
        <f t="shared" si="79"/>
        <v/>
      </c>
      <c r="J1694" s="65" t="str">
        <f t="shared" si="80"/>
        <v/>
      </c>
    </row>
    <row r="1695" spans="1:10" x14ac:dyDescent="0.3">
      <c r="A1695" s="27" t="s">
        <v>4694</v>
      </c>
      <c r="B1695" s="27" t="str">
        <f>"48.0303"</f>
        <v>48.0303</v>
      </c>
      <c r="C1695" s="64" t="s">
        <v>4695</v>
      </c>
      <c r="D1695" s="27" t="s">
        <v>2229</v>
      </c>
      <c r="E1695" s="27" t="s">
        <v>2232</v>
      </c>
      <c r="F1695" s="27" t="str">
        <f>"48.0303"</f>
        <v>48.0303</v>
      </c>
      <c r="G1695" s="27" t="s">
        <v>4695</v>
      </c>
      <c r="H1695" s="65" t="str">
        <f t="shared" si="78"/>
        <v>No Change</v>
      </c>
      <c r="I1695" s="65" t="str">
        <f t="shared" si="79"/>
        <v>480303</v>
      </c>
      <c r="J1695" s="65" t="str">
        <f t="shared" si="80"/>
        <v>480303</v>
      </c>
    </row>
    <row r="1696" spans="1:10" x14ac:dyDescent="0.3">
      <c r="A1696" s="27" t="s">
        <v>4696</v>
      </c>
      <c r="B1696" s="27" t="str">
        <f>"48.0304"</f>
        <v>48.0304</v>
      </c>
      <c r="C1696" s="64" t="s">
        <v>4697</v>
      </c>
      <c r="D1696" s="27" t="s">
        <v>2229</v>
      </c>
      <c r="E1696" s="27" t="s">
        <v>2232</v>
      </c>
      <c r="F1696" s="27" t="str">
        <f>"48.0304"</f>
        <v>48.0304</v>
      </c>
      <c r="G1696" s="27" t="s">
        <v>4697</v>
      </c>
      <c r="H1696" s="65" t="str">
        <f t="shared" si="78"/>
        <v>No Change</v>
      </c>
      <c r="I1696" s="65" t="str">
        <f t="shared" si="79"/>
        <v>480304</v>
      </c>
      <c r="J1696" s="65" t="str">
        <f t="shared" si="80"/>
        <v>480304</v>
      </c>
    </row>
    <row r="1697" spans="1:10" x14ac:dyDescent="0.3">
      <c r="A1697" s="27" t="s">
        <v>4698</v>
      </c>
      <c r="B1697" s="27" t="str">
        <f>"48.0399"</f>
        <v>48.0399</v>
      </c>
      <c r="C1697" s="64" t="s">
        <v>4699</v>
      </c>
      <c r="D1697" s="27" t="s">
        <v>2229</v>
      </c>
      <c r="E1697" s="27" t="s">
        <v>2232</v>
      </c>
      <c r="F1697" s="27" t="str">
        <f>"48.0399"</f>
        <v>48.0399</v>
      </c>
      <c r="G1697" s="27" t="s">
        <v>4699</v>
      </c>
      <c r="H1697" s="65" t="str">
        <f t="shared" si="78"/>
        <v>No Change</v>
      </c>
      <c r="I1697" s="65" t="str">
        <f t="shared" si="79"/>
        <v>480399</v>
      </c>
      <c r="J1697" s="65" t="str">
        <f t="shared" si="80"/>
        <v>480399</v>
      </c>
    </row>
    <row r="1698" spans="1:10" x14ac:dyDescent="0.3">
      <c r="A1698" s="27" t="s">
        <v>1869</v>
      </c>
      <c r="B1698" s="27" t="str">
        <f>"48.05"</f>
        <v>48.05</v>
      </c>
      <c r="C1698" s="64" t="s">
        <v>4700</v>
      </c>
      <c r="D1698" s="27" t="s">
        <v>2229</v>
      </c>
      <c r="E1698" s="27" t="s">
        <v>2232</v>
      </c>
      <c r="F1698" s="27" t="str">
        <f>"48.05"</f>
        <v>48.05</v>
      </c>
      <c r="G1698" s="27" t="s">
        <v>4700</v>
      </c>
      <c r="H1698" s="65" t="str">
        <f t="shared" si="78"/>
        <v>No Change</v>
      </c>
      <c r="I1698" s="65" t="str">
        <f t="shared" si="79"/>
        <v/>
      </c>
      <c r="J1698" s="65" t="str">
        <f t="shared" si="80"/>
        <v/>
      </c>
    </row>
    <row r="1699" spans="1:10" x14ac:dyDescent="0.3">
      <c r="A1699" s="27" t="s">
        <v>4701</v>
      </c>
      <c r="B1699" s="27" t="str">
        <f>"48.0501"</f>
        <v>48.0501</v>
      </c>
      <c r="C1699" s="64" t="s">
        <v>4702</v>
      </c>
      <c r="D1699" s="27" t="s">
        <v>2229</v>
      </c>
      <c r="E1699" s="27" t="s">
        <v>2232</v>
      </c>
      <c r="F1699" s="27" t="str">
        <f>"48.0501"</f>
        <v>48.0501</v>
      </c>
      <c r="G1699" s="27" t="s">
        <v>4702</v>
      </c>
      <c r="H1699" s="65" t="str">
        <f t="shared" si="78"/>
        <v>No Change</v>
      </c>
      <c r="I1699" s="65" t="str">
        <f t="shared" si="79"/>
        <v>480501</v>
      </c>
      <c r="J1699" s="65" t="str">
        <f t="shared" si="80"/>
        <v>480501</v>
      </c>
    </row>
    <row r="1700" spans="1:10" x14ac:dyDescent="0.3">
      <c r="A1700" s="27" t="s">
        <v>454</v>
      </c>
      <c r="B1700" s="27" t="str">
        <f>"48.0503"</f>
        <v>48.0503</v>
      </c>
      <c r="C1700" s="64" t="s">
        <v>455</v>
      </c>
      <c r="D1700" s="27" t="s">
        <v>2229</v>
      </c>
      <c r="E1700" s="27" t="s">
        <v>2232</v>
      </c>
      <c r="F1700" s="27" t="str">
        <f>"48.0503"</f>
        <v>48.0503</v>
      </c>
      <c r="G1700" s="27" t="s">
        <v>455</v>
      </c>
      <c r="H1700" s="65" t="str">
        <f t="shared" si="78"/>
        <v>No Change</v>
      </c>
      <c r="I1700" s="65" t="str">
        <f t="shared" si="79"/>
        <v>480503</v>
      </c>
      <c r="J1700" s="65" t="str">
        <f t="shared" si="80"/>
        <v>480503</v>
      </c>
    </row>
    <row r="1701" spans="1:10" x14ac:dyDescent="0.3">
      <c r="A1701" s="27" t="s">
        <v>1838</v>
      </c>
      <c r="B1701" s="27" t="str">
        <f>"48.0506"</f>
        <v>48.0506</v>
      </c>
      <c r="C1701" s="64" t="s">
        <v>4703</v>
      </c>
      <c r="D1701" s="27" t="s">
        <v>2229</v>
      </c>
      <c r="E1701" s="27" t="s">
        <v>2232</v>
      </c>
      <c r="F1701" s="27" t="str">
        <f>"48.0506"</f>
        <v>48.0506</v>
      </c>
      <c r="G1701" s="27" t="s">
        <v>4703</v>
      </c>
      <c r="H1701" s="65" t="str">
        <f t="shared" si="78"/>
        <v>No Change</v>
      </c>
      <c r="I1701" s="65" t="str">
        <f t="shared" si="79"/>
        <v>480506</v>
      </c>
      <c r="J1701" s="65" t="str">
        <f t="shared" si="80"/>
        <v>480506</v>
      </c>
    </row>
    <row r="1702" spans="1:10" x14ac:dyDescent="0.3">
      <c r="A1702" s="27" t="s">
        <v>4704</v>
      </c>
      <c r="B1702" s="27" t="str">
        <f>"48.0507"</f>
        <v>48.0507</v>
      </c>
      <c r="C1702" s="64" t="s">
        <v>4705</v>
      </c>
      <c r="D1702" s="27" t="s">
        <v>2229</v>
      </c>
      <c r="E1702" s="27" t="s">
        <v>2232</v>
      </c>
      <c r="F1702" s="27" t="str">
        <f>"48.0507"</f>
        <v>48.0507</v>
      </c>
      <c r="G1702" s="27" t="s">
        <v>4705</v>
      </c>
      <c r="H1702" s="65" t="str">
        <f t="shared" si="78"/>
        <v>No Change</v>
      </c>
      <c r="I1702" s="65" t="str">
        <f t="shared" si="79"/>
        <v>480507</v>
      </c>
      <c r="J1702" s="65" t="str">
        <f t="shared" si="80"/>
        <v>480507</v>
      </c>
    </row>
    <row r="1703" spans="1:10" x14ac:dyDescent="0.3">
      <c r="A1703" s="27" t="s">
        <v>292</v>
      </c>
      <c r="B1703" s="27" t="str">
        <f>"48.0508"</f>
        <v>48.0508</v>
      </c>
      <c r="C1703" s="64" t="s">
        <v>293</v>
      </c>
      <c r="D1703" s="27" t="s">
        <v>2229</v>
      </c>
      <c r="E1703" s="27" t="s">
        <v>2232</v>
      </c>
      <c r="F1703" s="27" t="str">
        <f>"48.0508"</f>
        <v>48.0508</v>
      </c>
      <c r="G1703" s="27" t="s">
        <v>293</v>
      </c>
      <c r="H1703" s="65" t="str">
        <f t="shared" si="78"/>
        <v>No Change</v>
      </c>
      <c r="I1703" s="65" t="str">
        <f t="shared" si="79"/>
        <v>480508</v>
      </c>
      <c r="J1703" s="65" t="str">
        <f t="shared" si="80"/>
        <v>480508</v>
      </c>
    </row>
    <row r="1704" spans="1:10" x14ac:dyDescent="0.3">
      <c r="A1704" s="27" t="s">
        <v>4706</v>
      </c>
      <c r="B1704" s="27" t="str">
        <f>"48.0509"</f>
        <v>48.0509</v>
      </c>
      <c r="C1704" s="64" t="s">
        <v>4707</v>
      </c>
      <c r="D1704" s="27" t="s">
        <v>2229</v>
      </c>
      <c r="E1704" s="27" t="s">
        <v>2232</v>
      </c>
      <c r="F1704" s="27" t="str">
        <f>"48.0509"</f>
        <v>48.0509</v>
      </c>
      <c r="G1704" s="27" t="s">
        <v>4707</v>
      </c>
      <c r="H1704" s="65" t="str">
        <f t="shared" si="78"/>
        <v>No Change</v>
      </c>
      <c r="I1704" s="65" t="str">
        <f t="shared" si="79"/>
        <v>480509</v>
      </c>
      <c r="J1704" s="65" t="str">
        <f t="shared" si="80"/>
        <v>480509</v>
      </c>
    </row>
    <row r="1705" spans="1:10" ht="28.8" x14ac:dyDescent="0.3">
      <c r="A1705" s="27" t="s">
        <v>295</v>
      </c>
      <c r="B1705" s="27" t="str">
        <f>"48.0510"</f>
        <v>48.0510</v>
      </c>
      <c r="C1705" s="64" t="s">
        <v>296</v>
      </c>
      <c r="D1705" s="27" t="s">
        <v>2229</v>
      </c>
      <c r="E1705" s="27" t="s">
        <v>2232</v>
      </c>
      <c r="F1705" s="27" t="str">
        <f>"48.0510"</f>
        <v>48.0510</v>
      </c>
      <c r="G1705" s="27" t="s">
        <v>296</v>
      </c>
      <c r="H1705" s="65" t="str">
        <f t="shared" si="78"/>
        <v>No Change</v>
      </c>
      <c r="I1705" s="65" t="str">
        <f t="shared" si="79"/>
        <v>480510</v>
      </c>
      <c r="J1705" s="65" t="str">
        <f t="shared" si="80"/>
        <v>480510</v>
      </c>
    </row>
    <row r="1706" spans="1:10" x14ac:dyDescent="0.3">
      <c r="A1706" s="27" t="s">
        <v>4708</v>
      </c>
      <c r="B1706" s="27" t="str">
        <f>"48.0511"</f>
        <v>48.0511</v>
      </c>
      <c r="C1706" s="64" t="s">
        <v>4709</v>
      </c>
      <c r="D1706" s="27" t="s">
        <v>2229</v>
      </c>
      <c r="E1706" s="27" t="s">
        <v>2232</v>
      </c>
      <c r="F1706" s="27" t="str">
        <f>"48.0511"</f>
        <v>48.0511</v>
      </c>
      <c r="G1706" s="27" t="s">
        <v>4709</v>
      </c>
      <c r="H1706" s="65" t="str">
        <f t="shared" si="78"/>
        <v>No Change</v>
      </c>
      <c r="I1706" s="65" t="str">
        <f t="shared" si="79"/>
        <v>480511</v>
      </c>
      <c r="J1706" s="65" t="str">
        <f t="shared" si="80"/>
        <v>480511</v>
      </c>
    </row>
    <row r="1707" spans="1:10" x14ac:dyDescent="0.3">
      <c r="A1707" s="27" t="s">
        <v>4710</v>
      </c>
      <c r="B1707" s="27" t="str">
        <f>"48.0599"</f>
        <v>48.0599</v>
      </c>
      <c r="C1707" s="64" t="s">
        <v>4711</v>
      </c>
      <c r="D1707" s="27" t="s">
        <v>2229</v>
      </c>
      <c r="E1707" s="27" t="s">
        <v>2232</v>
      </c>
      <c r="F1707" s="27" t="str">
        <f>"48.0599"</f>
        <v>48.0599</v>
      </c>
      <c r="G1707" s="27" t="s">
        <v>4711</v>
      </c>
      <c r="H1707" s="65" t="str">
        <f t="shared" si="78"/>
        <v>No Change</v>
      </c>
      <c r="I1707" s="65" t="str">
        <f t="shared" si="79"/>
        <v>480599</v>
      </c>
      <c r="J1707" s="65" t="str">
        <f t="shared" si="80"/>
        <v>480599</v>
      </c>
    </row>
    <row r="1708" spans="1:10" x14ac:dyDescent="0.3">
      <c r="A1708" s="27" t="s">
        <v>1869</v>
      </c>
      <c r="B1708" s="27" t="str">
        <f>"48.07"</f>
        <v>48.07</v>
      </c>
      <c r="C1708" s="64" t="s">
        <v>4712</v>
      </c>
      <c r="D1708" s="27" t="s">
        <v>2229</v>
      </c>
      <c r="E1708" s="27" t="s">
        <v>2232</v>
      </c>
      <c r="F1708" s="27" t="str">
        <f>"48.07"</f>
        <v>48.07</v>
      </c>
      <c r="G1708" s="27" t="s">
        <v>4712</v>
      </c>
      <c r="H1708" s="65" t="str">
        <f t="shared" si="78"/>
        <v>No Change</v>
      </c>
      <c r="I1708" s="65" t="str">
        <f t="shared" si="79"/>
        <v/>
      </c>
      <c r="J1708" s="65" t="str">
        <f t="shared" si="80"/>
        <v/>
      </c>
    </row>
    <row r="1709" spans="1:10" x14ac:dyDescent="0.3">
      <c r="A1709" s="27" t="s">
        <v>4713</v>
      </c>
      <c r="B1709" s="27" t="str">
        <f>"48.0701"</f>
        <v>48.0701</v>
      </c>
      <c r="C1709" s="64" t="s">
        <v>4714</v>
      </c>
      <c r="D1709" s="27" t="s">
        <v>2229</v>
      </c>
      <c r="E1709" s="27" t="s">
        <v>2232</v>
      </c>
      <c r="F1709" s="27" t="str">
        <f>"48.0701"</f>
        <v>48.0701</v>
      </c>
      <c r="G1709" s="27" t="s">
        <v>4714</v>
      </c>
      <c r="H1709" s="65" t="str">
        <f t="shared" si="78"/>
        <v>No Change</v>
      </c>
      <c r="I1709" s="65" t="str">
        <f t="shared" si="79"/>
        <v>480701</v>
      </c>
      <c r="J1709" s="65" t="str">
        <f t="shared" si="80"/>
        <v>480701</v>
      </c>
    </row>
    <row r="1710" spans="1:10" x14ac:dyDescent="0.3">
      <c r="A1710" s="27" t="s">
        <v>4715</v>
      </c>
      <c r="B1710" s="27" t="str">
        <f>"48.0702"</f>
        <v>48.0702</v>
      </c>
      <c r="C1710" s="64" t="s">
        <v>4716</v>
      </c>
      <c r="D1710" s="27" t="s">
        <v>2229</v>
      </c>
      <c r="E1710" s="27" t="s">
        <v>2232</v>
      </c>
      <c r="F1710" s="27" t="str">
        <f>"48.0702"</f>
        <v>48.0702</v>
      </c>
      <c r="G1710" s="27" t="s">
        <v>4716</v>
      </c>
      <c r="H1710" s="65" t="str">
        <f t="shared" si="78"/>
        <v>No Change</v>
      </c>
      <c r="I1710" s="65" t="str">
        <f t="shared" si="79"/>
        <v>480702</v>
      </c>
      <c r="J1710" s="65" t="str">
        <f t="shared" si="80"/>
        <v>480702</v>
      </c>
    </row>
    <row r="1711" spans="1:10" x14ac:dyDescent="0.3">
      <c r="A1711" s="27" t="s">
        <v>1017</v>
      </c>
      <c r="B1711" s="27" t="str">
        <f>"48.0703"</f>
        <v>48.0703</v>
      </c>
      <c r="C1711" s="64" t="s">
        <v>1018</v>
      </c>
      <c r="D1711" s="27" t="s">
        <v>2229</v>
      </c>
      <c r="E1711" s="27" t="s">
        <v>2232</v>
      </c>
      <c r="F1711" s="27" t="str">
        <f>"48.0703"</f>
        <v>48.0703</v>
      </c>
      <c r="G1711" s="27" t="s">
        <v>1018</v>
      </c>
      <c r="H1711" s="65" t="str">
        <f t="shared" si="78"/>
        <v>No Change</v>
      </c>
      <c r="I1711" s="65" t="str">
        <f t="shared" si="79"/>
        <v>480703</v>
      </c>
      <c r="J1711" s="65" t="str">
        <f t="shared" si="80"/>
        <v>480703</v>
      </c>
    </row>
    <row r="1712" spans="1:10" x14ac:dyDescent="0.3">
      <c r="A1712" s="27" t="s">
        <v>1869</v>
      </c>
      <c r="D1712" s="27" t="s">
        <v>2255</v>
      </c>
      <c r="E1712" s="27" t="s">
        <v>2232</v>
      </c>
      <c r="F1712" s="27" t="str">
        <f>"48.0704"</f>
        <v>48.0704</v>
      </c>
      <c r="G1712" s="27" t="s">
        <v>4717</v>
      </c>
      <c r="H1712" s="65" t="str">
        <f t="shared" si="78"/>
        <v>Other</v>
      </c>
      <c r="I1712" s="65" t="str">
        <f t="shared" si="79"/>
        <v/>
      </c>
      <c r="J1712" s="65" t="str">
        <f t="shared" si="80"/>
        <v>480704</v>
      </c>
    </row>
    <row r="1713" spans="1:10" x14ac:dyDescent="0.3">
      <c r="A1713" s="27" t="s">
        <v>4718</v>
      </c>
      <c r="B1713" s="27" t="str">
        <f>"48.0799"</f>
        <v>48.0799</v>
      </c>
      <c r="C1713" s="64" t="s">
        <v>4719</v>
      </c>
      <c r="D1713" s="27" t="s">
        <v>2229</v>
      </c>
      <c r="E1713" s="27" t="s">
        <v>2232</v>
      </c>
      <c r="F1713" s="27" t="str">
        <f>"48.0799"</f>
        <v>48.0799</v>
      </c>
      <c r="G1713" s="27" t="s">
        <v>4719</v>
      </c>
      <c r="H1713" s="65" t="str">
        <f t="shared" si="78"/>
        <v>No Change</v>
      </c>
      <c r="I1713" s="65" t="str">
        <f t="shared" si="79"/>
        <v>480799</v>
      </c>
      <c r="J1713" s="65" t="str">
        <f t="shared" si="80"/>
        <v>480799</v>
      </c>
    </row>
    <row r="1714" spans="1:10" x14ac:dyDescent="0.3">
      <c r="A1714" s="27" t="s">
        <v>1869</v>
      </c>
      <c r="B1714" s="27" t="str">
        <f>"48.08"</f>
        <v>48.08</v>
      </c>
      <c r="C1714" s="64" t="s">
        <v>4720</v>
      </c>
      <c r="D1714" s="27" t="s">
        <v>2229</v>
      </c>
      <c r="E1714" s="27" t="s">
        <v>2232</v>
      </c>
      <c r="F1714" s="27" t="str">
        <f>"48.08"</f>
        <v>48.08</v>
      </c>
      <c r="G1714" s="27" t="s">
        <v>4720</v>
      </c>
      <c r="H1714" s="65" t="str">
        <f t="shared" si="78"/>
        <v>No Change</v>
      </c>
      <c r="I1714" s="65" t="str">
        <f t="shared" si="79"/>
        <v/>
      </c>
      <c r="J1714" s="65" t="str">
        <f t="shared" si="80"/>
        <v/>
      </c>
    </row>
    <row r="1715" spans="1:10" x14ac:dyDescent="0.3">
      <c r="A1715" s="27" t="s">
        <v>4721</v>
      </c>
      <c r="B1715" s="27" t="str">
        <f>"48.0801"</f>
        <v>48.0801</v>
      </c>
      <c r="C1715" s="64" t="s">
        <v>4720</v>
      </c>
      <c r="D1715" s="27" t="s">
        <v>2229</v>
      </c>
      <c r="E1715" s="27" t="s">
        <v>2232</v>
      </c>
      <c r="F1715" s="27" t="str">
        <f>"48.0801"</f>
        <v>48.0801</v>
      </c>
      <c r="G1715" s="27" t="s">
        <v>4720</v>
      </c>
      <c r="H1715" s="65" t="str">
        <f t="shared" si="78"/>
        <v>No Change</v>
      </c>
      <c r="I1715" s="65" t="str">
        <f t="shared" si="79"/>
        <v>480801</v>
      </c>
      <c r="J1715" s="65" t="str">
        <f t="shared" si="80"/>
        <v>480801</v>
      </c>
    </row>
    <row r="1716" spans="1:10" x14ac:dyDescent="0.3">
      <c r="A1716" s="27" t="s">
        <v>1869</v>
      </c>
      <c r="B1716" s="27" t="str">
        <f>"48.99"</f>
        <v>48.99</v>
      </c>
      <c r="C1716" s="64" t="s">
        <v>4722</v>
      </c>
      <c r="D1716" s="27" t="s">
        <v>2229</v>
      </c>
      <c r="E1716" s="27" t="s">
        <v>2232</v>
      </c>
      <c r="F1716" s="27" t="str">
        <f>"48.99"</f>
        <v>48.99</v>
      </c>
      <c r="G1716" s="27" t="s">
        <v>4722</v>
      </c>
      <c r="H1716" s="65" t="str">
        <f t="shared" si="78"/>
        <v>No Change</v>
      </c>
      <c r="I1716" s="65" t="str">
        <f t="shared" si="79"/>
        <v/>
      </c>
      <c r="J1716" s="65" t="str">
        <f t="shared" si="80"/>
        <v/>
      </c>
    </row>
    <row r="1717" spans="1:10" x14ac:dyDescent="0.3">
      <c r="A1717" s="27" t="s">
        <v>4723</v>
      </c>
      <c r="B1717" s="27" t="str">
        <f>"48.9999"</f>
        <v>48.9999</v>
      </c>
      <c r="C1717" s="64" t="s">
        <v>4722</v>
      </c>
      <c r="D1717" s="27" t="s">
        <v>2229</v>
      </c>
      <c r="E1717" s="27" t="s">
        <v>2232</v>
      </c>
      <c r="F1717" s="27" t="str">
        <f>"48.9999"</f>
        <v>48.9999</v>
      </c>
      <c r="G1717" s="27" t="s">
        <v>4722</v>
      </c>
      <c r="H1717" s="65" t="str">
        <f t="shared" si="78"/>
        <v>No Change</v>
      </c>
      <c r="I1717" s="65" t="str">
        <f t="shared" si="79"/>
        <v>489999</v>
      </c>
      <c r="J1717" s="65" t="str">
        <f t="shared" si="80"/>
        <v>489999</v>
      </c>
    </row>
    <row r="1718" spans="1:10" x14ac:dyDescent="0.3">
      <c r="A1718" s="27" t="s">
        <v>1869</v>
      </c>
      <c r="B1718" s="27" t="str">
        <f>"49"</f>
        <v>49</v>
      </c>
      <c r="C1718" s="64" t="s">
        <v>4724</v>
      </c>
      <c r="D1718" s="27" t="s">
        <v>2229</v>
      </c>
      <c r="E1718" s="27" t="s">
        <v>2232</v>
      </c>
      <c r="F1718" s="27" t="str">
        <f>"49"</f>
        <v>49</v>
      </c>
      <c r="G1718" s="27" t="s">
        <v>4724</v>
      </c>
      <c r="H1718" s="65" t="str">
        <f t="shared" si="78"/>
        <v>No Change</v>
      </c>
      <c r="I1718" s="65" t="str">
        <f t="shared" si="79"/>
        <v/>
      </c>
      <c r="J1718" s="65" t="str">
        <f t="shared" si="80"/>
        <v/>
      </c>
    </row>
    <row r="1719" spans="1:10" x14ac:dyDescent="0.3">
      <c r="A1719" s="27" t="s">
        <v>1869</v>
      </c>
      <c r="B1719" s="27" t="str">
        <f>"49.01"</f>
        <v>49.01</v>
      </c>
      <c r="C1719" s="64" t="s">
        <v>4725</v>
      </c>
      <c r="D1719" s="27" t="s">
        <v>2229</v>
      </c>
      <c r="E1719" s="27" t="s">
        <v>2232</v>
      </c>
      <c r="F1719" s="27" t="str">
        <f>"49.01"</f>
        <v>49.01</v>
      </c>
      <c r="G1719" s="27" t="s">
        <v>4725</v>
      </c>
      <c r="H1719" s="65" t="str">
        <f t="shared" si="78"/>
        <v>No Change</v>
      </c>
      <c r="I1719" s="65" t="str">
        <f t="shared" si="79"/>
        <v/>
      </c>
      <c r="J1719" s="65" t="str">
        <f t="shared" si="80"/>
        <v/>
      </c>
    </row>
    <row r="1720" spans="1:10" ht="28.8" x14ac:dyDescent="0.3">
      <c r="A1720" s="27" t="s">
        <v>4726</v>
      </c>
      <c r="B1720" s="27" t="str">
        <f>"49.0101"</f>
        <v>49.0101</v>
      </c>
      <c r="C1720" s="64" t="s">
        <v>4727</v>
      </c>
      <c r="D1720" s="27" t="s">
        <v>2229</v>
      </c>
      <c r="E1720" s="27" t="s">
        <v>2232</v>
      </c>
      <c r="F1720" s="27" t="str">
        <f>"49.0101"</f>
        <v>49.0101</v>
      </c>
      <c r="G1720" s="27" t="s">
        <v>4727</v>
      </c>
      <c r="H1720" s="65" t="str">
        <f t="shared" si="78"/>
        <v>No Change</v>
      </c>
      <c r="I1720" s="65" t="str">
        <f t="shared" si="79"/>
        <v>490101</v>
      </c>
      <c r="J1720" s="65" t="str">
        <f t="shared" si="80"/>
        <v>490101</v>
      </c>
    </row>
    <row r="1721" spans="1:10" x14ac:dyDescent="0.3">
      <c r="A1721" s="27" t="s">
        <v>298</v>
      </c>
      <c r="B1721" s="27" t="str">
        <f>"49.0102"</f>
        <v>49.0102</v>
      </c>
      <c r="C1721" s="64" t="s">
        <v>299</v>
      </c>
      <c r="D1721" s="27" t="s">
        <v>2229</v>
      </c>
      <c r="E1721" s="27" t="s">
        <v>2232</v>
      </c>
      <c r="F1721" s="27" t="str">
        <f>"49.0102"</f>
        <v>49.0102</v>
      </c>
      <c r="G1721" s="27" t="s">
        <v>299</v>
      </c>
      <c r="H1721" s="65" t="str">
        <f t="shared" si="78"/>
        <v>No Change</v>
      </c>
      <c r="I1721" s="65" t="str">
        <f t="shared" si="79"/>
        <v>490102</v>
      </c>
      <c r="J1721" s="65" t="str">
        <f t="shared" si="80"/>
        <v>490102</v>
      </c>
    </row>
    <row r="1722" spans="1:10" x14ac:dyDescent="0.3">
      <c r="A1722" s="27" t="s">
        <v>301</v>
      </c>
      <c r="B1722" s="27" t="str">
        <f>"49.0104"</f>
        <v>49.0104</v>
      </c>
      <c r="C1722" s="64" t="s">
        <v>302</v>
      </c>
      <c r="D1722" s="27" t="s">
        <v>2229</v>
      </c>
      <c r="E1722" s="27" t="s">
        <v>2232</v>
      </c>
      <c r="F1722" s="27" t="str">
        <f>"49.0104"</f>
        <v>49.0104</v>
      </c>
      <c r="G1722" s="27" t="s">
        <v>302</v>
      </c>
      <c r="H1722" s="65" t="str">
        <f t="shared" si="78"/>
        <v>No Change</v>
      </c>
      <c r="I1722" s="65" t="str">
        <f t="shared" si="79"/>
        <v>490104</v>
      </c>
      <c r="J1722" s="65" t="str">
        <f t="shared" si="80"/>
        <v>490104</v>
      </c>
    </row>
    <row r="1723" spans="1:10" x14ac:dyDescent="0.3">
      <c r="A1723" s="27" t="s">
        <v>4728</v>
      </c>
      <c r="B1723" s="27" t="str">
        <f>"49.0105"</f>
        <v>49.0105</v>
      </c>
      <c r="C1723" s="64" t="s">
        <v>4729</v>
      </c>
      <c r="D1723" s="27" t="s">
        <v>2229</v>
      </c>
      <c r="E1723" s="27" t="s">
        <v>2232</v>
      </c>
      <c r="F1723" s="27" t="str">
        <f>"49.0105"</f>
        <v>49.0105</v>
      </c>
      <c r="G1723" s="27" t="s">
        <v>4729</v>
      </c>
      <c r="H1723" s="65" t="str">
        <f t="shared" si="78"/>
        <v>No Change</v>
      </c>
      <c r="I1723" s="65" t="str">
        <f t="shared" si="79"/>
        <v>490105</v>
      </c>
      <c r="J1723" s="65" t="str">
        <f t="shared" si="80"/>
        <v>490105</v>
      </c>
    </row>
    <row r="1724" spans="1:10" x14ac:dyDescent="0.3">
      <c r="A1724" s="27" t="s">
        <v>4730</v>
      </c>
      <c r="B1724" s="27" t="str">
        <f>"49.0106"</f>
        <v>49.0106</v>
      </c>
      <c r="C1724" s="64" t="s">
        <v>4731</v>
      </c>
      <c r="D1724" s="27" t="s">
        <v>2229</v>
      </c>
      <c r="E1724" s="27" t="s">
        <v>2232</v>
      </c>
      <c r="F1724" s="27" t="str">
        <f>"49.0106"</f>
        <v>49.0106</v>
      </c>
      <c r="G1724" s="27" t="s">
        <v>4731</v>
      </c>
      <c r="H1724" s="65" t="str">
        <f t="shared" si="78"/>
        <v>No Change</v>
      </c>
      <c r="I1724" s="65" t="str">
        <f t="shared" si="79"/>
        <v>490106</v>
      </c>
      <c r="J1724" s="65" t="str">
        <f t="shared" si="80"/>
        <v>490106</v>
      </c>
    </row>
    <row r="1725" spans="1:10" x14ac:dyDescent="0.3">
      <c r="A1725" s="27" t="s">
        <v>4732</v>
      </c>
      <c r="B1725" s="27" t="str">
        <f>"49.0108"</f>
        <v>49.0108</v>
      </c>
      <c r="C1725" s="64" t="s">
        <v>4733</v>
      </c>
      <c r="D1725" s="27" t="s">
        <v>2229</v>
      </c>
      <c r="E1725" s="27" t="s">
        <v>2232</v>
      </c>
      <c r="F1725" s="27" t="str">
        <f>"49.0108"</f>
        <v>49.0108</v>
      </c>
      <c r="G1725" s="27" t="s">
        <v>4733</v>
      </c>
      <c r="H1725" s="65" t="str">
        <f t="shared" si="78"/>
        <v>No Change</v>
      </c>
      <c r="I1725" s="65" t="str">
        <f t="shared" si="79"/>
        <v>490108</v>
      </c>
      <c r="J1725" s="65" t="str">
        <f t="shared" si="80"/>
        <v>490108</v>
      </c>
    </row>
    <row r="1726" spans="1:10" x14ac:dyDescent="0.3">
      <c r="A1726" s="27" t="s">
        <v>4734</v>
      </c>
      <c r="B1726" s="27" t="str">
        <f>"49.0199"</f>
        <v>49.0199</v>
      </c>
      <c r="C1726" s="64" t="s">
        <v>4735</v>
      </c>
      <c r="D1726" s="27" t="s">
        <v>2229</v>
      </c>
      <c r="E1726" s="27" t="s">
        <v>2232</v>
      </c>
      <c r="F1726" s="27" t="str">
        <f>"49.0199"</f>
        <v>49.0199</v>
      </c>
      <c r="G1726" s="27" t="s">
        <v>4735</v>
      </c>
      <c r="H1726" s="65" t="str">
        <f t="shared" si="78"/>
        <v>No Change</v>
      </c>
      <c r="I1726" s="65" t="str">
        <f t="shared" si="79"/>
        <v>490199</v>
      </c>
      <c r="J1726" s="65" t="str">
        <f t="shared" si="80"/>
        <v>490199</v>
      </c>
    </row>
    <row r="1727" spans="1:10" x14ac:dyDescent="0.3">
      <c r="A1727" s="27" t="s">
        <v>1869</v>
      </c>
      <c r="B1727" s="27" t="str">
        <f>"49.02"</f>
        <v>49.02</v>
      </c>
      <c r="C1727" s="64" t="s">
        <v>4736</v>
      </c>
      <c r="D1727" s="27" t="s">
        <v>2229</v>
      </c>
      <c r="E1727" s="27" t="s">
        <v>2232</v>
      </c>
      <c r="F1727" s="27" t="str">
        <f>"49.02"</f>
        <v>49.02</v>
      </c>
      <c r="G1727" s="27" t="s">
        <v>4736</v>
      </c>
      <c r="H1727" s="65" t="str">
        <f t="shared" si="78"/>
        <v>No Change</v>
      </c>
      <c r="I1727" s="65" t="str">
        <f t="shared" si="79"/>
        <v/>
      </c>
      <c r="J1727" s="65" t="str">
        <f t="shared" si="80"/>
        <v/>
      </c>
    </row>
    <row r="1728" spans="1:10" ht="28.8" x14ac:dyDescent="0.3">
      <c r="A1728" s="27" t="s">
        <v>1781</v>
      </c>
      <c r="B1728" s="27" t="str">
        <f>"49.0202"</f>
        <v>49.0202</v>
      </c>
      <c r="C1728" s="64" t="s">
        <v>1782</v>
      </c>
      <c r="D1728" s="27" t="s">
        <v>2229</v>
      </c>
      <c r="E1728" s="27" t="s">
        <v>2232</v>
      </c>
      <c r="F1728" s="27" t="str">
        <f>"49.0202"</f>
        <v>49.0202</v>
      </c>
      <c r="G1728" s="27" t="s">
        <v>1782</v>
      </c>
      <c r="H1728" s="65" t="str">
        <f t="shared" si="78"/>
        <v>No Change</v>
      </c>
      <c r="I1728" s="65" t="str">
        <f t="shared" si="79"/>
        <v>490202</v>
      </c>
      <c r="J1728" s="65" t="str">
        <f t="shared" si="80"/>
        <v>490202</v>
      </c>
    </row>
    <row r="1729" spans="1:10" ht="28.8" x14ac:dyDescent="0.3">
      <c r="A1729" s="27" t="s">
        <v>305</v>
      </c>
      <c r="B1729" s="27" t="str">
        <f>"49.0205"</f>
        <v>49.0205</v>
      </c>
      <c r="C1729" s="64" t="s">
        <v>306</v>
      </c>
      <c r="D1729" s="27" t="s">
        <v>2229</v>
      </c>
      <c r="E1729" s="27" t="s">
        <v>2232</v>
      </c>
      <c r="F1729" s="27" t="str">
        <f>"49.0205"</f>
        <v>49.0205</v>
      </c>
      <c r="G1729" s="27" t="s">
        <v>306</v>
      </c>
      <c r="H1729" s="65" t="str">
        <f t="shared" si="78"/>
        <v>No Change</v>
      </c>
      <c r="I1729" s="65" t="str">
        <f t="shared" si="79"/>
        <v>490205</v>
      </c>
      <c r="J1729" s="65" t="str">
        <f t="shared" si="80"/>
        <v>490205</v>
      </c>
    </row>
    <row r="1730" spans="1:10" x14ac:dyDescent="0.3">
      <c r="A1730" s="27" t="s">
        <v>4737</v>
      </c>
      <c r="B1730" s="27" t="str">
        <f>"49.0206"</f>
        <v>49.0206</v>
      </c>
      <c r="C1730" s="64" t="s">
        <v>4738</v>
      </c>
      <c r="D1730" s="27" t="s">
        <v>2229</v>
      </c>
      <c r="E1730" s="27" t="s">
        <v>2232</v>
      </c>
      <c r="F1730" s="27" t="str">
        <f>"49.0206"</f>
        <v>49.0206</v>
      </c>
      <c r="G1730" s="27" t="s">
        <v>4738</v>
      </c>
      <c r="H1730" s="65" t="str">
        <f t="shared" si="78"/>
        <v>No Change</v>
      </c>
      <c r="I1730" s="65" t="str">
        <f t="shared" si="79"/>
        <v>490206</v>
      </c>
      <c r="J1730" s="65" t="str">
        <f t="shared" si="80"/>
        <v>490206</v>
      </c>
    </row>
    <row r="1731" spans="1:10" x14ac:dyDescent="0.3">
      <c r="A1731" s="27" t="s">
        <v>4739</v>
      </c>
      <c r="B1731" s="27" t="str">
        <f>"49.0207"</f>
        <v>49.0207</v>
      </c>
      <c r="C1731" s="64" t="s">
        <v>4740</v>
      </c>
      <c r="D1731" s="27" t="s">
        <v>2229</v>
      </c>
      <c r="E1731" s="27" t="s">
        <v>2232</v>
      </c>
      <c r="F1731" s="27" t="str">
        <f>"49.0207"</f>
        <v>49.0207</v>
      </c>
      <c r="G1731" s="27" t="s">
        <v>4740</v>
      </c>
      <c r="H1731" s="65" t="str">
        <f t="shared" ref="H1731:H1794" si="81">IF(I1731=J1731,"No Change","Other")</f>
        <v>No Change</v>
      </c>
      <c r="I1731" s="65" t="str">
        <f t="shared" ref="I1731:I1794" si="82">SUBSTITUTE(IF(SUM(LEN(B1731))&lt;7,"",B1731),".","")</f>
        <v>490207</v>
      </c>
      <c r="J1731" s="65" t="str">
        <f t="shared" ref="J1731:J1794" si="83">SUBSTITUTE(IF(SUM(LEN(F1731))&lt;7,"",F1731),".","")</f>
        <v>490207</v>
      </c>
    </row>
    <row r="1732" spans="1:10" x14ac:dyDescent="0.3">
      <c r="A1732" s="27" t="s">
        <v>4741</v>
      </c>
      <c r="B1732" s="27" t="str">
        <f>"49.0208"</f>
        <v>49.0208</v>
      </c>
      <c r="C1732" s="64" t="s">
        <v>4742</v>
      </c>
      <c r="D1732" s="27" t="s">
        <v>2229</v>
      </c>
      <c r="E1732" s="27" t="s">
        <v>2232</v>
      </c>
      <c r="F1732" s="27" t="str">
        <f>"49.0208"</f>
        <v>49.0208</v>
      </c>
      <c r="G1732" s="27" t="s">
        <v>4742</v>
      </c>
      <c r="H1732" s="65" t="str">
        <f t="shared" si="81"/>
        <v>No Change</v>
      </c>
      <c r="I1732" s="65" t="str">
        <f t="shared" si="82"/>
        <v>490208</v>
      </c>
      <c r="J1732" s="65" t="str">
        <f t="shared" si="83"/>
        <v>490208</v>
      </c>
    </row>
    <row r="1733" spans="1:10" x14ac:dyDescent="0.3">
      <c r="A1733" s="27" t="s">
        <v>1869</v>
      </c>
      <c r="D1733" s="27" t="s">
        <v>2255</v>
      </c>
      <c r="E1733" s="27" t="s">
        <v>2232</v>
      </c>
      <c r="F1733" s="27" t="str">
        <f>"49.0209"</f>
        <v>49.0209</v>
      </c>
      <c r="G1733" s="27" t="s">
        <v>4743</v>
      </c>
      <c r="H1733" s="65" t="str">
        <f t="shared" si="81"/>
        <v>Other</v>
      </c>
      <c r="I1733" s="65" t="str">
        <f t="shared" si="82"/>
        <v/>
      </c>
      <c r="J1733" s="65" t="str">
        <f t="shared" si="83"/>
        <v>490209</v>
      </c>
    </row>
    <row r="1734" spans="1:10" x14ac:dyDescent="0.3">
      <c r="A1734" s="27" t="s">
        <v>4744</v>
      </c>
      <c r="B1734" s="27" t="str">
        <f>"49.0299"</f>
        <v>49.0299</v>
      </c>
      <c r="C1734" s="64" t="s">
        <v>4745</v>
      </c>
      <c r="D1734" s="27" t="s">
        <v>2229</v>
      </c>
      <c r="E1734" s="27" t="s">
        <v>2232</v>
      </c>
      <c r="F1734" s="27" t="str">
        <f>"49.0299"</f>
        <v>49.0299</v>
      </c>
      <c r="G1734" s="27" t="s">
        <v>4745</v>
      </c>
      <c r="H1734" s="65" t="str">
        <f t="shared" si="81"/>
        <v>No Change</v>
      </c>
      <c r="I1734" s="65" t="str">
        <f t="shared" si="82"/>
        <v>490299</v>
      </c>
      <c r="J1734" s="65" t="str">
        <f t="shared" si="83"/>
        <v>490299</v>
      </c>
    </row>
    <row r="1735" spans="1:10" x14ac:dyDescent="0.3">
      <c r="A1735" s="27" t="s">
        <v>1869</v>
      </c>
      <c r="B1735" s="27" t="str">
        <f>"49.03"</f>
        <v>49.03</v>
      </c>
      <c r="C1735" s="64" t="s">
        <v>4746</v>
      </c>
      <c r="D1735" s="27" t="s">
        <v>2229</v>
      </c>
      <c r="E1735" s="27" t="s">
        <v>2232</v>
      </c>
      <c r="F1735" s="27" t="str">
        <f>"49.03"</f>
        <v>49.03</v>
      </c>
      <c r="G1735" s="27" t="s">
        <v>4746</v>
      </c>
      <c r="H1735" s="65" t="str">
        <f t="shared" si="81"/>
        <v>No Change</v>
      </c>
      <c r="I1735" s="65" t="str">
        <f t="shared" si="82"/>
        <v/>
      </c>
      <c r="J1735" s="65" t="str">
        <f t="shared" si="83"/>
        <v/>
      </c>
    </row>
    <row r="1736" spans="1:10" x14ac:dyDescent="0.3">
      <c r="A1736" s="27" t="s">
        <v>4747</v>
      </c>
      <c r="B1736" s="27" t="str">
        <f>"49.0303"</f>
        <v>49.0303</v>
      </c>
      <c r="C1736" s="64" t="s">
        <v>4748</v>
      </c>
      <c r="D1736" s="27" t="s">
        <v>2229</v>
      </c>
      <c r="E1736" s="27" t="s">
        <v>2232</v>
      </c>
      <c r="F1736" s="27" t="str">
        <f>"49.0303"</f>
        <v>49.0303</v>
      </c>
      <c r="G1736" s="27" t="s">
        <v>4748</v>
      </c>
      <c r="H1736" s="65" t="str">
        <f t="shared" si="81"/>
        <v>No Change</v>
      </c>
      <c r="I1736" s="65" t="str">
        <f t="shared" si="82"/>
        <v>490303</v>
      </c>
      <c r="J1736" s="65" t="str">
        <f t="shared" si="83"/>
        <v>490303</v>
      </c>
    </row>
    <row r="1737" spans="1:10" x14ac:dyDescent="0.3">
      <c r="A1737" s="27" t="s">
        <v>138</v>
      </c>
      <c r="B1737" s="27" t="str">
        <f>"49.0304"</f>
        <v>49.0304</v>
      </c>
      <c r="C1737" s="64" t="s">
        <v>139</v>
      </c>
      <c r="D1737" s="27" t="s">
        <v>2229</v>
      </c>
      <c r="E1737" s="27" t="s">
        <v>2232</v>
      </c>
      <c r="F1737" s="27" t="str">
        <f>"49.0304"</f>
        <v>49.0304</v>
      </c>
      <c r="G1737" s="27" t="s">
        <v>139</v>
      </c>
      <c r="H1737" s="65" t="str">
        <f t="shared" si="81"/>
        <v>No Change</v>
      </c>
      <c r="I1737" s="65" t="str">
        <f t="shared" si="82"/>
        <v>490304</v>
      </c>
      <c r="J1737" s="65" t="str">
        <f t="shared" si="83"/>
        <v>490304</v>
      </c>
    </row>
    <row r="1738" spans="1:10" x14ac:dyDescent="0.3">
      <c r="A1738" s="27" t="s">
        <v>4749</v>
      </c>
      <c r="B1738" s="27" t="str">
        <f>"49.0309"</f>
        <v>49.0309</v>
      </c>
      <c r="C1738" s="64" t="s">
        <v>4750</v>
      </c>
      <c r="D1738" s="27" t="s">
        <v>2229</v>
      </c>
      <c r="E1738" s="27" t="s">
        <v>2232</v>
      </c>
      <c r="F1738" s="27" t="str">
        <f>"49.0309"</f>
        <v>49.0309</v>
      </c>
      <c r="G1738" s="27" t="s">
        <v>4750</v>
      </c>
      <c r="H1738" s="65" t="str">
        <f t="shared" si="81"/>
        <v>No Change</v>
      </c>
      <c r="I1738" s="65" t="str">
        <f t="shared" si="82"/>
        <v>490309</v>
      </c>
      <c r="J1738" s="65" t="str">
        <f t="shared" si="83"/>
        <v>490309</v>
      </c>
    </row>
    <row r="1739" spans="1:10" x14ac:dyDescent="0.3">
      <c r="A1739" s="27" t="s">
        <v>4751</v>
      </c>
      <c r="B1739" s="27" t="str">
        <f>"49.0399"</f>
        <v>49.0399</v>
      </c>
      <c r="C1739" s="64" t="s">
        <v>4752</v>
      </c>
      <c r="D1739" s="27" t="s">
        <v>2229</v>
      </c>
      <c r="E1739" s="27" t="s">
        <v>2232</v>
      </c>
      <c r="F1739" s="27" t="str">
        <f>"49.0399"</f>
        <v>49.0399</v>
      </c>
      <c r="G1739" s="27" t="s">
        <v>4752</v>
      </c>
      <c r="H1739" s="65" t="str">
        <f t="shared" si="81"/>
        <v>No Change</v>
      </c>
      <c r="I1739" s="65" t="str">
        <f t="shared" si="82"/>
        <v>490399</v>
      </c>
      <c r="J1739" s="65" t="str">
        <f t="shared" si="83"/>
        <v>490399</v>
      </c>
    </row>
    <row r="1740" spans="1:10" x14ac:dyDescent="0.3">
      <c r="A1740" s="27" t="s">
        <v>1869</v>
      </c>
      <c r="B1740" s="27" t="str">
        <f>"49.99"</f>
        <v>49.99</v>
      </c>
      <c r="C1740" s="64" t="s">
        <v>4753</v>
      </c>
      <c r="D1740" s="27" t="s">
        <v>2229</v>
      </c>
      <c r="E1740" s="27" t="s">
        <v>2232</v>
      </c>
      <c r="F1740" s="27" t="str">
        <f>"49.99"</f>
        <v>49.99</v>
      </c>
      <c r="G1740" s="27" t="s">
        <v>4753</v>
      </c>
      <c r="H1740" s="65" t="str">
        <f t="shared" si="81"/>
        <v>No Change</v>
      </c>
      <c r="I1740" s="65" t="str">
        <f t="shared" si="82"/>
        <v/>
      </c>
      <c r="J1740" s="65" t="str">
        <f t="shared" si="83"/>
        <v/>
      </c>
    </row>
    <row r="1741" spans="1:10" x14ac:dyDescent="0.3">
      <c r="A1741" s="27" t="s">
        <v>4754</v>
      </c>
      <c r="B1741" s="27" t="str">
        <f>"49.9999"</f>
        <v>49.9999</v>
      </c>
      <c r="C1741" s="64" t="s">
        <v>4753</v>
      </c>
      <c r="D1741" s="27" t="s">
        <v>2229</v>
      </c>
      <c r="E1741" s="27" t="s">
        <v>2232</v>
      </c>
      <c r="F1741" s="27" t="str">
        <f>"49.9999"</f>
        <v>49.9999</v>
      </c>
      <c r="G1741" s="27" t="s">
        <v>4753</v>
      </c>
      <c r="H1741" s="65" t="str">
        <f t="shared" si="81"/>
        <v>No Change</v>
      </c>
      <c r="I1741" s="65" t="str">
        <f t="shared" si="82"/>
        <v>499999</v>
      </c>
      <c r="J1741" s="65" t="str">
        <f t="shared" si="83"/>
        <v>499999</v>
      </c>
    </row>
    <row r="1742" spans="1:10" x14ac:dyDescent="0.3">
      <c r="A1742" s="27" t="s">
        <v>1869</v>
      </c>
      <c r="B1742" s="27" t="str">
        <f>"50"</f>
        <v>50</v>
      </c>
      <c r="C1742" s="64" t="s">
        <v>4755</v>
      </c>
      <c r="D1742" s="27" t="s">
        <v>2229</v>
      </c>
      <c r="E1742" s="27" t="s">
        <v>2232</v>
      </c>
      <c r="F1742" s="27" t="str">
        <f>"50"</f>
        <v>50</v>
      </c>
      <c r="G1742" s="27" t="s">
        <v>4755</v>
      </c>
      <c r="H1742" s="65" t="str">
        <f t="shared" si="81"/>
        <v>No Change</v>
      </c>
      <c r="I1742" s="65" t="str">
        <f t="shared" si="82"/>
        <v/>
      </c>
      <c r="J1742" s="65" t="str">
        <f t="shared" si="83"/>
        <v/>
      </c>
    </row>
    <row r="1743" spans="1:10" x14ac:dyDescent="0.3">
      <c r="A1743" s="27" t="s">
        <v>1869</v>
      </c>
      <c r="B1743" s="27" t="str">
        <f>"50.01"</f>
        <v>50.01</v>
      </c>
      <c r="C1743" s="64" t="s">
        <v>4756</v>
      </c>
      <c r="D1743" s="27" t="s">
        <v>2229</v>
      </c>
      <c r="E1743" s="27" t="s">
        <v>2232</v>
      </c>
      <c r="F1743" s="27" t="str">
        <f>"50.01"</f>
        <v>50.01</v>
      </c>
      <c r="G1743" s="27" t="s">
        <v>4756</v>
      </c>
      <c r="H1743" s="65" t="str">
        <f t="shared" si="81"/>
        <v>No Change</v>
      </c>
      <c r="I1743" s="65" t="str">
        <f t="shared" si="82"/>
        <v/>
      </c>
      <c r="J1743" s="65" t="str">
        <f t="shared" si="83"/>
        <v/>
      </c>
    </row>
    <row r="1744" spans="1:10" x14ac:dyDescent="0.3">
      <c r="A1744" s="27" t="s">
        <v>4757</v>
      </c>
      <c r="B1744" s="27" t="str">
        <f>"50.0101"</f>
        <v>50.0101</v>
      </c>
      <c r="C1744" s="64" t="s">
        <v>4756</v>
      </c>
      <c r="D1744" s="27" t="s">
        <v>2229</v>
      </c>
      <c r="E1744" s="27" t="s">
        <v>2232</v>
      </c>
      <c r="F1744" s="27" t="str">
        <f>"50.0101"</f>
        <v>50.0101</v>
      </c>
      <c r="G1744" s="27" t="s">
        <v>4756</v>
      </c>
      <c r="H1744" s="65" t="str">
        <f t="shared" si="81"/>
        <v>No Change</v>
      </c>
      <c r="I1744" s="65" t="str">
        <f t="shared" si="82"/>
        <v>500101</v>
      </c>
      <c r="J1744" s="65" t="str">
        <f t="shared" si="83"/>
        <v>500101</v>
      </c>
    </row>
    <row r="1745" spans="1:10" x14ac:dyDescent="0.3">
      <c r="A1745" s="27" t="s">
        <v>60</v>
      </c>
      <c r="B1745" s="27" t="str">
        <f>"50.0102"</f>
        <v>50.0102</v>
      </c>
      <c r="C1745" s="64" t="s">
        <v>61</v>
      </c>
      <c r="D1745" s="27" t="s">
        <v>2229</v>
      </c>
      <c r="E1745" s="27" t="s">
        <v>2232</v>
      </c>
      <c r="F1745" s="27" t="str">
        <f>"50.0102"</f>
        <v>50.0102</v>
      </c>
      <c r="G1745" s="27" t="s">
        <v>61</v>
      </c>
      <c r="H1745" s="65" t="str">
        <f t="shared" si="81"/>
        <v>No Change</v>
      </c>
      <c r="I1745" s="65" t="str">
        <f t="shared" si="82"/>
        <v>500102</v>
      </c>
      <c r="J1745" s="65" t="str">
        <f t="shared" si="83"/>
        <v>500102</v>
      </c>
    </row>
    <row r="1746" spans="1:10" x14ac:dyDescent="0.3">
      <c r="A1746" s="27" t="s">
        <v>1869</v>
      </c>
      <c r="B1746" s="27" t="str">
        <f>"50.02"</f>
        <v>50.02</v>
      </c>
      <c r="C1746" s="64" t="s">
        <v>4758</v>
      </c>
      <c r="D1746" s="27" t="s">
        <v>2229</v>
      </c>
      <c r="E1746" s="27" t="s">
        <v>2232</v>
      </c>
      <c r="F1746" s="27" t="str">
        <f>"50.02"</f>
        <v>50.02</v>
      </c>
      <c r="G1746" s="27" t="s">
        <v>4758</v>
      </c>
      <c r="H1746" s="65" t="str">
        <f t="shared" si="81"/>
        <v>No Change</v>
      </c>
      <c r="I1746" s="65" t="str">
        <f t="shared" si="82"/>
        <v/>
      </c>
      <c r="J1746" s="65" t="str">
        <f t="shared" si="83"/>
        <v/>
      </c>
    </row>
    <row r="1747" spans="1:10" x14ac:dyDescent="0.3">
      <c r="A1747" s="27" t="s">
        <v>4759</v>
      </c>
      <c r="B1747" s="27" t="str">
        <f>"50.0201"</f>
        <v>50.0201</v>
      </c>
      <c r="C1747" s="64" t="s">
        <v>4758</v>
      </c>
      <c r="D1747" s="27" t="s">
        <v>2229</v>
      </c>
      <c r="E1747" s="27" t="s">
        <v>2232</v>
      </c>
      <c r="F1747" s="27" t="str">
        <f>"50.0201"</f>
        <v>50.0201</v>
      </c>
      <c r="G1747" s="27" t="s">
        <v>4758</v>
      </c>
      <c r="H1747" s="65" t="str">
        <f t="shared" si="81"/>
        <v>No Change</v>
      </c>
      <c r="I1747" s="65" t="str">
        <f t="shared" si="82"/>
        <v>500201</v>
      </c>
      <c r="J1747" s="65" t="str">
        <f t="shared" si="83"/>
        <v>500201</v>
      </c>
    </row>
    <row r="1748" spans="1:10" x14ac:dyDescent="0.3">
      <c r="A1748" s="27" t="s">
        <v>1869</v>
      </c>
      <c r="B1748" s="27" t="str">
        <f>"50.03"</f>
        <v>50.03</v>
      </c>
      <c r="C1748" s="64" t="s">
        <v>4760</v>
      </c>
      <c r="D1748" s="27" t="s">
        <v>2229</v>
      </c>
      <c r="E1748" s="27" t="s">
        <v>2232</v>
      </c>
      <c r="F1748" s="27" t="str">
        <f>"50.03"</f>
        <v>50.03</v>
      </c>
      <c r="G1748" s="27" t="s">
        <v>4760</v>
      </c>
      <c r="H1748" s="65" t="str">
        <f t="shared" si="81"/>
        <v>No Change</v>
      </c>
      <c r="I1748" s="65" t="str">
        <f t="shared" si="82"/>
        <v/>
      </c>
      <c r="J1748" s="65" t="str">
        <f t="shared" si="83"/>
        <v/>
      </c>
    </row>
    <row r="1749" spans="1:10" x14ac:dyDescent="0.3">
      <c r="A1749" s="27" t="s">
        <v>4761</v>
      </c>
      <c r="B1749" s="27" t="str">
        <f>"50.0301"</f>
        <v>50.0301</v>
      </c>
      <c r="C1749" s="64" t="s">
        <v>4762</v>
      </c>
      <c r="D1749" s="27" t="s">
        <v>2229</v>
      </c>
      <c r="E1749" s="27" t="s">
        <v>2232</v>
      </c>
      <c r="F1749" s="27" t="str">
        <f>"50.0301"</f>
        <v>50.0301</v>
      </c>
      <c r="G1749" s="27" t="s">
        <v>4762</v>
      </c>
      <c r="H1749" s="65" t="str">
        <f t="shared" si="81"/>
        <v>No Change</v>
      </c>
      <c r="I1749" s="65" t="str">
        <f t="shared" si="82"/>
        <v>500301</v>
      </c>
      <c r="J1749" s="65" t="str">
        <f t="shared" si="83"/>
        <v>500301</v>
      </c>
    </row>
    <row r="1750" spans="1:10" x14ac:dyDescent="0.3">
      <c r="A1750" s="27" t="s">
        <v>4763</v>
      </c>
      <c r="B1750" s="27" t="str">
        <f>"50.0302"</f>
        <v>50.0302</v>
      </c>
      <c r="C1750" s="64" t="s">
        <v>4764</v>
      </c>
      <c r="D1750" s="27" t="s">
        <v>2229</v>
      </c>
      <c r="E1750" s="27" t="s">
        <v>2232</v>
      </c>
      <c r="F1750" s="27" t="str">
        <f>"50.0302"</f>
        <v>50.0302</v>
      </c>
      <c r="G1750" s="27" t="s">
        <v>4764</v>
      </c>
      <c r="H1750" s="65" t="str">
        <f t="shared" si="81"/>
        <v>No Change</v>
      </c>
      <c r="I1750" s="65" t="str">
        <f t="shared" si="82"/>
        <v>500302</v>
      </c>
      <c r="J1750" s="65" t="str">
        <f t="shared" si="83"/>
        <v>500302</v>
      </c>
    </row>
    <row r="1751" spans="1:10" x14ac:dyDescent="0.3">
      <c r="A1751" s="27" t="s">
        <v>4765</v>
      </c>
      <c r="B1751" s="27" t="str">
        <f>"50.0399"</f>
        <v>50.0399</v>
      </c>
      <c r="C1751" s="64" t="s">
        <v>4766</v>
      </c>
      <c r="D1751" s="27" t="s">
        <v>2229</v>
      </c>
      <c r="E1751" s="27" t="s">
        <v>2232</v>
      </c>
      <c r="F1751" s="27" t="str">
        <f>"50.0399"</f>
        <v>50.0399</v>
      </c>
      <c r="G1751" s="27" t="s">
        <v>4766</v>
      </c>
      <c r="H1751" s="65" t="str">
        <f t="shared" si="81"/>
        <v>No Change</v>
      </c>
      <c r="I1751" s="65" t="str">
        <f t="shared" si="82"/>
        <v>500399</v>
      </c>
      <c r="J1751" s="65" t="str">
        <f t="shared" si="83"/>
        <v>500399</v>
      </c>
    </row>
    <row r="1752" spans="1:10" x14ac:dyDescent="0.3">
      <c r="A1752" s="27" t="s">
        <v>1869</v>
      </c>
      <c r="B1752" s="27" t="str">
        <f>"50.04"</f>
        <v>50.04</v>
      </c>
      <c r="C1752" s="64" t="s">
        <v>4767</v>
      </c>
      <c r="D1752" s="27" t="s">
        <v>2229</v>
      </c>
      <c r="E1752" s="27" t="s">
        <v>2232</v>
      </c>
      <c r="F1752" s="27" t="str">
        <f>"50.04"</f>
        <v>50.04</v>
      </c>
      <c r="G1752" s="27" t="s">
        <v>4767</v>
      </c>
      <c r="H1752" s="65" t="str">
        <f t="shared" si="81"/>
        <v>No Change</v>
      </c>
      <c r="I1752" s="65" t="str">
        <f t="shared" si="82"/>
        <v/>
      </c>
      <c r="J1752" s="65" t="str">
        <f t="shared" si="83"/>
        <v/>
      </c>
    </row>
    <row r="1753" spans="1:10" x14ac:dyDescent="0.3">
      <c r="A1753" s="27" t="s">
        <v>4768</v>
      </c>
      <c r="B1753" s="27" t="str">
        <f>"50.0401"</f>
        <v>50.0401</v>
      </c>
      <c r="C1753" s="64" t="s">
        <v>4769</v>
      </c>
      <c r="D1753" s="27" t="s">
        <v>2229</v>
      </c>
      <c r="E1753" s="27" t="s">
        <v>2232</v>
      </c>
      <c r="F1753" s="27" t="str">
        <f>"50.0401"</f>
        <v>50.0401</v>
      </c>
      <c r="G1753" s="27" t="s">
        <v>4769</v>
      </c>
      <c r="H1753" s="65" t="str">
        <f t="shared" si="81"/>
        <v>No Change</v>
      </c>
      <c r="I1753" s="65" t="str">
        <f t="shared" si="82"/>
        <v>500401</v>
      </c>
      <c r="J1753" s="65" t="str">
        <f t="shared" si="83"/>
        <v>500401</v>
      </c>
    </row>
    <row r="1754" spans="1:10" x14ac:dyDescent="0.3">
      <c r="A1754" s="27" t="s">
        <v>1084</v>
      </c>
      <c r="B1754" s="27" t="str">
        <f>"50.0402"</f>
        <v>50.0402</v>
      </c>
      <c r="C1754" s="64" t="s">
        <v>1085</v>
      </c>
      <c r="D1754" s="27" t="s">
        <v>2229</v>
      </c>
      <c r="E1754" s="27" t="s">
        <v>2232</v>
      </c>
      <c r="F1754" s="27" t="str">
        <f>"50.0402"</f>
        <v>50.0402</v>
      </c>
      <c r="G1754" s="27" t="s">
        <v>1085</v>
      </c>
      <c r="H1754" s="65" t="str">
        <f t="shared" si="81"/>
        <v>No Change</v>
      </c>
      <c r="I1754" s="65" t="str">
        <f t="shared" si="82"/>
        <v>500402</v>
      </c>
      <c r="J1754" s="65" t="str">
        <f t="shared" si="83"/>
        <v>500402</v>
      </c>
    </row>
    <row r="1755" spans="1:10" x14ac:dyDescent="0.3">
      <c r="A1755" s="27" t="s">
        <v>4770</v>
      </c>
      <c r="B1755" s="27" t="str">
        <f>"50.0404"</f>
        <v>50.0404</v>
      </c>
      <c r="C1755" s="64" t="s">
        <v>4771</v>
      </c>
      <c r="D1755" s="27" t="s">
        <v>2229</v>
      </c>
      <c r="E1755" s="27" t="s">
        <v>2232</v>
      </c>
      <c r="F1755" s="27" t="str">
        <f>"50.0404"</f>
        <v>50.0404</v>
      </c>
      <c r="G1755" s="27" t="s">
        <v>4771</v>
      </c>
      <c r="H1755" s="65" t="str">
        <f t="shared" si="81"/>
        <v>No Change</v>
      </c>
      <c r="I1755" s="65" t="str">
        <f t="shared" si="82"/>
        <v>500404</v>
      </c>
      <c r="J1755" s="65" t="str">
        <f t="shared" si="83"/>
        <v>500404</v>
      </c>
    </row>
    <row r="1756" spans="1:10" x14ac:dyDescent="0.3">
      <c r="A1756" s="27" t="s">
        <v>1090</v>
      </c>
      <c r="B1756" s="27" t="str">
        <f>"50.0406"</f>
        <v>50.0406</v>
      </c>
      <c r="C1756" s="64" t="s">
        <v>1091</v>
      </c>
      <c r="D1756" s="27" t="s">
        <v>2229</v>
      </c>
      <c r="E1756" s="27" t="s">
        <v>2232</v>
      </c>
      <c r="F1756" s="27" t="str">
        <f>"50.0406"</f>
        <v>50.0406</v>
      </c>
      <c r="G1756" s="27" t="s">
        <v>1091</v>
      </c>
      <c r="H1756" s="65" t="str">
        <f t="shared" si="81"/>
        <v>No Change</v>
      </c>
      <c r="I1756" s="65" t="str">
        <f t="shared" si="82"/>
        <v>500406</v>
      </c>
      <c r="J1756" s="65" t="str">
        <f t="shared" si="83"/>
        <v>500406</v>
      </c>
    </row>
    <row r="1757" spans="1:10" x14ac:dyDescent="0.3">
      <c r="A1757" s="27" t="s">
        <v>1096</v>
      </c>
      <c r="B1757" s="27" t="str">
        <f>"50.0407"</f>
        <v>50.0407</v>
      </c>
      <c r="C1757" s="64" t="s">
        <v>1097</v>
      </c>
      <c r="D1757" s="27" t="s">
        <v>2229</v>
      </c>
      <c r="E1757" s="27" t="s">
        <v>2232</v>
      </c>
      <c r="F1757" s="27" t="str">
        <f>"50.0407"</f>
        <v>50.0407</v>
      </c>
      <c r="G1757" s="27" t="s">
        <v>1097</v>
      </c>
      <c r="H1757" s="65" t="str">
        <f t="shared" si="81"/>
        <v>No Change</v>
      </c>
      <c r="I1757" s="65" t="str">
        <f t="shared" si="82"/>
        <v>500407</v>
      </c>
      <c r="J1757" s="65" t="str">
        <f t="shared" si="83"/>
        <v>500407</v>
      </c>
    </row>
    <row r="1758" spans="1:10" x14ac:dyDescent="0.3">
      <c r="A1758" s="27" t="s">
        <v>215</v>
      </c>
      <c r="B1758" s="27" t="str">
        <f>"50.0408"</f>
        <v>50.0408</v>
      </c>
      <c r="C1758" s="64" t="s">
        <v>216</v>
      </c>
      <c r="D1758" s="27" t="s">
        <v>2229</v>
      </c>
      <c r="E1758" s="27" t="s">
        <v>2232</v>
      </c>
      <c r="F1758" s="27" t="str">
        <f>"50.0408"</f>
        <v>50.0408</v>
      </c>
      <c r="G1758" s="27" t="s">
        <v>216</v>
      </c>
      <c r="H1758" s="65" t="str">
        <f t="shared" si="81"/>
        <v>No Change</v>
      </c>
      <c r="I1758" s="65" t="str">
        <f t="shared" si="82"/>
        <v>500408</v>
      </c>
      <c r="J1758" s="65" t="str">
        <f t="shared" si="83"/>
        <v>500408</v>
      </c>
    </row>
    <row r="1759" spans="1:10" x14ac:dyDescent="0.3">
      <c r="A1759" s="27" t="s">
        <v>4772</v>
      </c>
      <c r="B1759" s="27" t="str">
        <f>"50.0409"</f>
        <v>50.0409</v>
      </c>
      <c r="C1759" s="64" t="s">
        <v>4773</v>
      </c>
      <c r="D1759" s="27" t="s">
        <v>2229</v>
      </c>
      <c r="E1759" s="27" t="s">
        <v>2232</v>
      </c>
      <c r="F1759" s="27" t="str">
        <f>"50.0409"</f>
        <v>50.0409</v>
      </c>
      <c r="G1759" s="27" t="s">
        <v>4773</v>
      </c>
      <c r="H1759" s="65" t="str">
        <f t="shared" si="81"/>
        <v>No Change</v>
      </c>
      <c r="I1759" s="65" t="str">
        <f t="shared" si="82"/>
        <v>500409</v>
      </c>
      <c r="J1759" s="65" t="str">
        <f t="shared" si="83"/>
        <v>500409</v>
      </c>
    </row>
    <row r="1760" spans="1:10" x14ac:dyDescent="0.3">
      <c r="A1760" s="27" t="s">
        <v>4774</v>
      </c>
      <c r="B1760" s="27" t="str">
        <f>"50.0410"</f>
        <v>50.0410</v>
      </c>
      <c r="C1760" s="64" t="s">
        <v>4775</v>
      </c>
      <c r="D1760" s="27" t="s">
        <v>2229</v>
      </c>
      <c r="E1760" s="27" t="s">
        <v>2232</v>
      </c>
      <c r="F1760" s="27" t="str">
        <f>"50.0410"</f>
        <v>50.0410</v>
      </c>
      <c r="G1760" s="27" t="s">
        <v>4775</v>
      </c>
      <c r="H1760" s="65" t="str">
        <f t="shared" si="81"/>
        <v>No Change</v>
      </c>
      <c r="I1760" s="65" t="str">
        <f t="shared" si="82"/>
        <v>500410</v>
      </c>
      <c r="J1760" s="65" t="str">
        <f t="shared" si="83"/>
        <v>500410</v>
      </c>
    </row>
    <row r="1761" spans="1:10" x14ac:dyDescent="0.3">
      <c r="A1761" s="27" t="s">
        <v>816</v>
      </c>
      <c r="B1761" s="27" t="str">
        <f>"50.0411"</f>
        <v>50.0411</v>
      </c>
      <c r="C1761" s="64" t="s">
        <v>817</v>
      </c>
      <c r="D1761" s="27" t="s">
        <v>2229</v>
      </c>
      <c r="E1761" s="27" t="s">
        <v>2232</v>
      </c>
      <c r="F1761" s="27" t="str">
        <f>"50.0411"</f>
        <v>50.0411</v>
      </c>
      <c r="G1761" s="27" t="s">
        <v>817</v>
      </c>
      <c r="H1761" s="65" t="str">
        <f t="shared" si="81"/>
        <v>No Change</v>
      </c>
      <c r="I1761" s="65" t="str">
        <f t="shared" si="82"/>
        <v>500411</v>
      </c>
      <c r="J1761" s="65" t="str">
        <f t="shared" si="83"/>
        <v>500411</v>
      </c>
    </row>
    <row r="1762" spans="1:10" x14ac:dyDescent="0.3">
      <c r="A1762" s="27" t="s">
        <v>4776</v>
      </c>
      <c r="B1762" s="27" t="str">
        <f>"50.0499"</f>
        <v>50.0499</v>
      </c>
      <c r="C1762" s="64" t="s">
        <v>4777</v>
      </c>
      <c r="D1762" s="27" t="s">
        <v>2229</v>
      </c>
      <c r="E1762" s="27" t="s">
        <v>2232</v>
      </c>
      <c r="F1762" s="27" t="str">
        <f>"50.0499"</f>
        <v>50.0499</v>
      </c>
      <c r="G1762" s="27" t="s">
        <v>4777</v>
      </c>
      <c r="H1762" s="65" t="str">
        <f t="shared" si="81"/>
        <v>No Change</v>
      </c>
      <c r="I1762" s="65" t="str">
        <f t="shared" si="82"/>
        <v>500499</v>
      </c>
      <c r="J1762" s="65" t="str">
        <f t="shared" si="83"/>
        <v>500499</v>
      </c>
    </row>
    <row r="1763" spans="1:10" x14ac:dyDescent="0.3">
      <c r="A1763" s="27" t="s">
        <v>1869</v>
      </c>
      <c r="B1763" s="27" t="str">
        <f>"50.05"</f>
        <v>50.05</v>
      </c>
      <c r="C1763" s="64" t="s">
        <v>4778</v>
      </c>
      <c r="D1763" s="27" t="s">
        <v>2229</v>
      </c>
      <c r="E1763" s="27" t="s">
        <v>2232</v>
      </c>
      <c r="F1763" s="27" t="str">
        <f>"50.05"</f>
        <v>50.05</v>
      </c>
      <c r="G1763" s="27" t="s">
        <v>4778</v>
      </c>
      <c r="H1763" s="65" t="str">
        <f t="shared" si="81"/>
        <v>No Change</v>
      </c>
      <c r="I1763" s="65" t="str">
        <f t="shared" si="82"/>
        <v/>
      </c>
      <c r="J1763" s="65" t="str">
        <f t="shared" si="83"/>
        <v/>
      </c>
    </row>
    <row r="1764" spans="1:10" x14ac:dyDescent="0.3">
      <c r="A1764" s="27" t="s">
        <v>4779</v>
      </c>
      <c r="B1764" s="27" t="str">
        <f>"50.0501"</f>
        <v>50.0501</v>
      </c>
      <c r="C1764" s="64" t="s">
        <v>4780</v>
      </c>
      <c r="D1764" s="27" t="s">
        <v>2229</v>
      </c>
      <c r="E1764" s="27" t="s">
        <v>2232</v>
      </c>
      <c r="F1764" s="27" t="str">
        <f>"50.0501"</f>
        <v>50.0501</v>
      </c>
      <c r="G1764" s="27" t="s">
        <v>4780</v>
      </c>
      <c r="H1764" s="65" t="str">
        <f t="shared" si="81"/>
        <v>No Change</v>
      </c>
      <c r="I1764" s="65" t="str">
        <f t="shared" si="82"/>
        <v>500501</v>
      </c>
      <c r="J1764" s="65" t="str">
        <f t="shared" si="83"/>
        <v>500501</v>
      </c>
    </row>
    <row r="1765" spans="1:10" x14ac:dyDescent="0.3">
      <c r="A1765" s="27" t="s">
        <v>122</v>
      </c>
      <c r="B1765" s="27" t="str">
        <f>"50.0502"</f>
        <v>50.0502</v>
      </c>
      <c r="C1765" s="64" t="s">
        <v>123</v>
      </c>
      <c r="D1765" s="27" t="s">
        <v>2229</v>
      </c>
      <c r="E1765" s="27" t="s">
        <v>2232</v>
      </c>
      <c r="F1765" s="27" t="str">
        <f>"50.0502"</f>
        <v>50.0502</v>
      </c>
      <c r="G1765" s="27" t="s">
        <v>123</v>
      </c>
      <c r="H1765" s="65" t="str">
        <f t="shared" si="81"/>
        <v>No Change</v>
      </c>
      <c r="I1765" s="65" t="str">
        <f t="shared" si="82"/>
        <v>500502</v>
      </c>
      <c r="J1765" s="65" t="str">
        <f t="shared" si="83"/>
        <v>500502</v>
      </c>
    </row>
    <row r="1766" spans="1:10" x14ac:dyDescent="0.3">
      <c r="A1766" s="27" t="s">
        <v>4781</v>
      </c>
      <c r="B1766" s="27" t="str">
        <f>"50.0504"</f>
        <v>50.0504</v>
      </c>
      <c r="C1766" s="64" t="s">
        <v>4782</v>
      </c>
      <c r="D1766" s="27" t="s">
        <v>2229</v>
      </c>
      <c r="E1766" s="27" t="s">
        <v>2232</v>
      </c>
      <c r="F1766" s="27" t="str">
        <f>"50.0504"</f>
        <v>50.0504</v>
      </c>
      <c r="G1766" s="27" t="s">
        <v>4782</v>
      </c>
      <c r="H1766" s="65" t="str">
        <f t="shared" si="81"/>
        <v>No Change</v>
      </c>
      <c r="I1766" s="65" t="str">
        <f t="shared" si="82"/>
        <v>500504</v>
      </c>
      <c r="J1766" s="65" t="str">
        <f t="shared" si="83"/>
        <v>500504</v>
      </c>
    </row>
    <row r="1767" spans="1:10" x14ac:dyDescent="0.3">
      <c r="A1767" s="27" t="s">
        <v>4783</v>
      </c>
      <c r="B1767" s="27" t="str">
        <f>"50.0505"</f>
        <v>50.0505</v>
      </c>
      <c r="C1767" s="64" t="s">
        <v>4784</v>
      </c>
      <c r="D1767" s="27" t="s">
        <v>2229</v>
      </c>
      <c r="E1767" s="27" t="s">
        <v>2232</v>
      </c>
      <c r="F1767" s="27" t="str">
        <f>"50.0505"</f>
        <v>50.0505</v>
      </c>
      <c r="G1767" s="27" t="s">
        <v>4784</v>
      </c>
      <c r="H1767" s="65" t="str">
        <f t="shared" si="81"/>
        <v>No Change</v>
      </c>
      <c r="I1767" s="65" t="str">
        <f t="shared" si="82"/>
        <v>500505</v>
      </c>
      <c r="J1767" s="65" t="str">
        <f t="shared" si="83"/>
        <v>500505</v>
      </c>
    </row>
    <row r="1768" spans="1:10" x14ac:dyDescent="0.3">
      <c r="A1768" s="27" t="s">
        <v>4785</v>
      </c>
      <c r="B1768" s="27" t="str">
        <f>"50.0506"</f>
        <v>50.0506</v>
      </c>
      <c r="C1768" s="64" t="s">
        <v>4786</v>
      </c>
      <c r="D1768" s="27" t="s">
        <v>2229</v>
      </c>
      <c r="E1768" s="27" t="s">
        <v>2232</v>
      </c>
      <c r="F1768" s="27" t="str">
        <f>"50.0506"</f>
        <v>50.0506</v>
      </c>
      <c r="G1768" s="27" t="s">
        <v>4786</v>
      </c>
      <c r="H1768" s="65" t="str">
        <f t="shared" si="81"/>
        <v>No Change</v>
      </c>
      <c r="I1768" s="65" t="str">
        <f t="shared" si="82"/>
        <v>500506</v>
      </c>
      <c r="J1768" s="65" t="str">
        <f t="shared" si="83"/>
        <v>500506</v>
      </c>
    </row>
    <row r="1769" spans="1:10" x14ac:dyDescent="0.3">
      <c r="A1769" s="27" t="s">
        <v>4787</v>
      </c>
      <c r="B1769" s="27" t="str">
        <f>"50.0507"</f>
        <v>50.0507</v>
      </c>
      <c r="C1769" s="64" t="s">
        <v>4788</v>
      </c>
      <c r="D1769" s="27" t="s">
        <v>2229</v>
      </c>
      <c r="E1769" s="27" t="s">
        <v>2232</v>
      </c>
      <c r="F1769" s="27" t="str">
        <f>"50.0507"</f>
        <v>50.0507</v>
      </c>
      <c r="G1769" s="27" t="s">
        <v>4788</v>
      </c>
      <c r="H1769" s="65" t="str">
        <f t="shared" si="81"/>
        <v>No Change</v>
      </c>
      <c r="I1769" s="65" t="str">
        <f t="shared" si="82"/>
        <v>500507</v>
      </c>
      <c r="J1769" s="65" t="str">
        <f t="shared" si="83"/>
        <v>500507</v>
      </c>
    </row>
    <row r="1770" spans="1:10" x14ac:dyDescent="0.3">
      <c r="A1770" s="27" t="s">
        <v>4789</v>
      </c>
      <c r="B1770" s="27" t="str">
        <f>"50.0509"</f>
        <v>50.0509</v>
      </c>
      <c r="C1770" s="64" t="s">
        <v>4790</v>
      </c>
      <c r="D1770" s="27" t="s">
        <v>2229</v>
      </c>
      <c r="E1770" s="27" t="s">
        <v>2232</v>
      </c>
      <c r="F1770" s="27" t="str">
        <f>"50.0509"</f>
        <v>50.0509</v>
      </c>
      <c r="G1770" s="27" t="s">
        <v>4790</v>
      </c>
      <c r="H1770" s="65" t="str">
        <f t="shared" si="81"/>
        <v>No Change</v>
      </c>
      <c r="I1770" s="65" t="str">
        <f t="shared" si="82"/>
        <v>500509</v>
      </c>
      <c r="J1770" s="65" t="str">
        <f t="shared" si="83"/>
        <v>500509</v>
      </c>
    </row>
    <row r="1771" spans="1:10" x14ac:dyDescent="0.3">
      <c r="A1771" s="27" t="s">
        <v>4791</v>
      </c>
      <c r="B1771" s="27" t="str">
        <f>"50.0510"</f>
        <v>50.0510</v>
      </c>
      <c r="C1771" s="64" t="s">
        <v>4792</v>
      </c>
      <c r="D1771" s="27" t="s">
        <v>2229</v>
      </c>
      <c r="E1771" s="27" t="s">
        <v>2232</v>
      </c>
      <c r="F1771" s="27" t="str">
        <f>"50.0510"</f>
        <v>50.0510</v>
      </c>
      <c r="G1771" s="27" t="s">
        <v>4792</v>
      </c>
      <c r="H1771" s="65" t="str">
        <f t="shared" si="81"/>
        <v>No Change</v>
      </c>
      <c r="I1771" s="65" t="str">
        <f t="shared" si="82"/>
        <v>500510</v>
      </c>
      <c r="J1771" s="65" t="str">
        <f t="shared" si="83"/>
        <v>500510</v>
      </c>
    </row>
    <row r="1772" spans="1:10" x14ac:dyDescent="0.3">
      <c r="A1772" s="27" t="s">
        <v>1869</v>
      </c>
      <c r="D1772" s="27" t="s">
        <v>2255</v>
      </c>
      <c r="E1772" s="27" t="s">
        <v>2232</v>
      </c>
      <c r="F1772" s="27" t="str">
        <f>"50.0511"</f>
        <v>50.0511</v>
      </c>
      <c r="G1772" s="27" t="s">
        <v>4793</v>
      </c>
      <c r="H1772" s="65" t="str">
        <f t="shared" si="81"/>
        <v>Other</v>
      </c>
      <c r="I1772" s="65" t="str">
        <f t="shared" si="82"/>
        <v/>
      </c>
      <c r="J1772" s="65" t="str">
        <f t="shared" si="83"/>
        <v>500511</v>
      </c>
    </row>
    <row r="1773" spans="1:10" x14ac:dyDescent="0.3">
      <c r="A1773" s="27" t="s">
        <v>1869</v>
      </c>
      <c r="D1773" s="27" t="s">
        <v>2255</v>
      </c>
      <c r="E1773" s="27" t="s">
        <v>2232</v>
      </c>
      <c r="F1773" s="27" t="str">
        <f>"50.0512"</f>
        <v>50.0512</v>
      </c>
      <c r="G1773" s="27" t="s">
        <v>4794</v>
      </c>
      <c r="H1773" s="65" t="str">
        <f t="shared" si="81"/>
        <v>Other</v>
      </c>
      <c r="I1773" s="65" t="str">
        <f t="shared" si="82"/>
        <v/>
      </c>
      <c r="J1773" s="65" t="str">
        <f t="shared" si="83"/>
        <v>500512</v>
      </c>
    </row>
    <row r="1774" spans="1:10" x14ac:dyDescent="0.3">
      <c r="A1774" s="27" t="s">
        <v>4795</v>
      </c>
      <c r="B1774" s="27" t="str">
        <f>"50.0599"</f>
        <v>50.0599</v>
      </c>
      <c r="C1774" s="64" t="s">
        <v>4796</v>
      </c>
      <c r="D1774" s="27" t="s">
        <v>2229</v>
      </c>
      <c r="E1774" s="27" t="s">
        <v>2232</v>
      </c>
      <c r="F1774" s="27" t="str">
        <f>"50.0599"</f>
        <v>50.0599</v>
      </c>
      <c r="G1774" s="27" t="s">
        <v>4796</v>
      </c>
      <c r="H1774" s="65" t="str">
        <f t="shared" si="81"/>
        <v>No Change</v>
      </c>
      <c r="I1774" s="65" t="str">
        <f t="shared" si="82"/>
        <v>500599</v>
      </c>
      <c r="J1774" s="65" t="str">
        <f t="shared" si="83"/>
        <v>500599</v>
      </c>
    </row>
    <row r="1775" spans="1:10" x14ac:dyDescent="0.3">
      <c r="A1775" s="27" t="s">
        <v>1869</v>
      </c>
      <c r="B1775" s="27" t="str">
        <f>"50.06"</f>
        <v>50.06</v>
      </c>
      <c r="C1775" s="64" t="s">
        <v>4797</v>
      </c>
      <c r="D1775" s="27" t="s">
        <v>2229</v>
      </c>
      <c r="E1775" s="27" t="s">
        <v>2232</v>
      </c>
      <c r="F1775" s="27" t="str">
        <f>"50.06"</f>
        <v>50.06</v>
      </c>
      <c r="G1775" s="27" t="s">
        <v>4797</v>
      </c>
      <c r="H1775" s="65" t="str">
        <f t="shared" si="81"/>
        <v>No Change</v>
      </c>
      <c r="I1775" s="65" t="str">
        <f t="shared" si="82"/>
        <v/>
      </c>
      <c r="J1775" s="65" t="str">
        <f t="shared" si="83"/>
        <v/>
      </c>
    </row>
    <row r="1776" spans="1:10" x14ac:dyDescent="0.3">
      <c r="A1776" s="27" t="s">
        <v>4798</v>
      </c>
      <c r="B1776" s="27" t="str">
        <f>"50.0601"</f>
        <v>50.0601</v>
      </c>
      <c r="C1776" s="64" t="s">
        <v>4799</v>
      </c>
      <c r="D1776" s="27" t="s">
        <v>2229</v>
      </c>
      <c r="E1776" s="27" t="s">
        <v>2230</v>
      </c>
      <c r="F1776" s="27" t="str">
        <f>"50.0601"</f>
        <v>50.0601</v>
      </c>
      <c r="G1776" s="27" t="s">
        <v>4800</v>
      </c>
      <c r="H1776" s="65" t="str">
        <f t="shared" si="81"/>
        <v>No Change</v>
      </c>
      <c r="I1776" s="65" t="str">
        <f t="shared" si="82"/>
        <v>500601</v>
      </c>
      <c r="J1776" s="65" t="str">
        <f t="shared" si="83"/>
        <v>500601</v>
      </c>
    </row>
    <row r="1777" spans="1:10" x14ac:dyDescent="0.3">
      <c r="A1777" s="27" t="s">
        <v>63</v>
      </c>
      <c r="B1777" s="27" t="str">
        <f>"50.0602"</f>
        <v>50.0602</v>
      </c>
      <c r="C1777" s="64" t="s">
        <v>64</v>
      </c>
      <c r="D1777" s="27" t="s">
        <v>2229</v>
      </c>
      <c r="E1777" s="27" t="s">
        <v>2232</v>
      </c>
      <c r="F1777" s="27" t="str">
        <f>"50.0602"</f>
        <v>50.0602</v>
      </c>
      <c r="G1777" s="27" t="s">
        <v>64</v>
      </c>
      <c r="H1777" s="65" t="str">
        <f t="shared" si="81"/>
        <v>No Change</v>
      </c>
      <c r="I1777" s="65" t="str">
        <f t="shared" si="82"/>
        <v>500602</v>
      </c>
      <c r="J1777" s="65" t="str">
        <f t="shared" si="83"/>
        <v>500602</v>
      </c>
    </row>
    <row r="1778" spans="1:10" x14ac:dyDescent="0.3">
      <c r="A1778" s="27" t="s">
        <v>476</v>
      </c>
      <c r="B1778" s="27" t="str">
        <f>"50.0605"</f>
        <v>50.0605</v>
      </c>
      <c r="C1778" s="64" t="s">
        <v>477</v>
      </c>
      <c r="D1778" s="27" t="s">
        <v>2229</v>
      </c>
      <c r="E1778" s="27" t="s">
        <v>2232</v>
      </c>
      <c r="F1778" s="27" t="str">
        <f>"50.0605"</f>
        <v>50.0605</v>
      </c>
      <c r="G1778" s="27" t="s">
        <v>477</v>
      </c>
      <c r="H1778" s="65" t="str">
        <f t="shared" si="81"/>
        <v>No Change</v>
      </c>
      <c r="I1778" s="65" t="str">
        <f t="shared" si="82"/>
        <v>500605</v>
      </c>
      <c r="J1778" s="65" t="str">
        <f t="shared" si="83"/>
        <v>500605</v>
      </c>
    </row>
    <row r="1779" spans="1:10" x14ac:dyDescent="0.3">
      <c r="A1779" s="27" t="s">
        <v>4801</v>
      </c>
      <c r="B1779" s="27" t="str">
        <f>"50.0607"</f>
        <v>50.0607</v>
      </c>
      <c r="C1779" s="64" t="s">
        <v>4802</v>
      </c>
      <c r="D1779" s="27" t="s">
        <v>2229</v>
      </c>
      <c r="E1779" s="27" t="s">
        <v>2232</v>
      </c>
      <c r="F1779" s="27" t="str">
        <f>"50.0607"</f>
        <v>50.0607</v>
      </c>
      <c r="G1779" s="27" t="s">
        <v>4802</v>
      </c>
      <c r="H1779" s="65" t="str">
        <f t="shared" si="81"/>
        <v>No Change</v>
      </c>
      <c r="I1779" s="65" t="str">
        <f t="shared" si="82"/>
        <v>500607</v>
      </c>
      <c r="J1779" s="65" t="str">
        <f t="shared" si="83"/>
        <v>500607</v>
      </c>
    </row>
    <row r="1780" spans="1:10" x14ac:dyDescent="0.3">
      <c r="A1780" s="27" t="s">
        <v>4803</v>
      </c>
      <c r="B1780" s="27" t="str">
        <f>"50.0699"</f>
        <v>50.0699</v>
      </c>
      <c r="C1780" s="64" t="s">
        <v>4804</v>
      </c>
      <c r="D1780" s="27" t="s">
        <v>2229</v>
      </c>
      <c r="E1780" s="27" t="s">
        <v>2232</v>
      </c>
      <c r="F1780" s="27" t="str">
        <f>"50.0699"</f>
        <v>50.0699</v>
      </c>
      <c r="G1780" s="27" t="s">
        <v>4804</v>
      </c>
      <c r="H1780" s="65" t="str">
        <f t="shared" si="81"/>
        <v>No Change</v>
      </c>
      <c r="I1780" s="65" t="str">
        <f t="shared" si="82"/>
        <v>500699</v>
      </c>
      <c r="J1780" s="65" t="str">
        <f t="shared" si="83"/>
        <v>500699</v>
      </c>
    </row>
    <row r="1781" spans="1:10" x14ac:dyDescent="0.3">
      <c r="A1781" s="27" t="s">
        <v>1869</v>
      </c>
      <c r="B1781" s="27" t="str">
        <f>"50.07"</f>
        <v>50.07</v>
      </c>
      <c r="C1781" s="64" t="s">
        <v>4805</v>
      </c>
      <c r="D1781" s="27" t="s">
        <v>2229</v>
      </c>
      <c r="E1781" s="27" t="s">
        <v>2232</v>
      </c>
      <c r="F1781" s="27" t="str">
        <f>"50.07"</f>
        <v>50.07</v>
      </c>
      <c r="G1781" s="27" t="s">
        <v>4805</v>
      </c>
      <c r="H1781" s="65" t="str">
        <f t="shared" si="81"/>
        <v>No Change</v>
      </c>
      <c r="I1781" s="65" t="str">
        <f t="shared" si="82"/>
        <v/>
      </c>
      <c r="J1781" s="65" t="str">
        <f t="shared" si="83"/>
        <v/>
      </c>
    </row>
    <row r="1782" spans="1:10" x14ac:dyDescent="0.3">
      <c r="A1782" s="27" t="s">
        <v>4806</v>
      </c>
      <c r="B1782" s="27" t="str">
        <f>"50.0701"</f>
        <v>50.0701</v>
      </c>
      <c r="C1782" s="64" t="s">
        <v>4807</v>
      </c>
      <c r="D1782" s="27" t="s">
        <v>2229</v>
      </c>
      <c r="E1782" s="27" t="s">
        <v>2232</v>
      </c>
      <c r="F1782" s="27" t="str">
        <f>"50.0701"</f>
        <v>50.0701</v>
      </c>
      <c r="G1782" s="27" t="s">
        <v>4807</v>
      </c>
      <c r="H1782" s="65" t="str">
        <f t="shared" si="81"/>
        <v>No Change</v>
      </c>
      <c r="I1782" s="65" t="str">
        <f t="shared" si="82"/>
        <v>500701</v>
      </c>
      <c r="J1782" s="65" t="str">
        <f t="shared" si="83"/>
        <v>500701</v>
      </c>
    </row>
    <row r="1783" spans="1:10" x14ac:dyDescent="0.3">
      <c r="A1783" s="27" t="s">
        <v>4808</v>
      </c>
      <c r="B1783" s="27" t="str">
        <f>"50.0702"</f>
        <v>50.0702</v>
      </c>
      <c r="C1783" s="64" t="s">
        <v>4809</v>
      </c>
      <c r="D1783" s="27" t="s">
        <v>2229</v>
      </c>
      <c r="E1783" s="27" t="s">
        <v>2232</v>
      </c>
      <c r="F1783" s="27" t="str">
        <f>"50.0702"</f>
        <v>50.0702</v>
      </c>
      <c r="G1783" s="27" t="s">
        <v>4809</v>
      </c>
      <c r="H1783" s="65" t="str">
        <f t="shared" si="81"/>
        <v>No Change</v>
      </c>
      <c r="I1783" s="65" t="str">
        <f t="shared" si="82"/>
        <v>500702</v>
      </c>
      <c r="J1783" s="65" t="str">
        <f t="shared" si="83"/>
        <v>500702</v>
      </c>
    </row>
    <row r="1784" spans="1:10" x14ac:dyDescent="0.3">
      <c r="A1784" s="27" t="s">
        <v>4810</v>
      </c>
      <c r="B1784" s="27" t="str">
        <f>"50.0703"</f>
        <v>50.0703</v>
      </c>
      <c r="C1784" s="64" t="s">
        <v>4811</v>
      </c>
      <c r="D1784" s="27" t="s">
        <v>2229</v>
      </c>
      <c r="E1784" s="27" t="s">
        <v>2232</v>
      </c>
      <c r="F1784" s="27" t="str">
        <f>"50.0703"</f>
        <v>50.0703</v>
      </c>
      <c r="G1784" s="27" t="s">
        <v>4811</v>
      </c>
      <c r="H1784" s="65" t="str">
        <f t="shared" si="81"/>
        <v>No Change</v>
      </c>
      <c r="I1784" s="65" t="str">
        <f t="shared" si="82"/>
        <v>500703</v>
      </c>
      <c r="J1784" s="65" t="str">
        <f t="shared" si="83"/>
        <v>500703</v>
      </c>
    </row>
    <row r="1785" spans="1:10" x14ac:dyDescent="0.3">
      <c r="A1785" s="27" t="s">
        <v>4812</v>
      </c>
      <c r="B1785" s="27" t="str">
        <f>"50.0705"</f>
        <v>50.0705</v>
      </c>
      <c r="C1785" s="64" t="s">
        <v>4813</v>
      </c>
      <c r="D1785" s="27" t="s">
        <v>2229</v>
      </c>
      <c r="E1785" s="27" t="s">
        <v>2232</v>
      </c>
      <c r="F1785" s="27" t="str">
        <f>"50.0705"</f>
        <v>50.0705</v>
      </c>
      <c r="G1785" s="27" t="s">
        <v>4813</v>
      </c>
      <c r="H1785" s="65" t="str">
        <f t="shared" si="81"/>
        <v>No Change</v>
      </c>
      <c r="I1785" s="65" t="str">
        <f t="shared" si="82"/>
        <v>500705</v>
      </c>
      <c r="J1785" s="65" t="str">
        <f t="shared" si="83"/>
        <v>500705</v>
      </c>
    </row>
    <row r="1786" spans="1:10" x14ac:dyDescent="0.3">
      <c r="A1786" s="27" t="s">
        <v>4814</v>
      </c>
      <c r="B1786" s="27" t="str">
        <f>"50.0706"</f>
        <v>50.0706</v>
      </c>
      <c r="C1786" s="64" t="s">
        <v>4815</v>
      </c>
      <c r="D1786" s="27" t="s">
        <v>2229</v>
      </c>
      <c r="E1786" s="27" t="s">
        <v>2232</v>
      </c>
      <c r="F1786" s="27" t="str">
        <f>"50.0706"</f>
        <v>50.0706</v>
      </c>
      <c r="G1786" s="27" t="s">
        <v>4815</v>
      </c>
      <c r="H1786" s="65" t="str">
        <f t="shared" si="81"/>
        <v>No Change</v>
      </c>
      <c r="I1786" s="65" t="str">
        <f t="shared" si="82"/>
        <v>500706</v>
      </c>
      <c r="J1786" s="65" t="str">
        <f t="shared" si="83"/>
        <v>500706</v>
      </c>
    </row>
    <row r="1787" spans="1:10" x14ac:dyDescent="0.3">
      <c r="A1787" s="27" t="s">
        <v>4816</v>
      </c>
      <c r="B1787" s="27" t="str">
        <f>"50.0708"</f>
        <v>50.0708</v>
      </c>
      <c r="C1787" s="64" t="s">
        <v>4817</v>
      </c>
      <c r="D1787" s="27" t="s">
        <v>2229</v>
      </c>
      <c r="E1787" s="27" t="s">
        <v>2232</v>
      </c>
      <c r="F1787" s="27" t="str">
        <f>"50.0708"</f>
        <v>50.0708</v>
      </c>
      <c r="G1787" s="27" t="s">
        <v>4817</v>
      </c>
      <c r="H1787" s="65" t="str">
        <f t="shared" si="81"/>
        <v>No Change</v>
      </c>
      <c r="I1787" s="65" t="str">
        <f t="shared" si="82"/>
        <v>500708</v>
      </c>
      <c r="J1787" s="65" t="str">
        <f t="shared" si="83"/>
        <v>500708</v>
      </c>
    </row>
    <row r="1788" spans="1:10" x14ac:dyDescent="0.3">
      <c r="A1788" s="27" t="s">
        <v>4818</v>
      </c>
      <c r="B1788" s="27" t="str">
        <f>"50.0709"</f>
        <v>50.0709</v>
      </c>
      <c r="C1788" s="64" t="s">
        <v>4819</v>
      </c>
      <c r="D1788" s="27" t="s">
        <v>2229</v>
      </c>
      <c r="E1788" s="27" t="s">
        <v>2232</v>
      </c>
      <c r="F1788" s="27" t="str">
        <f>"50.0709"</f>
        <v>50.0709</v>
      </c>
      <c r="G1788" s="27" t="s">
        <v>4819</v>
      </c>
      <c r="H1788" s="65" t="str">
        <f t="shared" si="81"/>
        <v>No Change</v>
      </c>
      <c r="I1788" s="65" t="str">
        <f t="shared" si="82"/>
        <v>500709</v>
      </c>
      <c r="J1788" s="65" t="str">
        <f t="shared" si="83"/>
        <v>500709</v>
      </c>
    </row>
    <row r="1789" spans="1:10" x14ac:dyDescent="0.3">
      <c r="A1789" s="27" t="s">
        <v>4820</v>
      </c>
      <c r="B1789" s="27" t="str">
        <f>"50.0710"</f>
        <v>50.0710</v>
      </c>
      <c r="C1789" s="64" t="s">
        <v>4821</v>
      </c>
      <c r="D1789" s="27" t="s">
        <v>2229</v>
      </c>
      <c r="E1789" s="27" t="s">
        <v>2232</v>
      </c>
      <c r="F1789" s="27" t="str">
        <f>"50.0710"</f>
        <v>50.0710</v>
      </c>
      <c r="G1789" s="27" t="s">
        <v>4821</v>
      </c>
      <c r="H1789" s="65" t="str">
        <f t="shared" si="81"/>
        <v>No Change</v>
      </c>
      <c r="I1789" s="65" t="str">
        <f t="shared" si="82"/>
        <v>500710</v>
      </c>
      <c r="J1789" s="65" t="str">
        <f t="shared" si="83"/>
        <v>500710</v>
      </c>
    </row>
    <row r="1790" spans="1:10" x14ac:dyDescent="0.3">
      <c r="A1790" s="27" t="s">
        <v>4822</v>
      </c>
      <c r="B1790" s="27" t="str">
        <f>"50.0711"</f>
        <v>50.0711</v>
      </c>
      <c r="C1790" s="64" t="s">
        <v>4823</v>
      </c>
      <c r="D1790" s="27" t="s">
        <v>2229</v>
      </c>
      <c r="E1790" s="27" t="s">
        <v>2232</v>
      </c>
      <c r="F1790" s="27" t="str">
        <f>"50.0711"</f>
        <v>50.0711</v>
      </c>
      <c r="G1790" s="27" t="s">
        <v>4823</v>
      </c>
      <c r="H1790" s="65" t="str">
        <f t="shared" si="81"/>
        <v>No Change</v>
      </c>
      <c r="I1790" s="65" t="str">
        <f t="shared" si="82"/>
        <v>500711</v>
      </c>
      <c r="J1790" s="65" t="str">
        <f t="shared" si="83"/>
        <v>500711</v>
      </c>
    </row>
    <row r="1791" spans="1:10" x14ac:dyDescent="0.3">
      <c r="A1791" s="27" t="s">
        <v>4824</v>
      </c>
      <c r="B1791" s="27" t="str">
        <f>"50.0712"</f>
        <v>50.0712</v>
      </c>
      <c r="C1791" s="64" t="s">
        <v>4825</v>
      </c>
      <c r="D1791" s="27" t="s">
        <v>2229</v>
      </c>
      <c r="E1791" s="27" t="s">
        <v>2232</v>
      </c>
      <c r="F1791" s="27" t="str">
        <f>"50.0712"</f>
        <v>50.0712</v>
      </c>
      <c r="G1791" s="27" t="s">
        <v>4825</v>
      </c>
      <c r="H1791" s="65" t="str">
        <f t="shared" si="81"/>
        <v>No Change</v>
      </c>
      <c r="I1791" s="65" t="str">
        <f t="shared" si="82"/>
        <v>500712</v>
      </c>
      <c r="J1791" s="65" t="str">
        <f t="shared" si="83"/>
        <v>500712</v>
      </c>
    </row>
    <row r="1792" spans="1:10" x14ac:dyDescent="0.3">
      <c r="A1792" s="27" t="s">
        <v>4826</v>
      </c>
      <c r="B1792" s="27" t="str">
        <f>"50.0713"</f>
        <v>50.0713</v>
      </c>
      <c r="C1792" s="64" t="s">
        <v>4827</v>
      </c>
      <c r="D1792" s="27" t="s">
        <v>2229</v>
      </c>
      <c r="E1792" s="27" t="s">
        <v>2230</v>
      </c>
      <c r="F1792" s="27" t="str">
        <f>"50.0713"</f>
        <v>50.0713</v>
      </c>
      <c r="G1792" s="27" t="s">
        <v>4828</v>
      </c>
      <c r="H1792" s="65" t="str">
        <f t="shared" si="81"/>
        <v>No Change</v>
      </c>
      <c r="I1792" s="65" t="str">
        <f t="shared" si="82"/>
        <v>500713</v>
      </c>
      <c r="J1792" s="65" t="str">
        <f t="shared" si="83"/>
        <v>500713</v>
      </c>
    </row>
    <row r="1793" spans="1:10" x14ac:dyDescent="0.3">
      <c r="A1793" s="27" t="s">
        <v>1869</v>
      </c>
      <c r="D1793" s="27" t="s">
        <v>2255</v>
      </c>
      <c r="E1793" s="27" t="s">
        <v>2232</v>
      </c>
      <c r="F1793" s="27" t="str">
        <f>"50.0714"</f>
        <v>50.0714</v>
      </c>
      <c r="G1793" s="27" t="s">
        <v>4829</v>
      </c>
      <c r="H1793" s="65" t="str">
        <f t="shared" si="81"/>
        <v>Other</v>
      </c>
      <c r="I1793" s="65" t="str">
        <f t="shared" si="82"/>
        <v/>
      </c>
      <c r="J1793" s="65" t="str">
        <f t="shared" si="83"/>
        <v>500714</v>
      </c>
    </row>
    <row r="1794" spans="1:10" x14ac:dyDescent="0.3">
      <c r="A1794" s="27" t="s">
        <v>4830</v>
      </c>
      <c r="B1794" s="27" t="str">
        <f>"50.0799"</f>
        <v>50.0799</v>
      </c>
      <c r="C1794" s="64" t="s">
        <v>4831</v>
      </c>
      <c r="D1794" s="27" t="s">
        <v>2229</v>
      </c>
      <c r="E1794" s="27" t="s">
        <v>2232</v>
      </c>
      <c r="F1794" s="27" t="str">
        <f>"50.0799"</f>
        <v>50.0799</v>
      </c>
      <c r="G1794" s="27" t="s">
        <v>4831</v>
      </c>
      <c r="H1794" s="65" t="str">
        <f t="shared" si="81"/>
        <v>No Change</v>
      </c>
      <c r="I1794" s="65" t="str">
        <f t="shared" si="82"/>
        <v>500799</v>
      </c>
      <c r="J1794" s="65" t="str">
        <f t="shared" si="83"/>
        <v>500799</v>
      </c>
    </row>
    <row r="1795" spans="1:10" x14ac:dyDescent="0.3">
      <c r="A1795" s="27" t="s">
        <v>1869</v>
      </c>
      <c r="B1795" s="27" t="str">
        <f>"50.09"</f>
        <v>50.09</v>
      </c>
      <c r="C1795" s="64" t="s">
        <v>4133</v>
      </c>
      <c r="D1795" s="27" t="s">
        <v>2229</v>
      </c>
      <c r="E1795" s="27" t="s">
        <v>2232</v>
      </c>
      <c r="F1795" s="27" t="str">
        <f>"50.09"</f>
        <v>50.09</v>
      </c>
      <c r="G1795" s="27" t="s">
        <v>4133</v>
      </c>
      <c r="H1795" s="65" t="str">
        <f t="shared" ref="H1795:H1858" si="84">IF(I1795=J1795,"No Change","Other")</f>
        <v>No Change</v>
      </c>
      <c r="I1795" s="65" t="str">
        <f t="shared" ref="I1795:I1858" si="85">SUBSTITUTE(IF(SUM(LEN(B1795))&lt;7,"",B1795),".","")</f>
        <v/>
      </c>
      <c r="J1795" s="65" t="str">
        <f t="shared" ref="J1795:J1858" si="86">SUBSTITUTE(IF(SUM(LEN(F1795))&lt;7,"",F1795),".","")</f>
        <v/>
      </c>
    </row>
    <row r="1796" spans="1:10" x14ac:dyDescent="0.3">
      <c r="A1796" s="27" t="s">
        <v>4832</v>
      </c>
      <c r="B1796" s="27" t="str">
        <f>"50.0901"</f>
        <v>50.0901</v>
      </c>
      <c r="C1796" s="64" t="s">
        <v>4833</v>
      </c>
      <c r="D1796" s="27" t="s">
        <v>2229</v>
      </c>
      <c r="E1796" s="27" t="s">
        <v>2232</v>
      </c>
      <c r="F1796" s="27" t="str">
        <f>"50.0901"</f>
        <v>50.0901</v>
      </c>
      <c r="G1796" s="27" t="s">
        <v>4833</v>
      </c>
      <c r="H1796" s="65" t="str">
        <f t="shared" si="84"/>
        <v>No Change</v>
      </c>
      <c r="I1796" s="65" t="str">
        <f t="shared" si="85"/>
        <v>500901</v>
      </c>
      <c r="J1796" s="65" t="str">
        <f t="shared" si="86"/>
        <v>500901</v>
      </c>
    </row>
    <row r="1797" spans="1:10" x14ac:dyDescent="0.3">
      <c r="A1797" s="27" t="s">
        <v>4834</v>
      </c>
      <c r="B1797" s="27" t="str">
        <f>"50.0902"</f>
        <v>50.0902</v>
      </c>
      <c r="C1797" s="64" t="s">
        <v>4835</v>
      </c>
      <c r="D1797" s="27" t="s">
        <v>2229</v>
      </c>
      <c r="E1797" s="27" t="s">
        <v>2232</v>
      </c>
      <c r="F1797" s="27" t="str">
        <f>"50.0902"</f>
        <v>50.0902</v>
      </c>
      <c r="G1797" s="27" t="s">
        <v>4835</v>
      </c>
      <c r="H1797" s="65" t="str">
        <f t="shared" si="84"/>
        <v>No Change</v>
      </c>
      <c r="I1797" s="65" t="str">
        <f t="shared" si="85"/>
        <v>500902</v>
      </c>
      <c r="J1797" s="65" t="str">
        <f t="shared" si="86"/>
        <v>500902</v>
      </c>
    </row>
    <row r="1798" spans="1:10" x14ac:dyDescent="0.3">
      <c r="A1798" s="27" t="s">
        <v>4836</v>
      </c>
      <c r="B1798" s="27" t="str">
        <f>"50.0903"</f>
        <v>50.0903</v>
      </c>
      <c r="C1798" s="64" t="s">
        <v>4837</v>
      </c>
      <c r="D1798" s="27" t="s">
        <v>2229</v>
      </c>
      <c r="E1798" s="27" t="s">
        <v>2232</v>
      </c>
      <c r="F1798" s="27" t="str">
        <f>"50.0903"</f>
        <v>50.0903</v>
      </c>
      <c r="G1798" s="27" t="s">
        <v>4837</v>
      </c>
      <c r="H1798" s="65" t="str">
        <f t="shared" si="84"/>
        <v>No Change</v>
      </c>
      <c r="I1798" s="65" t="str">
        <f t="shared" si="85"/>
        <v>500903</v>
      </c>
      <c r="J1798" s="65" t="str">
        <f t="shared" si="86"/>
        <v>500903</v>
      </c>
    </row>
    <row r="1799" spans="1:10" x14ac:dyDescent="0.3">
      <c r="A1799" s="27" t="s">
        <v>4838</v>
      </c>
      <c r="B1799" s="27" t="str">
        <f>"50.0904"</f>
        <v>50.0904</v>
      </c>
      <c r="C1799" s="64" t="s">
        <v>4839</v>
      </c>
      <c r="D1799" s="27" t="s">
        <v>2229</v>
      </c>
      <c r="E1799" s="27" t="s">
        <v>2232</v>
      </c>
      <c r="F1799" s="27" t="str">
        <f>"50.0904"</f>
        <v>50.0904</v>
      </c>
      <c r="G1799" s="27" t="s">
        <v>4839</v>
      </c>
      <c r="H1799" s="65" t="str">
        <f t="shared" si="84"/>
        <v>No Change</v>
      </c>
      <c r="I1799" s="65" t="str">
        <f t="shared" si="85"/>
        <v>500904</v>
      </c>
      <c r="J1799" s="65" t="str">
        <f t="shared" si="86"/>
        <v>500904</v>
      </c>
    </row>
    <row r="1800" spans="1:10" x14ac:dyDescent="0.3">
      <c r="A1800" s="27" t="s">
        <v>4840</v>
      </c>
      <c r="B1800" s="27" t="str">
        <f>"50.0905"</f>
        <v>50.0905</v>
      </c>
      <c r="C1800" s="64" t="s">
        <v>4841</v>
      </c>
      <c r="D1800" s="27" t="s">
        <v>2229</v>
      </c>
      <c r="E1800" s="27" t="s">
        <v>2232</v>
      </c>
      <c r="F1800" s="27" t="str">
        <f>"50.0905"</f>
        <v>50.0905</v>
      </c>
      <c r="G1800" s="27" t="s">
        <v>4841</v>
      </c>
      <c r="H1800" s="65" t="str">
        <f t="shared" si="84"/>
        <v>No Change</v>
      </c>
      <c r="I1800" s="65" t="str">
        <f t="shared" si="85"/>
        <v>500905</v>
      </c>
      <c r="J1800" s="65" t="str">
        <f t="shared" si="86"/>
        <v>500905</v>
      </c>
    </row>
    <row r="1801" spans="1:10" x14ac:dyDescent="0.3">
      <c r="A1801" s="27" t="s">
        <v>4842</v>
      </c>
      <c r="B1801" s="27" t="str">
        <f>"50.0906"</f>
        <v>50.0906</v>
      </c>
      <c r="C1801" s="64" t="s">
        <v>4843</v>
      </c>
      <c r="D1801" s="27" t="s">
        <v>2229</v>
      </c>
      <c r="E1801" s="27" t="s">
        <v>2232</v>
      </c>
      <c r="F1801" s="27" t="str">
        <f>"50.0906"</f>
        <v>50.0906</v>
      </c>
      <c r="G1801" s="27" t="s">
        <v>4843</v>
      </c>
      <c r="H1801" s="65" t="str">
        <f t="shared" si="84"/>
        <v>No Change</v>
      </c>
      <c r="I1801" s="65" t="str">
        <f t="shared" si="85"/>
        <v>500906</v>
      </c>
      <c r="J1801" s="65" t="str">
        <f t="shared" si="86"/>
        <v>500906</v>
      </c>
    </row>
    <row r="1802" spans="1:10" x14ac:dyDescent="0.3">
      <c r="A1802" s="27" t="s">
        <v>4844</v>
      </c>
      <c r="B1802" s="27" t="str">
        <f>"50.0907"</f>
        <v>50.0907</v>
      </c>
      <c r="C1802" s="64" t="s">
        <v>4845</v>
      </c>
      <c r="D1802" s="27" t="s">
        <v>2229</v>
      </c>
      <c r="E1802" s="27" t="s">
        <v>2232</v>
      </c>
      <c r="F1802" s="27" t="str">
        <f>"50.0907"</f>
        <v>50.0907</v>
      </c>
      <c r="G1802" s="27" t="s">
        <v>4845</v>
      </c>
      <c r="H1802" s="65" t="str">
        <f t="shared" si="84"/>
        <v>No Change</v>
      </c>
      <c r="I1802" s="65" t="str">
        <f t="shared" si="85"/>
        <v>500907</v>
      </c>
      <c r="J1802" s="65" t="str">
        <f t="shared" si="86"/>
        <v>500907</v>
      </c>
    </row>
    <row r="1803" spans="1:10" x14ac:dyDescent="0.3">
      <c r="A1803" s="27" t="s">
        <v>4846</v>
      </c>
      <c r="B1803" s="27" t="str">
        <f>"50.0908"</f>
        <v>50.0908</v>
      </c>
      <c r="C1803" s="64" t="s">
        <v>4847</v>
      </c>
      <c r="D1803" s="27" t="s">
        <v>2229</v>
      </c>
      <c r="E1803" s="27" t="s">
        <v>2232</v>
      </c>
      <c r="F1803" s="27" t="str">
        <f>"50.0908"</f>
        <v>50.0908</v>
      </c>
      <c r="G1803" s="27" t="s">
        <v>4847</v>
      </c>
      <c r="H1803" s="65" t="str">
        <f t="shared" si="84"/>
        <v>No Change</v>
      </c>
      <c r="I1803" s="65" t="str">
        <f t="shared" si="85"/>
        <v>500908</v>
      </c>
      <c r="J1803" s="65" t="str">
        <f t="shared" si="86"/>
        <v>500908</v>
      </c>
    </row>
    <row r="1804" spans="1:10" x14ac:dyDescent="0.3">
      <c r="A1804" s="27" t="s">
        <v>4848</v>
      </c>
      <c r="B1804" s="27" t="str">
        <f>"50.0910"</f>
        <v>50.0910</v>
      </c>
      <c r="C1804" s="64" t="s">
        <v>4849</v>
      </c>
      <c r="D1804" s="27" t="s">
        <v>2229</v>
      </c>
      <c r="E1804" s="27" t="s">
        <v>2232</v>
      </c>
      <c r="F1804" s="27" t="str">
        <f>"50.0910"</f>
        <v>50.0910</v>
      </c>
      <c r="G1804" s="27" t="s">
        <v>4849</v>
      </c>
      <c r="H1804" s="65" t="str">
        <f t="shared" si="84"/>
        <v>No Change</v>
      </c>
      <c r="I1804" s="65" t="str">
        <f t="shared" si="85"/>
        <v>500910</v>
      </c>
      <c r="J1804" s="65" t="str">
        <f t="shared" si="86"/>
        <v>500910</v>
      </c>
    </row>
    <row r="1805" spans="1:10" x14ac:dyDescent="0.3">
      <c r="A1805" s="27" t="s">
        <v>4850</v>
      </c>
      <c r="B1805" s="27" t="str">
        <f>"50.0911"</f>
        <v>50.0911</v>
      </c>
      <c r="C1805" s="64" t="s">
        <v>4851</v>
      </c>
      <c r="D1805" s="27" t="s">
        <v>2229</v>
      </c>
      <c r="E1805" s="27" t="s">
        <v>2232</v>
      </c>
      <c r="F1805" s="27" t="str">
        <f>"50.0911"</f>
        <v>50.0911</v>
      </c>
      <c r="G1805" s="27" t="s">
        <v>4851</v>
      </c>
      <c r="H1805" s="65" t="str">
        <f t="shared" si="84"/>
        <v>No Change</v>
      </c>
      <c r="I1805" s="65" t="str">
        <f t="shared" si="85"/>
        <v>500911</v>
      </c>
      <c r="J1805" s="65" t="str">
        <f t="shared" si="86"/>
        <v>500911</v>
      </c>
    </row>
    <row r="1806" spans="1:10" x14ac:dyDescent="0.3">
      <c r="A1806" s="27" t="s">
        <v>4852</v>
      </c>
      <c r="B1806" s="27" t="str">
        <f>"50.0912"</f>
        <v>50.0912</v>
      </c>
      <c r="C1806" s="64" t="s">
        <v>4853</v>
      </c>
      <c r="D1806" s="27" t="s">
        <v>2229</v>
      </c>
      <c r="E1806" s="27" t="s">
        <v>2232</v>
      </c>
      <c r="F1806" s="27" t="str">
        <f>"50.0912"</f>
        <v>50.0912</v>
      </c>
      <c r="G1806" s="27" t="s">
        <v>4853</v>
      </c>
      <c r="H1806" s="65" t="str">
        <f t="shared" si="84"/>
        <v>No Change</v>
      </c>
      <c r="I1806" s="65" t="str">
        <f t="shared" si="85"/>
        <v>500912</v>
      </c>
      <c r="J1806" s="65" t="str">
        <f t="shared" si="86"/>
        <v>500912</v>
      </c>
    </row>
    <row r="1807" spans="1:10" x14ac:dyDescent="0.3">
      <c r="A1807" s="27" t="s">
        <v>479</v>
      </c>
      <c r="B1807" s="27" t="str">
        <f>"50.0913"</f>
        <v>50.0913</v>
      </c>
      <c r="C1807" s="64" t="s">
        <v>480</v>
      </c>
      <c r="D1807" s="27" t="s">
        <v>2229</v>
      </c>
      <c r="E1807" s="27" t="s">
        <v>2232</v>
      </c>
      <c r="F1807" s="27" t="str">
        <f>"50.0913"</f>
        <v>50.0913</v>
      </c>
      <c r="G1807" s="27" t="s">
        <v>480</v>
      </c>
      <c r="H1807" s="65" t="str">
        <f t="shared" si="84"/>
        <v>No Change</v>
      </c>
      <c r="I1807" s="65" t="str">
        <f t="shared" si="85"/>
        <v>500913</v>
      </c>
      <c r="J1807" s="65" t="str">
        <f t="shared" si="86"/>
        <v>500913</v>
      </c>
    </row>
    <row r="1808" spans="1:10" x14ac:dyDescent="0.3">
      <c r="A1808" s="27" t="s">
        <v>4854</v>
      </c>
      <c r="B1808" s="27" t="str">
        <f>"50.0914"</f>
        <v>50.0914</v>
      </c>
      <c r="C1808" s="64" t="s">
        <v>4855</v>
      </c>
      <c r="D1808" s="27" t="s">
        <v>2229</v>
      </c>
      <c r="E1808" s="27" t="s">
        <v>2232</v>
      </c>
      <c r="F1808" s="27" t="str">
        <f>"50.0914"</f>
        <v>50.0914</v>
      </c>
      <c r="G1808" s="27" t="s">
        <v>4855</v>
      </c>
      <c r="H1808" s="65" t="str">
        <f t="shared" si="84"/>
        <v>No Change</v>
      </c>
      <c r="I1808" s="65" t="str">
        <f t="shared" si="85"/>
        <v>500914</v>
      </c>
      <c r="J1808" s="65" t="str">
        <f t="shared" si="86"/>
        <v>500914</v>
      </c>
    </row>
    <row r="1809" spans="1:10" x14ac:dyDescent="0.3">
      <c r="A1809" s="27" t="s">
        <v>4856</v>
      </c>
      <c r="B1809" s="27" t="str">
        <f>"50.0915"</f>
        <v>50.0915</v>
      </c>
      <c r="C1809" s="64" t="s">
        <v>4857</v>
      </c>
      <c r="D1809" s="27" t="s">
        <v>2229</v>
      </c>
      <c r="E1809" s="27" t="s">
        <v>2232</v>
      </c>
      <c r="F1809" s="27" t="str">
        <f>"50.0915"</f>
        <v>50.0915</v>
      </c>
      <c r="G1809" s="27" t="s">
        <v>4857</v>
      </c>
      <c r="H1809" s="65" t="str">
        <f t="shared" si="84"/>
        <v>No Change</v>
      </c>
      <c r="I1809" s="65" t="str">
        <f t="shared" si="85"/>
        <v>500915</v>
      </c>
      <c r="J1809" s="65" t="str">
        <f t="shared" si="86"/>
        <v>500915</v>
      </c>
    </row>
    <row r="1810" spans="1:10" x14ac:dyDescent="0.3">
      <c r="A1810" s="27" t="s">
        <v>4858</v>
      </c>
      <c r="B1810" s="27" t="str">
        <f>"50.0916"</f>
        <v>50.0916</v>
      </c>
      <c r="C1810" s="64" t="s">
        <v>4859</v>
      </c>
      <c r="D1810" s="27" t="s">
        <v>2229</v>
      </c>
      <c r="E1810" s="27" t="s">
        <v>2232</v>
      </c>
      <c r="F1810" s="27" t="str">
        <f>"50.0916"</f>
        <v>50.0916</v>
      </c>
      <c r="G1810" s="27" t="s">
        <v>4859</v>
      </c>
      <c r="H1810" s="65" t="str">
        <f t="shared" si="84"/>
        <v>No Change</v>
      </c>
      <c r="I1810" s="65" t="str">
        <f t="shared" si="85"/>
        <v>500916</v>
      </c>
      <c r="J1810" s="65" t="str">
        <f t="shared" si="86"/>
        <v>500916</v>
      </c>
    </row>
    <row r="1811" spans="1:10" x14ac:dyDescent="0.3">
      <c r="A1811" s="27" t="s">
        <v>1869</v>
      </c>
      <c r="D1811" s="27" t="s">
        <v>2255</v>
      </c>
      <c r="E1811" s="27" t="s">
        <v>2232</v>
      </c>
      <c r="F1811" s="27" t="str">
        <f>"50.0917"</f>
        <v>50.0917</v>
      </c>
      <c r="G1811" s="27" t="s">
        <v>4860</v>
      </c>
      <c r="H1811" s="65" t="str">
        <f t="shared" si="84"/>
        <v>Other</v>
      </c>
      <c r="I1811" s="65" t="str">
        <f t="shared" si="85"/>
        <v/>
      </c>
      <c r="J1811" s="65" t="str">
        <f t="shared" si="86"/>
        <v>500917</v>
      </c>
    </row>
    <row r="1812" spans="1:10" x14ac:dyDescent="0.3">
      <c r="A1812" s="27" t="s">
        <v>4861</v>
      </c>
      <c r="B1812" s="27" t="str">
        <f>"50.0999"</f>
        <v>50.0999</v>
      </c>
      <c r="C1812" s="64" t="s">
        <v>4862</v>
      </c>
      <c r="D1812" s="27" t="s">
        <v>2229</v>
      </c>
      <c r="E1812" s="27" t="s">
        <v>2232</v>
      </c>
      <c r="F1812" s="27" t="str">
        <f>"50.0999"</f>
        <v>50.0999</v>
      </c>
      <c r="G1812" s="27" t="s">
        <v>4862</v>
      </c>
      <c r="H1812" s="65" t="str">
        <f t="shared" si="84"/>
        <v>No Change</v>
      </c>
      <c r="I1812" s="65" t="str">
        <f t="shared" si="85"/>
        <v>500999</v>
      </c>
      <c r="J1812" s="65" t="str">
        <f t="shared" si="86"/>
        <v>500999</v>
      </c>
    </row>
    <row r="1813" spans="1:10" x14ac:dyDescent="0.3">
      <c r="A1813" s="27" t="s">
        <v>1869</v>
      </c>
      <c r="B1813" s="27" t="str">
        <f>"50.10"</f>
        <v>50.10</v>
      </c>
      <c r="C1813" s="64" t="s">
        <v>4863</v>
      </c>
      <c r="D1813" s="27" t="s">
        <v>2229</v>
      </c>
      <c r="E1813" s="27" t="s">
        <v>2232</v>
      </c>
      <c r="F1813" s="27" t="str">
        <f>"50.10"</f>
        <v>50.10</v>
      </c>
      <c r="G1813" s="27" t="s">
        <v>4863</v>
      </c>
      <c r="H1813" s="65" t="str">
        <f t="shared" si="84"/>
        <v>No Change</v>
      </c>
      <c r="I1813" s="65" t="str">
        <f t="shared" si="85"/>
        <v/>
      </c>
      <c r="J1813" s="65" t="str">
        <f t="shared" si="86"/>
        <v/>
      </c>
    </row>
    <row r="1814" spans="1:10" x14ac:dyDescent="0.3">
      <c r="A1814" s="27" t="s">
        <v>4864</v>
      </c>
      <c r="B1814" s="27" t="str">
        <f>"50.1001"</f>
        <v>50.1001</v>
      </c>
      <c r="C1814" s="64" t="s">
        <v>4865</v>
      </c>
      <c r="D1814" s="27" t="s">
        <v>2229</v>
      </c>
      <c r="E1814" s="27" t="s">
        <v>2232</v>
      </c>
      <c r="F1814" s="27" t="str">
        <f>"50.1001"</f>
        <v>50.1001</v>
      </c>
      <c r="G1814" s="27" t="s">
        <v>4865</v>
      </c>
      <c r="H1814" s="65" t="str">
        <f t="shared" si="84"/>
        <v>No Change</v>
      </c>
      <c r="I1814" s="65" t="str">
        <f t="shared" si="85"/>
        <v>501001</v>
      </c>
      <c r="J1814" s="65" t="str">
        <f t="shared" si="86"/>
        <v>501001</v>
      </c>
    </row>
    <row r="1815" spans="1:10" x14ac:dyDescent="0.3">
      <c r="A1815" s="27" t="s">
        <v>4866</v>
      </c>
      <c r="B1815" s="27" t="str">
        <f>"50.1002"</f>
        <v>50.1002</v>
      </c>
      <c r="C1815" s="64" t="s">
        <v>4867</v>
      </c>
      <c r="D1815" s="27" t="s">
        <v>2229</v>
      </c>
      <c r="E1815" s="27" t="s">
        <v>2232</v>
      </c>
      <c r="F1815" s="27" t="str">
        <f>"50.1002"</f>
        <v>50.1002</v>
      </c>
      <c r="G1815" s="27" t="s">
        <v>4867</v>
      </c>
      <c r="H1815" s="65" t="str">
        <f t="shared" si="84"/>
        <v>No Change</v>
      </c>
      <c r="I1815" s="65" t="str">
        <f t="shared" si="85"/>
        <v>501002</v>
      </c>
      <c r="J1815" s="65" t="str">
        <f t="shared" si="86"/>
        <v>501002</v>
      </c>
    </row>
    <row r="1816" spans="1:10" x14ac:dyDescent="0.3">
      <c r="A1816" s="27" t="s">
        <v>4868</v>
      </c>
      <c r="B1816" s="27" t="str">
        <f>"50.1003"</f>
        <v>50.1003</v>
      </c>
      <c r="C1816" s="64" t="s">
        <v>4869</v>
      </c>
      <c r="D1816" s="27" t="s">
        <v>2229</v>
      </c>
      <c r="E1816" s="27" t="s">
        <v>2232</v>
      </c>
      <c r="F1816" s="27" t="str">
        <f>"50.1003"</f>
        <v>50.1003</v>
      </c>
      <c r="G1816" s="27" t="s">
        <v>4869</v>
      </c>
      <c r="H1816" s="65" t="str">
        <f t="shared" si="84"/>
        <v>No Change</v>
      </c>
      <c r="I1816" s="65" t="str">
        <f t="shared" si="85"/>
        <v>501003</v>
      </c>
      <c r="J1816" s="65" t="str">
        <f t="shared" si="86"/>
        <v>501003</v>
      </c>
    </row>
    <row r="1817" spans="1:10" x14ac:dyDescent="0.3">
      <c r="A1817" s="27" t="s">
        <v>4870</v>
      </c>
      <c r="B1817" s="27" t="str">
        <f>"50.1004"</f>
        <v>50.1004</v>
      </c>
      <c r="C1817" s="64" t="s">
        <v>4871</v>
      </c>
      <c r="D1817" s="27" t="s">
        <v>2229</v>
      </c>
      <c r="E1817" s="27" t="s">
        <v>2232</v>
      </c>
      <c r="F1817" s="27" t="str">
        <f>"50.1004"</f>
        <v>50.1004</v>
      </c>
      <c r="G1817" s="27" t="s">
        <v>4871</v>
      </c>
      <c r="H1817" s="65" t="str">
        <f t="shared" si="84"/>
        <v>No Change</v>
      </c>
      <c r="I1817" s="65" t="str">
        <f t="shared" si="85"/>
        <v>501004</v>
      </c>
      <c r="J1817" s="65" t="str">
        <f t="shared" si="86"/>
        <v>501004</v>
      </c>
    </row>
    <row r="1818" spans="1:10" x14ac:dyDescent="0.3">
      <c r="A1818" s="27" t="s">
        <v>4872</v>
      </c>
      <c r="B1818" s="27" t="str">
        <f>"50.1099"</f>
        <v>50.1099</v>
      </c>
      <c r="C1818" s="64" t="s">
        <v>4873</v>
      </c>
      <c r="D1818" s="27" t="s">
        <v>2229</v>
      </c>
      <c r="E1818" s="27" t="s">
        <v>2232</v>
      </c>
      <c r="F1818" s="27" t="str">
        <f>"50.1099"</f>
        <v>50.1099</v>
      </c>
      <c r="G1818" s="27" t="s">
        <v>4873</v>
      </c>
      <c r="H1818" s="65" t="str">
        <f t="shared" si="84"/>
        <v>No Change</v>
      </c>
      <c r="I1818" s="65" t="str">
        <f t="shared" si="85"/>
        <v>501099</v>
      </c>
      <c r="J1818" s="65" t="str">
        <f t="shared" si="86"/>
        <v>501099</v>
      </c>
    </row>
    <row r="1819" spans="1:10" x14ac:dyDescent="0.3">
      <c r="A1819" s="27" t="s">
        <v>1869</v>
      </c>
      <c r="D1819" s="27" t="s">
        <v>2255</v>
      </c>
      <c r="E1819" s="27" t="s">
        <v>2232</v>
      </c>
      <c r="F1819" s="27" t="str">
        <f>"50.13"</f>
        <v>50.13</v>
      </c>
      <c r="G1819" s="27" t="s">
        <v>4874</v>
      </c>
      <c r="H1819" s="65" t="str">
        <f t="shared" si="84"/>
        <v>No Change</v>
      </c>
      <c r="I1819" s="65" t="str">
        <f t="shared" si="85"/>
        <v/>
      </c>
      <c r="J1819" s="65" t="str">
        <f t="shared" si="86"/>
        <v/>
      </c>
    </row>
    <row r="1820" spans="1:10" x14ac:dyDescent="0.3">
      <c r="A1820" s="27" t="s">
        <v>1869</v>
      </c>
      <c r="D1820" s="27" t="s">
        <v>2255</v>
      </c>
      <c r="E1820" s="27" t="s">
        <v>2232</v>
      </c>
      <c r="F1820" s="27" t="str">
        <f>"50.1301"</f>
        <v>50.1301</v>
      </c>
      <c r="G1820" s="27" t="s">
        <v>4874</v>
      </c>
      <c r="H1820" s="65" t="str">
        <f t="shared" si="84"/>
        <v>Other</v>
      </c>
      <c r="I1820" s="65" t="str">
        <f t="shared" si="85"/>
        <v/>
      </c>
      <c r="J1820" s="65" t="str">
        <f t="shared" si="86"/>
        <v>501301</v>
      </c>
    </row>
    <row r="1821" spans="1:10" x14ac:dyDescent="0.3">
      <c r="A1821" s="27" t="s">
        <v>1869</v>
      </c>
      <c r="B1821" s="27" t="str">
        <f>"50.99"</f>
        <v>50.99</v>
      </c>
      <c r="C1821" s="64" t="s">
        <v>4875</v>
      </c>
      <c r="D1821" s="27" t="s">
        <v>2229</v>
      </c>
      <c r="E1821" s="27" t="s">
        <v>2232</v>
      </c>
      <c r="F1821" s="27" t="str">
        <f>"50.99"</f>
        <v>50.99</v>
      </c>
      <c r="G1821" s="27" t="s">
        <v>4875</v>
      </c>
      <c r="H1821" s="65" t="str">
        <f t="shared" si="84"/>
        <v>No Change</v>
      </c>
      <c r="I1821" s="65" t="str">
        <f t="shared" si="85"/>
        <v/>
      </c>
      <c r="J1821" s="65" t="str">
        <f t="shared" si="86"/>
        <v/>
      </c>
    </row>
    <row r="1822" spans="1:10" x14ac:dyDescent="0.3">
      <c r="A1822" s="27" t="s">
        <v>4876</v>
      </c>
      <c r="B1822" s="27" t="str">
        <f>"50.9999"</f>
        <v>50.9999</v>
      </c>
      <c r="C1822" s="64" t="s">
        <v>4875</v>
      </c>
      <c r="D1822" s="27" t="s">
        <v>2229</v>
      </c>
      <c r="E1822" s="27" t="s">
        <v>2232</v>
      </c>
      <c r="F1822" s="27" t="str">
        <f>"50.9999"</f>
        <v>50.9999</v>
      </c>
      <c r="G1822" s="27" t="s">
        <v>4875</v>
      </c>
      <c r="H1822" s="65" t="str">
        <f t="shared" si="84"/>
        <v>No Change</v>
      </c>
      <c r="I1822" s="65" t="str">
        <f t="shared" si="85"/>
        <v>509999</v>
      </c>
      <c r="J1822" s="65" t="str">
        <f t="shared" si="86"/>
        <v>509999</v>
      </c>
    </row>
    <row r="1823" spans="1:10" x14ac:dyDescent="0.3">
      <c r="A1823" s="27" t="s">
        <v>1869</v>
      </c>
      <c r="B1823" s="27" t="str">
        <f>"51"</f>
        <v>51</v>
      </c>
      <c r="C1823" s="64" t="s">
        <v>4877</v>
      </c>
      <c r="D1823" s="27" t="s">
        <v>2229</v>
      </c>
      <c r="E1823" s="27" t="s">
        <v>2232</v>
      </c>
      <c r="F1823" s="27" t="str">
        <f>"51"</f>
        <v>51</v>
      </c>
      <c r="G1823" s="27" t="s">
        <v>4877</v>
      </c>
      <c r="H1823" s="65" t="str">
        <f t="shared" si="84"/>
        <v>No Change</v>
      </c>
      <c r="I1823" s="65" t="str">
        <f t="shared" si="85"/>
        <v/>
      </c>
      <c r="J1823" s="65" t="str">
        <f t="shared" si="86"/>
        <v/>
      </c>
    </row>
    <row r="1824" spans="1:10" x14ac:dyDescent="0.3">
      <c r="A1824" s="27" t="s">
        <v>1869</v>
      </c>
      <c r="B1824" s="27" t="str">
        <f>"51.00"</f>
        <v>51.00</v>
      </c>
      <c r="C1824" s="64" t="s">
        <v>4878</v>
      </c>
      <c r="D1824" s="27" t="s">
        <v>2229</v>
      </c>
      <c r="E1824" s="27" t="s">
        <v>2232</v>
      </c>
      <c r="F1824" s="27" t="str">
        <f>"51.00"</f>
        <v>51.00</v>
      </c>
      <c r="G1824" s="27" t="s">
        <v>4878</v>
      </c>
      <c r="H1824" s="65" t="str">
        <f t="shared" si="84"/>
        <v>No Change</v>
      </c>
      <c r="I1824" s="65" t="str">
        <f t="shared" si="85"/>
        <v/>
      </c>
      <c r="J1824" s="65" t="str">
        <f t="shared" si="86"/>
        <v/>
      </c>
    </row>
    <row r="1825" spans="1:10" x14ac:dyDescent="0.3">
      <c r="A1825" s="27" t="s">
        <v>83</v>
      </c>
      <c r="B1825" s="27" t="str">
        <f>"51.0000"</f>
        <v>51.0000</v>
      </c>
      <c r="C1825" s="64" t="s">
        <v>4878</v>
      </c>
      <c r="D1825" s="27" t="s">
        <v>2229</v>
      </c>
      <c r="E1825" s="27" t="s">
        <v>2232</v>
      </c>
      <c r="F1825" s="27" t="str">
        <f>"51.0000"</f>
        <v>51.0000</v>
      </c>
      <c r="G1825" s="27" t="s">
        <v>4878</v>
      </c>
      <c r="H1825" s="65" t="str">
        <f t="shared" si="84"/>
        <v>No Change</v>
      </c>
      <c r="I1825" s="65" t="str">
        <f t="shared" si="85"/>
        <v>510000</v>
      </c>
      <c r="J1825" s="65" t="str">
        <f t="shared" si="86"/>
        <v>510000</v>
      </c>
    </row>
    <row r="1826" spans="1:10" x14ac:dyDescent="0.3">
      <c r="A1826" s="27" t="s">
        <v>4879</v>
      </c>
      <c r="B1826" s="27" t="str">
        <f>"51.0001"</f>
        <v>51.0001</v>
      </c>
      <c r="C1826" s="64" t="s">
        <v>4880</v>
      </c>
      <c r="D1826" s="27" t="s">
        <v>2229</v>
      </c>
      <c r="E1826" s="27" t="s">
        <v>2232</v>
      </c>
      <c r="F1826" s="27" t="str">
        <f>"51.0001"</f>
        <v>51.0001</v>
      </c>
      <c r="G1826" s="27" t="s">
        <v>4880</v>
      </c>
      <c r="H1826" s="65" t="str">
        <f t="shared" si="84"/>
        <v>No Change</v>
      </c>
      <c r="I1826" s="65" t="str">
        <f t="shared" si="85"/>
        <v>510001</v>
      </c>
      <c r="J1826" s="65" t="str">
        <f t="shared" si="86"/>
        <v>510001</v>
      </c>
    </row>
    <row r="1827" spans="1:10" x14ac:dyDescent="0.3">
      <c r="A1827" s="27" t="s">
        <v>1869</v>
      </c>
      <c r="B1827" s="27" t="str">
        <f>"51.01"</f>
        <v>51.01</v>
      </c>
      <c r="C1827" s="64" t="s">
        <v>4881</v>
      </c>
      <c r="D1827" s="27" t="s">
        <v>2229</v>
      </c>
      <c r="E1827" s="27" t="s">
        <v>2232</v>
      </c>
      <c r="F1827" s="27" t="str">
        <f>"51.01"</f>
        <v>51.01</v>
      </c>
      <c r="G1827" s="27" t="s">
        <v>4881</v>
      </c>
      <c r="H1827" s="65" t="str">
        <f t="shared" si="84"/>
        <v>No Change</v>
      </c>
      <c r="I1827" s="65" t="str">
        <f t="shared" si="85"/>
        <v/>
      </c>
      <c r="J1827" s="65" t="str">
        <f t="shared" si="86"/>
        <v/>
      </c>
    </row>
    <row r="1828" spans="1:10" x14ac:dyDescent="0.3">
      <c r="A1828" s="27" t="s">
        <v>4882</v>
      </c>
      <c r="B1828" s="27" t="str">
        <f>"51.0101"</f>
        <v>51.0101</v>
      </c>
      <c r="C1828" s="64" t="s">
        <v>4881</v>
      </c>
      <c r="D1828" s="27" t="s">
        <v>2229</v>
      </c>
      <c r="E1828" s="27" t="s">
        <v>2232</v>
      </c>
      <c r="F1828" s="27" t="str">
        <f>"51.0101"</f>
        <v>51.0101</v>
      </c>
      <c r="G1828" s="27" t="s">
        <v>4881</v>
      </c>
      <c r="H1828" s="65" t="str">
        <f t="shared" si="84"/>
        <v>No Change</v>
      </c>
      <c r="I1828" s="65" t="str">
        <f t="shared" si="85"/>
        <v>510101</v>
      </c>
      <c r="J1828" s="65" t="str">
        <f t="shared" si="86"/>
        <v>510101</v>
      </c>
    </row>
    <row r="1829" spans="1:10" x14ac:dyDescent="0.3">
      <c r="A1829" s="27" t="s">
        <v>1869</v>
      </c>
      <c r="B1829" s="27" t="str">
        <f>"51.02"</f>
        <v>51.02</v>
      </c>
      <c r="C1829" s="64" t="s">
        <v>4883</v>
      </c>
      <c r="D1829" s="27" t="s">
        <v>2229</v>
      </c>
      <c r="E1829" s="27" t="s">
        <v>2232</v>
      </c>
      <c r="F1829" s="27" t="str">
        <f>"51.02"</f>
        <v>51.02</v>
      </c>
      <c r="G1829" s="27" t="s">
        <v>4883</v>
      </c>
      <c r="H1829" s="65" t="str">
        <f t="shared" si="84"/>
        <v>No Change</v>
      </c>
      <c r="I1829" s="65" t="str">
        <f t="shared" si="85"/>
        <v/>
      </c>
      <c r="J1829" s="65" t="str">
        <f t="shared" si="86"/>
        <v/>
      </c>
    </row>
    <row r="1830" spans="1:10" x14ac:dyDescent="0.3">
      <c r="A1830" s="27" t="s">
        <v>4884</v>
      </c>
      <c r="B1830" s="27" t="str">
        <f>"51.0201"</f>
        <v>51.0201</v>
      </c>
      <c r="C1830" s="64" t="s">
        <v>4885</v>
      </c>
      <c r="D1830" s="27" t="s">
        <v>2229</v>
      </c>
      <c r="E1830" s="27" t="s">
        <v>2232</v>
      </c>
      <c r="F1830" s="27" t="str">
        <f>"51.0201"</f>
        <v>51.0201</v>
      </c>
      <c r="G1830" s="27" t="s">
        <v>4885</v>
      </c>
      <c r="H1830" s="65" t="str">
        <f t="shared" si="84"/>
        <v>No Change</v>
      </c>
      <c r="I1830" s="65" t="str">
        <f t="shared" si="85"/>
        <v>510201</v>
      </c>
      <c r="J1830" s="65" t="str">
        <f t="shared" si="86"/>
        <v>510201</v>
      </c>
    </row>
    <row r="1831" spans="1:10" x14ac:dyDescent="0.3">
      <c r="A1831" s="27" t="s">
        <v>4886</v>
      </c>
      <c r="B1831" s="27" t="str">
        <f>"51.0202"</f>
        <v>51.0202</v>
      </c>
      <c r="C1831" s="64" t="s">
        <v>4887</v>
      </c>
      <c r="D1831" s="27" t="s">
        <v>2229</v>
      </c>
      <c r="E1831" s="27" t="s">
        <v>2232</v>
      </c>
      <c r="F1831" s="27" t="str">
        <f>"51.0202"</f>
        <v>51.0202</v>
      </c>
      <c r="G1831" s="27" t="s">
        <v>4887</v>
      </c>
      <c r="H1831" s="65" t="str">
        <f t="shared" si="84"/>
        <v>No Change</v>
      </c>
      <c r="I1831" s="65" t="str">
        <f t="shared" si="85"/>
        <v>510202</v>
      </c>
      <c r="J1831" s="65" t="str">
        <f t="shared" si="86"/>
        <v>510202</v>
      </c>
    </row>
    <row r="1832" spans="1:10" x14ac:dyDescent="0.3">
      <c r="A1832" s="27" t="s">
        <v>4888</v>
      </c>
      <c r="B1832" s="27" t="str">
        <f>"51.0203"</f>
        <v>51.0203</v>
      </c>
      <c r="C1832" s="64" t="s">
        <v>4889</v>
      </c>
      <c r="D1832" s="27" t="s">
        <v>2229</v>
      </c>
      <c r="E1832" s="27" t="s">
        <v>2232</v>
      </c>
      <c r="F1832" s="27" t="str">
        <f>"51.0203"</f>
        <v>51.0203</v>
      </c>
      <c r="G1832" s="27" t="s">
        <v>4889</v>
      </c>
      <c r="H1832" s="65" t="str">
        <f t="shared" si="84"/>
        <v>No Change</v>
      </c>
      <c r="I1832" s="65" t="str">
        <f t="shared" si="85"/>
        <v>510203</v>
      </c>
      <c r="J1832" s="65" t="str">
        <f t="shared" si="86"/>
        <v>510203</v>
      </c>
    </row>
    <row r="1833" spans="1:10" ht="28.8" x14ac:dyDescent="0.3">
      <c r="A1833" s="27" t="s">
        <v>4890</v>
      </c>
      <c r="B1833" s="27" t="str">
        <f>"51.0204"</f>
        <v>51.0204</v>
      </c>
      <c r="C1833" s="64" t="s">
        <v>4891</v>
      </c>
      <c r="D1833" s="27" t="s">
        <v>2229</v>
      </c>
      <c r="E1833" s="27" t="s">
        <v>2232</v>
      </c>
      <c r="F1833" s="27" t="str">
        <f>"51.0204"</f>
        <v>51.0204</v>
      </c>
      <c r="G1833" s="27" t="s">
        <v>4891</v>
      </c>
      <c r="H1833" s="65" t="str">
        <f t="shared" si="84"/>
        <v>No Change</v>
      </c>
      <c r="I1833" s="65" t="str">
        <f t="shared" si="85"/>
        <v>510204</v>
      </c>
      <c r="J1833" s="65" t="str">
        <f t="shared" si="86"/>
        <v>510204</v>
      </c>
    </row>
    <row r="1834" spans="1:10" x14ac:dyDescent="0.3">
      <c r="A1834" s="27" t="s">
        <v>4892</v>
      </c>
      <c r="B1834" s="27" t="str">
        <f>"51.0299"</f>
        <v>51.0299</v>
      </c>
      <c r="C1834" s="64" t="s">
        <v>4893</v>
      </c>
      <c r="D1834" s="27" t="s">
        <v>2229</v>
      </c>
      <c r="E1834" s="27" t="s">
        <v>2232</v>
      </c>
      <c r="F1834" s="27" t="str">
        <f>"51.0299"</f>
        <v>51.0299</v>
      </c>
      <c r="G1834" s="27" t="s">
        <v>4893</v>
      </c>
      <c r="H1834" s="65" t="str">
        <f t="shared" si="84"/>
        <v>No Change</v>
      </c>
      <c r="I1834" s="65" t="str">
        <f t="shared" si="85"/>
        <v>510299</v>
      </c>
      <c r="J1834" s="65" t="str">
        <f t="shared" si="86"/>
        <v>510299</v>
      </c>
    </row>
    <row r="1835" spans="1:10" x14ac:dyDescent="0.3">
      <c r="A1835" s="27" t="s">
        <v>1869</v>
      </c>
      <c r="B1835" s="27" t="str">
        <f>"51.04"</f>
        <v>51.04</v>
      </c>
      <c r="C1835" s="64" t="s">
        <v>4894</v>
      </c>
      <c r="D1835" s="27" t="s">
        <v>2229</v>
      </c>
      <c r="E1835" s="27" t="s">
        <v>2232</v>
      </c>
      <c r="F1835" s="27" t="str">
        <f>"51.04"</f>
        <v>51.04</v>
      </c>
      <c r="G1835" s="27" t="s">
        <v>4894</v>
      </c>
      <c r="H1835" s="65" t="str">
        <f t="shared" si="84"/>
        <v>No Change</v>
      </c>
      <c r="I1835" s="65" t="str">
        <f t="shared" si="85"/>
        <v/>
      </c>
      <c r="J1835" s="65" t="str">
        <f t="shared" si="86"/>
        <v/>
      </c>
    </row>
    <row r="1836" spans="1:10" x14ac:dyDescent="0.3">
      <c r="A1836" s="27" t="s">
        <v>4895</v>
      </c>
      <c r="B1836" s="27" t="str">
        <f>"51.0401"</f>
        <v>51.0401</v>
      </c>
      <c r="C1836" s="64" t="s">
        <v>4894</v>
      </c>
      <c r="D1836" s="27" t="s">
        <v>2229</v>
      </c>
      <c r="E1836" s="27" t="s">
        <v>2232</v>
      </c>
      <c r="F1836" s="27" t="str">
        <f>"51.0401"</f>
        <v>51.0401</v>
      </c>
      <c r="G1836" s="27" t="s">
        <v>4894</v>
      </c>
      <c r="H1836" s="65" t="str">
        <f t="shared" si="84"/>
        <v>No Change</v>
      </c>
      <c r="I1836" s="65" t="str">
        <f t="shared" si="85"/>
        <v>510401</v>
      </c>
      <c r="J1836" s="65" t="str">
        <f t="shared" si="86"/>
        <v>510401</v>
      </c>
    </row>
    <row r="1837" spans="1:10" x14ac:dyDescent="0.3">
      <c r="A1837" s="27" t="s">
        <v>1869</v>
      </c>
      <c r="B1837" s="27" t="str">
        <f>"51.05"</f>
        <v>51.05</v>
      </c>
      <c r="C1837" s="64" t="s">
        <v>4896</v>
      </c>
      <c r="D1837" s="27" t="s">
        <v>2229</v>
      </c>
      <c r="E1837" s="27" t="s">
        <v>2232</v>
      </c>
      <c r="F1837" s="27" t="str">
        <f>"51.05"</f>
        <v>51.05</v>
      </c>
      <c r="G1837" s="27" t="s">
        <v>4896</v>
      </c>
      <c r="H1837" s="65" t="str">
        <f t="shared" si="84"/>
        <v>No Change</v>
      </c>
      <c r="I1837" s="65" t="str">
        <f t="shared" si="85"/>
        <v/>
      </c>
      <c r="J1837" s="65" t="str">
        <f t="shared" si="86"/>
        <v/>
      </c>
    </row>
    <row r="1838" spans="1:10" x14ac:dyDescent="0.3">
      <c r="A1838" s="27" t="s">
        <v>4897</v>
      </c>
      <c r="B1838" s="27" t="str">
        <f>"51.0501"</f>
        <v>51.0501</v>
      </c>
      <c r="C1838" s="64" t="s">
        <v>4898</v>
      </c>
      <c r="D1838" s="27" t="s">
        <v>2229</v>
      </c>
      <c r="E1838" s="27" t="s">
        <v>2232</v>
      </c>
      <c r="F1838" s="27" t="str">
        <f>"51.0501"</f>
        <v>51.0501</v>
      </c>
      <c r="G1838" s="27" t="s">
        <v>4898</v>
      </c>
      <c r="H1838" s="65" t="str">
        <f t="shared" si="84"/>
        <v>No Change</v>
      </c>
      <c r="I1838" s="65" t="str">
        <f t="shared" si="85"/>
        <v>510501</v>
      </c>
      <c r="J1838" s="65" t="str">
        <f t="shared" si="86"/>
        <v>510501</v>
      </c>
    </row>
    <row r="1839" spans="1:10" x14ac:dyDescent="0.3">
      <c r="A1839" s="27" t="s">
        <v>4899</v>
      </c>
      <c r="B1839" s="27" t="str">
        <f>"51.0502"</f>
        <v>51.0502</v>
      </c>
      <c r="C1839" s="64" t="s">
        <v>4900</v>
      </c>
      <c r="D1839" s="27" t="s">
        <v>2229</v>
      </c>
      <c r="E1839" s="27" t="s">
        <v>2232</v>
      </c>
      <c r="F1839" s="27" t="str">
        <f>"51.0502"</f>
        <v>51.0502</v>
      </c>
      <c r="G1839" s="27" t="s">
        <v>4900</v>
      </c>
      <c r="H1839" s="65" t="str">
        <f t="shared" si="84"/>
        <v>No Change</v>
      </c>
      <c r="I1839" s="65" t="str">
        <f t="shared" si="85"/>
        <v>510502</v>
      </c>
      <c r="J1839" s="65" t="str">
        <f t="shared" si="86"/>
        <v>510502</v>
      </c>
    </row>
    <row r="1840" spans="1:10" x14ac:dyDescent="0.3">
      <c r="A1840" s="27" t="s">
        <v>4901</v>
      </c>
      <c r="B1840" s="27" t="str">
        <f>"51.0503"</f>
        <v>51.0503</v>
      </c>
      <c r="C1840" s="64" t="s">
        <v>4902</v>
      </c>
      <c r="D1840" s="27" t="s">
        <v>2229</v>
      </c>
      <c r="E1840" s="27" t="s">
        <v>2232</v>
      </c>
      <c r="F1840" s="27" t="str">
        <f>"51.0503"</f>
        <v>51.0503</v>
      </c>
      <c r="G1840" s="27" t="s">
        <v>4902</v>
      </c>
      <c r="H1840" s="65" t="str">
        <f t="shared" si="84"/>
        <v>No Change</v>
      </c>
      <c r="I1840" s="65" t="str">
        <f t="shared" si="85"/>
        <v>510503</v>
      </c>
      <c r="J1840" s="65" t="str">
        <f t="shared" si="86"/>
        <v>510503</v>
      </c>
    </row>
    <row r="1841" spans="1:10" x14ac:dyDescent="0.3">
      <c r="A1841" s="27" t="s">
        <v>4903</v>
      </c>
      <c r="B1841" s="27" t="str">
        <f>"51.0504"</f>
        <v>51.0504</v>
      </c>
      <c r="C1841" s="64" t="s">
        <v>4904</v>
      </c>
      <c r="D1841" s="27" t="s">
        <v>2229</v>
      </c>
      <c r="E1841" s="27" t="s">
        <v>2232</v>
      </c>
      <c r="F1841" s="27" t="str">
        <f>"51.0504"</f>
        <v>51.0504</v>
      </c>
      <c r="G1841" s="27" t="s">
        <v>4904</v>
      </c>
      <c r="H1841" s="65" t="str">
        <f t="shared" si="84"/>
        <v>No Change</v>
      </c>
      <c r="I1841" s="65" t="str">
        <f t="shared" si="85"/>
        <v>510504</v>
      </c>
      <c r="J1841" s="65" t="str">
        <f t="shared" si="86"/>
        <v>510504</v>
      </c>
    </row>
    <row r="1842" spans="1:10" x14ac:dyDescent="0.3">
      <c r="A1842" s="27" t="s">
        <v>4905</v>
      </c>
      <c r="B1842" s="27" t="str">
        <f>"51.0505"</f>
        <v>51.0505</v>
      </c>
      <c r="C1842" s="64" t="s">
        <v>4906</v>
      </c>
      <c r="D1842" s="27" t="s">
        <v>2229</v>
      </c>
      <c r="E1842" s="27" t="s">
        <v>2232</v>
      </c>
      <c r="F1842" s="27" t="str">
        <f>"51.0505"</f>
        <v>51.0505</v>
      </c>
      <c r="G1842" s="27" t="s">
        <v>4906</v>
      </c>
      <c r="H1842" s="65" t="str">
        <f t="shared" si="84"/>
        <v>No Change</v>
      </c>
      <c r="I1842" s="65" t="str">
        <f t="shared" si="85"/>
        <v>510505</v>
      </c>
      <c r="J1842" s="65" t="str">
        <f t="shared" si="86"/>
        <v>510505</v>
      </c>
    </row>
    <row r="1843" spans="1:10" x14ac:dyDescent="0.3">
      <c r="A1843" s="27" t="s">
        <v>4907</v>
      </c>
      <c r="B1843" s="27" t="str">
        <f>"51.0506"</f>
        <v>51.0506</v>
      </c>
      <c r="C1843" s="64" t="s">
        <v>4908</v>
      </c>
      <c r="D1843" s="27" t="s">
        <v>2229</v>
      </c>
      <c r="E1843" s="27" t="s">
        <v>2232</v>
      </c>
      <c r="F1843" s="27" t="str">
        <f>"51.0506"</f>
        <v>51.0506</v>
      </c>
      <c r="G1843" s="27" t="s">
        <v>4908</v>
      </c>
      <c r="H1843" s="65" t="str">
        <f t="shared" si="84"/>
        <v>No Change</v>
      </c>
      <c r="I1843" s="65" t="str">
        <f t="shared" si="85"/>
        <v>510506</v>
      </c>
      <c r="J1843" s="65" t="str">
        <f t="shared" si="86"/>
        <v>510506</v>
      </c>
    </row>
    <row r="1844" spans="1:10" x14ac:dyDescent="0.3">
      <c r="A1844" s="27" t="s">
        <v>4909</v>
      </c>
      <c r="B1844" s="27" t="str">
        <f>"51.0507"</f>
        <v>51.0507</v>
      </c>
      <c r="C1844" s="64" t="s">
        <v>4910</v>
      </c>
      <c r="D1844" s="27" t="s">
        <v>2229</v>
      </c>
      <c r="E1844" s="27" t="s">
        <v>2232</v>
      </c>
      <c r="F1844" s="27" t="str">
        <f>"51.0507"</f>
        <v>51.0507</v>
      </c>
      <c r="G1844" s="27" t="s">
        <v>4910</v>
      </c>
      <c r="H1844" s="65" t="str">
        <f t="shared" si="84"/>
        <v>No Change</v>
      </c>
      <c r="I1844" s="65" t="str">
        <f t="shared" si="85"/>
        <v>510507</v>
      </c>
      <c r="J1844" s="65" t="str">
        <f t="shared" si="86"/>
        <v>510507</v>
      </c>
    </row>
    <row r="1845" spans="1:10" x14ac:dyDescent="0.3">
      <c r="A1845" s="27" t="s">
        <v>4911</v>
      </c>
      <c r="B1845" s="27" t="str">
        <f>"51.0508"</f>
        <v>51.0508</v>
      </c>
      <c r="C1845" s="64" t="s">
        <v>4912</v>
      </c>
      <c r="D1845" s="27" t="s">
        <v>2229</v>
      </c>
      <c r="E1845" s="27" t="s">
        <v>2232</v>
      </c>
      <c r="F1845" s="27" t="str">
        <f>"51.0508"</f>
        <v>51.0508</v>
      </c>
      <c r="G1845" s="27" t="s">
        <v>4912</v>
      </c>
      <c r="H1845" s="65" t="str">
        <f t="shared" si="84"/>
        <v>No Change</v>
      </c>
      <c r="I1845" s="65" t="str">
        <f t="shared" si="85"/>
        <v>510508</v>
      </c>
      <c r="J1845" s="65" t="str">
        <f t="shared" si="86"/>
        <v>510508</v>
      </c>
    </row>
    <row r="1846" spans="1:10" x14ac:dyDescent="0.3">
      <c r="A1846" s="27" t="s">
        <v>4913</v>
      </c>
      <c r="B1846" s="27" t="str">
        <f>"51.0509"</f>
        <v>51.0509</v>
      </c>
      <c r="C1846" s="64" t="s">
        <v>4914</v>
      </c>
      <c r="D1846" s="27" t="s">
        <v>2229</v>
      </c>
      <c r="E1846" s="27" t="s">
        <v>2232</v>
      </c>
      <c r="F1846" s="27" t="str">
        <f>"51.0509"</f>
        <v>51.0509</v>
      </c>
      <c r="G1846" s="27" t="s">
        <v>4914</v>
      </c>
      <c r="H1846" s="65" t="str">
        <f t="shared" si="84"/>
        <v>No Change</v>
      </c>
      <c r="I1846" s="65" t="str">
        <f t="shared" si="85"/>
        <v>510509</v>
      </c>
      <c r="J1846" s="65" t="str">
        <f t="shared" si="86"/>
        <v>510509</v>
      </c>
    </row>
    <row r="1847" spans="1:10" x14ac:dyDescent="0.3">
      <c r="A1847" s="27" t="s">
        <v>4915</v>
      </c>
      <c r="B1847" s="27" t="str">
        <f>"51.0510"</f>
        <v>51.0510</v>
      </c>
      <c r="C1847" s="64" t="s">
        <v>4916</v>
      </c>
      <c r="D1847" s="27" t="s">
        <v>2229</v>
      </c>
      <c r="E1847" s="27" t="s">
        <v>2232</v>
      </c>
      <c r="F1847" s="27" t="str">
        <f>"51.0510"</f>
        <v>51.0510</v>
      </c>
      <c r="G1847" s="27" t="s">
        <v>4916</v>
      </c>
      <c r="H1847" s="65" t="str">
        <f t="shared" si="84"/>
        <v>No Change</v>
      </c>
      <c r="I1847" s="65" t="str">
        <f t="shared" si="85"/>
        <v>510510</v>
      </c>
      <c r="J1847" s="65" t="str">
        <f t="shared" si="86"/>
        <v>510510</v>
      </c>
    </row>
    <row r="1848" spans="1:10" x14ac:dyDescent="0.3">
      <c r="A1848" s="27" t="s">
        <v>4917</v>
      </c>
      <c r="B1848" s="27" t="str">
        <f>"51.0511"</f>
        <v>51.0511</v>
      </c>
      <c r="C1848" s="64" t="s">
        <v>4918</v>
      </c>
      <c r="D1848" s="27" t="s">
        <v>2229</v>
      </c>
      <c r="E1848" s="27" t="s">
        <v>2232</v>
      </c>
      <c r="F1848" s="27" t="str">
        <f>"51.0511"</f>
        <v>51.0511</v>
      </c>
      <c r="G1848" s="27" t="s">
        <v>4918</v>
      </c>
      <c r="H1848" s="65" t="str">
        <f t="shared" si="84"/>
        <v>No Change</v>
      </c>
      <c r="I1848" s="65" t="str">
        <f t="shared" si="85"/>
        <v>510511</v>
      </c>
      <c r="J1848" s="65" t="str">
        <f t="shared" si="86"/>
        <v>510511</v>
      </c>
    </row>
    <row r="1849" spans="1:10" x14ac:dyDescent="0.3">
      <c r="A1849" s="27" t="s">
        <v>1869</v>
      </c>
      <c r="D1849" s="27" t="s">
        <v>2255</v>
      </c>
      <c r="E1849" s="27" t="s">
        <v>2232</v>
      </c>
      <c r="F1849" s="27" t="str">
        <f>"51.0512"</f>
        <v>51.0512</v>
      </c>
      <c r="G1849" s="27" t="s">
        <v>4919</v>
      </c>
      <c r="H1849" s="65" t="str">
        <f t="shared" si="84"/>
        <v>Other</v>
      </c>
      <c r="I1849" s="65" t="str">
        <f t="shared" si="85"/>
        <v/>
      </c>
      <c r="J1849" s="65" t="str">
        <f t="shared" si="86"/>
        <v>510512</v>
      </c>
    </row>
    <row r="1850" spans="1:10" x14ac:dyDescent="0.3">
      <c r="A1850" s="27" t="s">
        <v>1869</v>
      </c>
      <c r="D1850" s="27" t="s">
        <v>2255</v>
      </c>
      <c r="E1850" s="27" t="s">
        <v>2232</v>
      </c>
      <c r="F1850" s="27" t="str">
        <f>"51.0513"</f>
        <v>51.0513</v>
      </c>
      <c r="G1850" s="27" t="s">
        <v>4920</v>
      </c>
      <c r="H1850" s="65" t="str">
        <f t="shared" si="84"/>
        <v>Other</v>
      </c>
      <c r="I1850" s="65" t="str">
        <f t="shared" si="85"/>
        <v/>
      </c>
      <c r="J1850" s="65" t="str">
        <f t="shared" si="86"/>
        <v>510513</v>
      </c>
    </row>
    <row r="1851" spans="1:10" x14ac:dyDescent="0.3">
      <c r="A1851" s="27" t="s">
        <v>1869</v>
      </c>
      <c r="D1851" s="27" t="s">
        <v>2255</v>
      </c>
      <c r="E1851" s="27" t="s">
        <v>2232</v>
      </c>
      <c r="F1851" s="27" t="str">
        <f>"51.0514"</f>
        <v>51.0514</v>
      </c>
      <c r="G1851" s="27" t="s">
        <v>4921</v>
      </c>
      <c r="H1851" s="65" t="str">
        <f t="shared" si="84"/>
        <v>Other</v>
      </c>
      <c r="I1851" s="65" t="str">
        <f t="shared" si="85"/>
        <v/>
      </c>
      <c r="J1851" s="65" t="str">
        <f t="shared" si="86"/>
        <v>510514</v>
      </c>
    </row>
    <row r="1852" spans="1:10" x14ac:dyDescent="0.3">
      <c r="A1852" s="27" t="s">
        <v>4922</v>
      </c>
      <c r="B1852" s="27" t="str">
        <f>"51.0599"</f>
        <v>51.0599</v>
      </c>
      <c r="C1852" s="64" t="s">
        <v>4923</v>
      </c>
      <c r="D1852" s="27" t="s">
        <v>2229</v>
      </c>
      <c r="E1852" s="27" t="s">
        <v>2232</v>
      </c>
      <c r="F1852" s="27" t="str">
        <f>"51.0599"</f>
        <v>51.0599</v>
      </c>
      <c r="G1852" s="27" t="s">
        <v>4923</v>
      </c>
      <c r="H1852" s="65" t="str">
        <f t="shared" si="84"/>
        <v>No Change</v>
      </c>
      <c r="I1852" s="65" t="str">
        <f t="shared" si="85"/>
        <v>510599</v>
      </c>
      <c r="J1852" s="65" t="str">
        <f t="shared" si="86"/>
        <v>510599</v>
      </c>
    </row>
    <row r="1853" spans="1:10" x14ac:dyDescent="0.3">
      <c r="A1853" s="27" t="s">
        <v>1869</v>
      </c>
      <c r="B1853" s="27" t="str">
        <f>"51.06"</f>
        <v>51.06</v>
      </c>
      <c r="C1853" s="64" t="s">
        <v>4924</v>
      </c>
      <c r="D1853" s="27" t="s">
        <v>2229</v>
      </c>
      <c r="E1853" s="27" t="s">
        <v>2232</v>
      </c>
      <c r="F1853" s="27" t="str">
        <f>"51.06"</f>
        <v>51.06</v>
      </c>
      <c r="G1853" s="27" t="s">
        <v>4924</v>
      </c>
      <c r="H1853" s="65" t="str">
        <f t="shared" si="84"/>
        <v>No Change</v>
      </c>
      <c r="I1853" s="65" t="str">
        <f t="shared" si="85"/>
        <v/>
      </c>
      <c r="J1853" s="65" t="str">
        <f t="shared" si="86"/>
        <v/>
      </c>
    </row>
    <row r="1854" spans="1:10" x14ac:dyDescent="0.3">
      <c r="A1854" s="27" t="s">
        <v>526</v>
      </c>
      <c r="B1854" s="27" t="str">
        <f>"51.0601"</f>
        <v>51.0601</v>
      </c>
      <c r="C1854" s="64" t="s">
        <v>527</v>
      </c>
      <c r="D1854" s="27" t="s">
        <v>2229</v>
      </c>
      <c r="E1854" s="27" t="s">
        <v>2232</v>
      </c>
      <c r="F1854" s="27" t="str">
        <f>"51.0601"</f>
        <v>51.0601</v>
      </c>
      <c r="G1854" s="27" t="s">
        <v>527</v>
      </c>
      <c r="H1854" s="65" t="str">
        <f t="shared" si="84"/>
        <v>No Change</v>
      </c>
      <c r="I1854" s="65" t="str">
        <f t="shared" si="85"/>
        <v>510601</v>
      </c>
      <c r="J1854" s="65" t="str">
        <f t="shared" si="86"/>
        <v>510601</v>
      </c>
    </row>
    <row r="1855" spans="1:10" x14ac:dyDescent="0.3">
      <c r="A1855" s="27" t="s">
        <v>85</v>
      </c>
      <c r="B1855" s="27" t="str">
        <f>"51.0602"</f>
        <v>51.0602</v>
      </c>
      <c r="C1855" s="64" t="s">
        <v>86</v>
      </c>
      <c r="D1855" s="27" t="s">
        <v>2229</v>
      </c>
      <c r="E1855" s="27" t="s">
        <v>2232</v>
      </c>
      <c r="F1855" s="27" t="str">
        <f>"51.0602"</f>
        <v>51.0602</v>
      </c>
      <c r="G1855" s="27" t="s">
        <v>86</v>
      </c>
      <c r="H1855" s="65" t="str">
        <f t="shared" si="84"/>
        <v>No Change</v>
      </c>
      <c r="I1855" s="65" t="str">
        <f t="shared" si="85"/>
        <v>510602</v>
      </c>
      <c r="J1855" s="65" t="str">
        <f t="shared" si="86"/>
        <v>510602</v>
      </c>
    </row>
    <row r="1856" spans="1:10" x14ac:dyDescent="0.3">
      <c r="A1856" s="27" t="s">
        <v>1258</v>
      </c>
      <c r="B1856" s="27" t="str">
        <f>"51.0603"</f>
        <v>51.0603</v>
      </c>
      <c r="C1856" s="64" t="s">
        <v>1259</v>
      </c>
      <c r="D1856" s="27" t="s">
        <v>2229</v>
      </c>
      <c r="E1856" s="27" t="s">
        <v>2232</v>
      </c>
      <c r="F1856" s="27" t="str">
        <f>"51.0603"</f>
        <v>51.0603</v>
      </c>
      <c r="G1856" s="27" t="s">
        <v>1259</v>
      </c>
      <c r="H1856" s="65" t="str">
        <f t="shared" si="84"/>
        <v>No Change</v>
      </c>
      <c r="I1856" s="65" t="str">
        <f t="shared" si="85"/>
        <v>510603</v>
      </c>
      <c r="J1856" s="65" t="str">
        <f t="shared" si="86"/>
        <v>510603</v>
      </c>
    </row>
    <row r="1857" spans="1:10" x14ac:dyDescent="0.3">
      <c r="A1857" s="27" t="s">
        <v>4925</v>
      </c>
      <c r="B1857" s="27" t="str">
        <f>"51.0699"</f>
        <v>51.0699</v>
      </c>
      <c r="C1857" s="64" t="s">
        <v>4926</v>
      </c>
      <c r="D1857" s="27" t="s">
        <v>2229</v>
      </c>
      <c r="E1857" s="27" t="s">
        <v>2232</v>
      </c>
      <c r="F1857" s="27" t="str">
        <f>"51.0699"</f>
        <v>51.0699</v>
      </c>
      <c r="G1857" s="27" t="s">
        <v>4926</v>
      </c>
      <c r="H1857" s="65" t="str">
        <f t="shared" si="84"/>
        <v>No Change</v>
      </c>
      <c r="I1857" s="65" t="str">
        <f t="shared" si="85"/>
        <v>510699</v>
      </c>
      <c r="J1857" s="65" t="str">
        <f t="shared" si="86"/>
        <v>510699</v>
      </c>
    </row>
    <row r="1858" spans="1:10" x14ac:dyDescent="0.3">
      <c r="A1858" s="27" t="s">
        <v>1869</v>
      </c>
      <c r="B1858" s="27" t="str">
        <f>"51.07"</f>
        <v>51.07</v>
      </c>
      <c r="C1858" s="64" t="s">
        <v>4927</v>
      </c>
      <c r="D1858" s="27" t="s">
        <v>2229</v>
      </c>
      <c r="E1858" s="27" t="s">
        <v>2232</v>
      </c>
      <c r="F1858" s="27" t="str">
        <f>"51.07"</f>
        <v>51.07</v>
      </c>
      <c r="G1858" s="27" t="s">
        <v>4927</v>
      </c>
      <c r="H1858" s="65" t="str">
        <f t="shared" si="84"/>
        <v>No Change</v>
      </c>
      <c r="I1858" s="65" t="str">
        <f t="shared" si="85"/>
        <v/>
      </c>
      <c r="J1858" s="65" t="str">
        <f t="shared" si="86"/>
        <v/>
      </c>
    </row>
    <row r="1859" spans="1:10" x14ac:dyDescent="0.3">
      <c r="A1859" s="27" t="s">
        <v>613</v>
      </c>
      <c r="B1859" s="27" t="str">
        <f>"51.0701"</f>
        <v>51.0701</v>
      </c>
      <c r="C1859" s="64" t="s">
        <v>614</v>
      </c>
      <c r="D1859" s="27" t="s">
        <v>2229</v>
      </c>
      <c r="E1859" s="27" t="s">
        <v>2232</v>
      </c>
      <c r="F1859" s="27" t="str">
        <f>"51.0701"</f>
        <v>51.0701</v>
      </c>
      <c r="G1859" s="27" t="s">
        <v>614</v>
      </c>
      <c r="H1859" s="65" t="str">
        <f t="shared" ref="H1859:H1922" si="87">IF(I1859=J1859,"No Change","Other")</f>
        <v>No Change</v>
      </c>
      <c r="I1859" s="65" t="str">
        <f t="shared" ref="I1859:I1922" si="88">SUBSTITUTE(IF(SUM(LEN(B1859))&lt;7,"",B1859),".","")</f>
        <v>510701</v>
      </c>
      <c r="J1859" s="65" t="str">
        <f t="shared" ref="J1859:J1922" si="89">SUBSTITUTE(IF(SUM(LEN(F1859))&lt;7,"",F1859),".","")</f>
        <v>510701</v>
      </c>
    </row>
    <row r="1860" spans="1:10" ht="28.8" x14ac:dyDescent="0.3">
      <c r="A1860" s="27" t="s">
        <v>620</v>
      </c>
      <c r="B1860" s="27" t="str">
        <f>"51.0702"</f>
        <v>51.0702</v>
      </c>
      <c r="C1860" s="64" t="s">
        <v>621</v>
      </c>
      <c r="D1860" s="27" t="s">
        <v>2229</v>
      </c>
      <c r="E1860" s="27" t="s">
        <v>2232</v>
      </c>
      <c r="F1860" s="27" t="str">
        <f>"51.0702"</f>
        <v>51.0702</v>
      </c>
      <c r="G1860" s="27" t="s">
        <v>621</v>
      </c>
      <c r="H1860" s="65" t="str">
        <f t="shared" si="87"/>
        <v>No Change</v>
      </c>
      <c r="I1860" s="65" t="str">
        <f t="shared" si="88"/>
        <v>510702</v>
      </c>
      <c r="J1860" s="65" t="str">
        <f t="shared" si="89"/>
        <v>510702</v>
      </c>
    </row>
    <row r="1861" spans="1:10" x14ac:dyDescent="0.3">
      <c r="A1861" s="27" t="s">
        <v>762</v>
      </c>
      <c r="B1861" s="27" t="str">
        <f>"51.0703"</f>
        <v>51.0703</v>
      </c>
      <c r="C1861" s="64" t="s">
        <v>763</v>
      </c>
      <c r="D1861" s="27" t="s">
        <v>2229</v>
      </c>
      <c r="E1861" s="27" t="s">
        <v>2232</v>
      </c>
      <c r="F1861" s="27" t="str">
        <f>"51.0703"</f>
        <v>51.0703</v>
      </c>
      <c r="G1861" s="27" t="s">
        <v>763</v>
      </c>
      <c r="H1861" s="65" t="str">
        <f t="shared" si="87"/>
        <v>No Change</v>
      </c>
      <c r="I1861" s="65" t="str">
        <f t="shared" si="88"/>
        <v>510703</v>
      </c>
      <c r="J1861" s="65" t="str">
        <f t="shared" si="89"/>
        <v>510703</v>
      </c>
    </row>
    <row r="1862" spans="1:10" x14ac:dyDescent="0.3">
      <c r="A1862" s="27" t="s">
        <v>4928</v>
      </c>
      <c r="B1862" s="27" t="str">
        <f>"51.0704"</f>
        <v>51.0704</v>
      </c>
      <c r="C1862" s="64" t="s">
        <v>4929</v>
      </c>
      <c r="D1862" s="27" t="s">
        <v>2229</v>
      </c>
      <c r="E1862" s="27" t="s">
        <v>2232</v>
      </c>
      <c r="F1862" s="27" t="str">
        <f>"51.0704"</f>
        <v>51.0704</v>
      </c>
      <c r="G1862" s="27" t="s">
        <v>4929</v>
      </c>
      <c r="H1862" s="65" t="str">
        <f t="shared" si="87"/>
        <v>No Change</v>
      </c>
      <c r="I1862" s="65" t="str">
        <f t="shared" si="88"/>
        <v>510704</v>
      </c>
      <c r="J1862" s="65" t="str">
        <f t="shared" si="89"/>
        <v>510704</v>
      </c>
    </row>
    <row r="1863" spans="1:10" x14ac:dyDescent="0.3">
      <c r="A1863" s="27" t="s">
        <v>4930</v>
      </c>
      <c r="B1863" s="27" t="str">
        <f>"51.0705"</f>
        <v>51.0705</v>
      </c>
      <c r="C1863" s="64" t="s">
        <v>4931</v>
      </c>
      <c r="D1863" s="27" t="s">
        <v>2229</v>
      </c>
      <c r="E1863" s="27" t="s">
        <v>2232</v>
      </c>
      <c r="F1863" s="27" t="str">
        <f>"51.0705"</f>
        <v>51.0705</v>
      </c>
      <c r="G1863" s="27" t="s">
        <v>4931</v>
      </c>
      <c r="H1863" s="65" t="str">
        <f t="shared" si="87"/>
        <v>No Change</v>
      </c>
      <c r="I1863" s="65" t="str">
        <f t="shared" si="88"/>
        <v>510705</v>
      </c>
      <c r="J1863" s="65" t="str">
        <f t="shared" si="89"/>
        <v>510705</v>
      </c>
    </row>
    <row r="1864" spans="1:10" ht="28.8" x14ac:dyDescent="0.3">
      <c r="A1864" s="27" t="s">
        <v>4932</v>
      </c>
      <c r="B1864" s="27" t="str">
        <f>"51.0706"</f>
        <v>51.0706</v>
      </c>
      <c r="C1864" s="64" t="s">
        <v>4933</v>
      </c>
      <c r="D1864" s="27" t="s">
        <v>2229</v>
      </c>
      <c r="E1864" s="27" t="s">
        <v>2232</v>
      </c>
      <c r="F1864" s="27" t="str">
        <f>"51.0706"</f>
        <v>51.0706</v>
      </c>
      <c r="G1864" s="27" t="s">
        <v>4933</v>
      </c>
      <c r="H1864" s="65" t="str">
        <f t="shared" si="87"/>
        <v>No Change</v>
      </c>
      <c r="I1864" s="65" t="str">
        <f t="shared" si="88"/>
        <v>510706</v>
      </c>
      <c r="J1864" s="65" t="str">
        <f t="shared" si="89"/>
        <v>510706</v>
      </c>
    </row>
    <row r="1865" spans="1:10" x14ac:dyDescent="0.3">
      <c r="A1865" s="27" t="s">
        <v>196</v>
      </c>
      <c r="B1865" s="27" t="str">
        <f>"51.0707"</f>
        <v>51.0707</v>
      </c>
      <c r="C1865" s="64" t="s">
        <v>197</v>
      </c>
      <c r="D1865" s="27" t="s">
        <v>2229</v>
      </c>
      <c r="E1865" s="27" t="s">
        <v>2232</v>
      </c>
      <c r="F1865" s="27" t="str">
        <f>"51.0707"</f>
        <v>51.0707</v>
      </c>
      <c r="G1865" s="27" t="s">
        <v>197</v>
      </c>
      <c r="H1865" s="65" t="str">
        <f t="shared" si="87"/>
        <v>No Change</v>
      </c>
      <c r="I1865" s="65" t="str">
        <f t="shared" si="88"/>
        <v>510707</v>
      </c>
      <c r="J1865" s="65" t="str">
        <f t="shared" si="89"/>
        <v>510707</v>
      </c>
    </row>
    <row r="1866" spans="1:10" x14ac:dyDescent="0.3">
      <c r="A1866" s="27" t="s">
        <v>4934</v>
      </c>
      <c r="B1866" s="27" t="str">
        <f>"51.0708"</f>
        <v>51.0708</v>
      </c>
      <c r="C1866" s="64" t="s">
        <v>4935</v>
      </c>
      <c r="D1866" s="27" t="s">
        <v>2229</v>
      </c>
      <c r="E1866" s="27" t="s">
        <v>2232</v>
      </c>
      <c r="F1866" s="27" t="str">
        <f>"51.0708"</f>
        <v>51.0708</v>
      </c>
      <c r="G1866" s="27" t="s">
        <v>4935</v>
      </c>
      <c r="H1866" s="65" t="str">
        <f t="shared" si="87"/>
        <v>No Change</v>
      </c>
      <c r="I1866" s="65" t="str">
        <f t="shared" si="88"/>
        <v>510708</v>
      </c>
      <c r="J1866" s="65" t="str">
        <f t="shared" si="89"/>
        <v>510708</v>
      </c>
    </row>
    <row r="1867" spans="1:10" x14ac:dyDescent="0.3">
      <c r="A1867" s="27" t="s">
        <v>4936</v>
      </c>
      <c r="B1867" s="27" t="str">
        <f>"51.0709"</f>
        <v>51.0709</v>
      </c>
      <c r="C1867" s="64" t="s">
        <v>4937</v>
      </c>
      <c r="D1867" s="27" t="s">
        <v>2229</v>
      </c>
      <c r="E1867" s="27" t="s">
        <v>2232</v>
      </c>
      <c r="F1867" s="27" t="str">
        <f>"51.0709"</f>
        <v>51.0709</v>
      </c>
      <c r="G1867" s="27" t="s">
        <v>4937</v>
      </c>
      <c r="H1867" s="65" t="str">
        <f t="shared" si="87"/>
        <v>No Change</v>
      </c>
      <c r="I1867" s="65" t="str">
        <f t="shared" si="88"/>
        <v>510709</v>
      </c>
      <c r="J1867" s="65" t="str">
        <f t="shared" si="89"/>
        <v>510709</v>
      </c>
    </row>
    <row r="1868" spans="1:10" x14ac:dyDescent="0.3">
      <c r="A1868" s="27" t="s">
        <v>4938</v>
      </c>
      <c r="B1868" s="27" t="str">
        <f>"51.0710"</f>
        <v>51.0710</v>
      </c>
      <c r="C1868" s="64" t="s">
        <v>4939</v>
      </c>
      <c r="D1868" s="27" t="s">
        <v>2229</v>
      </c>
      <c r="E1868" s="27" t="s">
        <v>2232</v>
      </c>
      <c r="F1868" s="27" t="str">
        <f>"51.0710"</f>
        <v>51.0710</v>
      </c>
      <c r="G1868" s="27" t="s">
        <v>4939</v>
      </c>
      <c r="H1868" s="65" t="str">
        <f t="shared" si="87"/>
        <v>No Change</v>
      </c>
      <c r="I1868" s="65" t="str">
        <f t="shared" si="88"/>
        <v>510710</v>
      </c>
      <c r="J1868" s="65" t="str">
        <f t="shared" si="89"/>
        <v>510710</v>
      </c>
    </row>
    <row r="1869" spans="1:10" x14ac:dyDescent="0.3">
      <c r="A1869" s="27" t="s">
        <v>4940</v>
      </c>
      <c r="B1869" s="27" t="str">
        <f>"51.0711"</f>
        <v>51.0711</v>
      </c>
      <c r="C1869" s="64" t="s">
        <v>4941</v>
      </c>
      <c r="D1869" s="27" t="s">
        <v>2229</v>
      </c>
      <c r="E1869" s="27" t="s">
        <v>2232</v>
      </c>
      <c r="F1869" s="27" t="str">
        <f>"51.0711"</f>
        <v>51.0711</v>
      </c>
      <c r="G1869" s="27" t="s">
        <v>4941</v>
      </c>
      <c r="H1869" s="65" t="str">
        <f t="shared" si="87"/>
        <v>No Change</v>
      </c>
      <c r="I1869" s="65" t="str">
        <f t="shared" si="88"/>
        <v>510711</v>
      </c>
      <c r="J1869" s="65" t="str">
        <f t="shared" si="89"/>
        <v>510711</v>
      </c>
    </row>
    <row r="1870" spans="1:10" x14ac:dyDescent="0.3">
      <c r="A1870" s="27" t="s">
        <v>4942</v>
      </c>
      <c r="B1870" s="27" t="str">
        <f>"51.0712"</f>
        <v>51.0712</v>
      </c>
      <c r="C1870" s="64" t="s">
        <v>4943</v>
      </c>
      <c r="D1870" s="27" t="s">
        <v>2229</v>
      </c>
      <c r="E1870" s="27" t="s">
        <v>2232</v>
      </c>
      <c r="F1870" s="27" t="str">
        <f>"51.0712"</f>
        <v>51.0712</v>
      </c>
      <c r="G1870" s="27" t="s">
        <v>4943</v>
      </c>
      <c r="H1870" s="65" t="str">
        <f t="shared" si="87"/>
        <v>No Change</v>
      </c>
      <c r="I1870" s="65" t="str">
        <f t="shared" si="88"/>
        <v>510712</v>
      </c>
      <c r="J1870" s="65" t="str">
        <f t="shared" si="89"/>
        <v>510712</v>
      </c>
    </row>
    <row r="1871" spans="1:10" x14ac:dyDescent="0.3">
      <c r="A1871" s="27" t="s">
        <v>4944</v>
      </c>
      <c r="B1871" s="27" t="str">
        <f>"51.0713"</f>
        <v>51.0713</v>
      </c>
      <c r="C1871" s="64" t="s">
        <v>4945</v>
      </c>
      <c r="D1871" s="27" t="s">
        <v>2229</v>
      </c>
      <c r="E1871" s="27" t="s">
        <v>2232</v>
      </c>
      <c r="F1871" s="27" t="str">
        <f>"51.0713"</f>
        <v>51.0713</v>
      </c>
      <c r="G1871" s="27" t="s">
        <v>4945</v>
      </c>
      <c r="H1871" s="65" t="str">
        <f t="shared" si="87"/>
        <v>No Change</v>
      </c>
      <c r="I1871" s="65" t="str">
        <f t="shared" si="88"/>
        <v>510713</v>
      </c>
      <c r="J1871" s="65" t="str">
        <f t="shared" si="89"/>
        <v>510713</v>
      </c>
    </row>
    <row r="1872" spans="1:10" x14ac:dyDescent="0.3">
      <c r="A1872" s="27" t="s">
        <v>4946</v>
      </c>
      <c r="B1872" s="27" t="str">
        <f>"51.0714"</f>
        <v>51.0714</v>
      </c>
      <c r="C1872" s="64" t="s">
        <v>4947</v>
      </c>
      <c r="D1872" s="27" t="s">
        <v>2229</v>
      </c>
      <c r="E1872" s="27" t="s">
        <v>2232</v>
      </c>
      <c r="F1872" s="27" t="str">
        <f>"51.0714"</f>
        <v>51.0714</v>
      </c>
      <c r="G1872" s="27" t="s">
        <v>4947</v>
      </c>
      <c r="H1872" s="65" t="str">
        <f t="shared" si="87"/>
        <v>No Change</v>
      </c>
      <c r="I1872" s="65" t="str">
        <f t="shared" si="88"/>
        <v>510714</v>
      </c>
      <c r="J1872" s="65" t="str">
        <f t="shared" si="89"/>
        <v>510714</v>
      </c>
    </row>
    <row r="1873" spans="1:10" x14ac:dyDescent="0.3">
      <c r="A1873" s="27" t="s">
        <v>4948</v>
      </c>
      <c r="B1873" s="27" t="str">
        <f>"51.0715"</f>
        <v>51.0715</v>
      </c>
      <c r="C1873" s="64" t="s">
        <v>4949</v>
      </c>
      <c r="D1873" s="27" t="s">
        <v>2229</v>
      </c>
      <c r="E1873" s="27" t="s">
        <v>2232</v>
      </c>
      <c r="F1873" s="27" t="str">
        <f>"51.0715"</f>
        <v>51.0715</v>
      </c>
      <c r="G1873" s="27" t="s">
        <v>4949</v>
      </c>
      <c r="H1873" s="65" t="str">
        <f t="shared" si="87"/>
        <v>No Change</v>
      </c>
      <c r="I1873" s="65" t="str">
        <f t="shared" si="88"/>
        <v>510715</v>
      </c>
      <c r="J1873" s="65" t="str">
        <f t="shared" si="89"/>
        <v>510715</v>
      </c>
    </row>
    <row r="1874" spans="1:10" ht="28.8" x14ac:dyDescent="0.3">
      <c r="A1874" s="27" t="s">
        <v>423</v>
      </c>
      <c r="B1874" s="27" t="str">
        <f>"51.0716"</f>
        <v>51.0716</v>
      </c>
      <c r="C1874" s="64" t="s">
        <v>424</v>
      </c>
      <c r="D1874" s="27" t="s">
        <v>2229</v>
      </c>
      <c r="E1874" s="27" t="s">
        <v>2232</v>
      </c>
      <c r="F1874" s="27" t="str">
        <f>"51.0716"</f>
        <v>51.0716</v>
      </c>
      <c r="G1874" s="27" t="s">
        <v>424</v>
      </c>
      <c r="H1874" s="65" t="str">
        <f t="shared" si="87"/>
        <v>No Change</v>
      </c>
      <c r="I1874" s="65" t="str">
        <f t="shared" si="88"/>
        <v>510716</v>
      </c>
      <c r="J1874" s="65" t="str">
        <f t="shared" si="89"/>
        <v>510716</v>
      </c>
    </row>
    <row r="1875" spans="1:10" x14ac:dyDescent="0.3">
      <c r="A1875" s="27" t="s">
        <v>4950</v>
      </c>
      <c r="B1875" s="27" t="str">
        <f>"51.0717"</f>
        <v>51.0717</v>
      </c>
      <c r="C1875" s="64" t="s">
        <v>4951</v>
      </c>
      <c r="D1875" s="27" t="s">
        <v>2229</v>
      </c>
      <c r="E1875" s="27" t="s">
        <v>2232</v>
      </c>
      <c r="F1875" s="27" t="str">
        <f>"51.0717"</f>
        <v>51.0717</v>
      </c>
      <c r="G1875" s="27" t="s">
        <v>4951</v>
      </c>
      <c r="H1875" s="65" t="str">
        <f t="shared" si="87"/>
        <v>No Change</v>
      </c>
      <c r="I1875" s="65" t="str">
        <f t="shared" si="88"/>
        <v>510717</v>
      </c>
      <c r="J1875" s="65" t="str">
        <f t="shared" si="89"/>
        <v>510717</v>
      </c>
    </row>
    <row r="1876" spans="1:10" x14ac:dyDescent="0.3">
      <c r="A1876" s="27" t="s">
        <v>4952</v>
      </c>
      <c r="B1876" s="27" t="str">
        <f>"51.0718"</f>
        <v>51.0718</v>
      </c>
      <c r="C1876" s="64" t="s">
        <v>4953</v>
      </c>
      <c r="D1876" s="27" t="s">
        <v>2229</v>
      </c>
      <c r="E1876" s="27" t="s">
        <v>2232</v>
      </c>
      <c r="F1876" s="27" t="str">
        <f>"51.0718"</f>
        <v>51.0718</v>
      </c>
      <c r="G1876" s="27" t="s">
        <v>4953</v>
      </c>
      <c r="H1876" s="65" t="str">
        <f t="shared" si="87"/>
        <v>No Change</v>
      </c>
      <c r="I1876" s="65" t="str">
        <f t="shared" si="88"/>
        <v>510718</v>
      </c>
      <c r="J1876" s="65" t="str">
        <f t="shared" si="89"/>
        <v>510718</v>
      </c>
    </row>
    <row r="1877" spans="1:10" x14ac:dyDescent="0.3">
      <c r="A1877" s="27" t="s">
        <v>888</v>
      </c>
      <c r="B1877" s="27" t="str">
        <f>"51.0719"</f>
        <v>51.0719</v>
      </c>
      <c r="C1877" s="64" t="s">
        <v>889</v>
      </c>
      <c r="D1877" s="27" t="s">
        <v>2229</v>
      </c>
      <c r="E1877" s="27" t="s">
        <v>2232</v>
      </c>
      <c r="F1877" s="27" t="str">
        <f>"51.0719"</f>
        <v>51.0719</v>
      </c>
      <c r="G1877" s="27" t="s">
        <v>889</v>
      </c>
      <c r="H1877" s="65" t="str">
        <f t="shared" si="87"/>
        <v>No Change</v>
      </c>
      <c r="I1877" s="65" t="str">
        <f t="shared" si="88"/>
        <v>510719</v>
      </c>
      <c r="J1877" s="65" t="str">
        <f t="shared" si="89"/>
        <v>510719</v>
      </c>
    </row>
    <row r="1878" spans="1:10" x14ac:dyDescent="0.3">
      <c r="A1878" s="27" t="s">
        <v>1869</v>
      </c>
      <c r="D1878" s="27" t="s">
        <v>2255</v>
      </c>
      <c r="E1878" s="27" t="s">
        <v>2232</v>
      </c>
      <c r="F1878" s="27" t="str">
        <f>"51.0720"</f>
        <v>51.0720</v>
      </c>
      <c r="G1878" s="27" t="s">
        <v>4954</v>
      </c>
      <c r="H1878" s="65" t="str">
        <f t="shared" si="87"/>
        <v>Other</v>
      </c>
      <c r="I1878" s="65" t="str">
        <f t="shared" si="88"/>
        <v/>
      </c>
      <c r="J1878" s="65" t="str">
        <f t="shared" si="89"/>
        <v>510720</v>
      </c>
    </row>
    <row r="1879" spans="1:10" x14ac:dyDescent="0.3">
      <c r="A1879" s="27" t="s">
        <v>1869</v>
      </c>
      <c r="D1879" s="27" t="s">
        <v>2255</v>
      </c>
      <c r="E1879" s="27" t="s">
        <v>2232</v>
      </c>
      <c r="F1879" s="27" t="str">
        <f>"51.0721"</f>
        <v>51.0721</v>
      </c>
      <c r="G1879" s="27" t="s">
        <v>4955</v>
      </c>
      <c r="H1879" s="65" t="str">
        <f t="shared" si="87"/>
        <v>Other</v>
      </c>
      <c r="I1879" s="65" t="str">
        <f t="shared" si="88"/>
        <v/>
      </c>
      <c r="J1879" s="65" t="str">
        <f t="shared" si="89"/>
        <v>510721</v>
      </c>
    </row>
    <row r="1880" spans="1:10" x14ac:dyDescent="0.3">
      <c r="A1880" s="27" t="s">
        <v>1869</v>
      </c>
      <c r="D1880" s="27" t="s">
        <v>2255</v>
      </c>
      <c r="E1880" s="27" t="s">
        <v>2232</v>
      </c>
      <c r="F1880" s="27" t="str">
        <f>"51.0722"</f>
        <v>51.0722</v>
      </c>
      <c r="G1880" s="27" t="s">
        <v>4956</v>
      </c>
      <c r="H1880" s="65" t="str">
        <f t="shared" si="87"/>
        <v>Other</v>
      </c>
      <c r="I1880" s="65" t="str">
        <f t="shared" si="88"/>
        <v/>
      </c>
      <c r="J1880" s="65" t="str">
        <f t="shared" si="89"/>
        <v>510722</v>
      </c>
    </row>
    <row r="1881" spans="1:10" x14ac:dyDescent="0.3">
      <c r="A1881" s="27" t="s">
        <v>1869</v>
      </c>
      <c r="D1881" s="27" t="s">
        <v>2255</v>
      </c>
      <c r="E1881" s="27" t="s">
        <v>2232</v>
      </c>
      <c r="F1881" s="27" t="str">
        <f>"51.0723"</f>
        <v>51.0723</v>
      </c>
      <c r="G1881" s="27" t="s">
        <v>4957</v>
      </c>
      <c r="H1881" s="65" t="str">
        <f t="shared" si="87"/>
        <v>Other</v>
      </c>
      <c r="I1881" s="65" t="str">
        <f t="shared" si="88"/>
        <v/>
      </c>
      <c r="J1881" s="65" t="str">
        <f t="shared" si="89"/>
        <v>510723</v>
      </c>
    </row>
    <row r="1882" spans="1:10" x14ac:dyDescent="0.3">
      <c r="A1882" s="27" t="s">
        <v>4958</v>
      </c>
      <c r="B1882" s="27" t="str">
        <f>"51.0799"</f>
        <v>51.0799</v>
      </c>
      <c r="C1882" s="64" t="s">
        <v>4959</v>
      </c>
      <c r="D1882" s="27" t="s">
        <v>2229</v>
      </c>
      <c r="E1882" s="27" t="s">
        <v>2232</v>
      </c>
      <c r="F1882" s="27" t="str">
        <f>"51.0799"</f>
        <v>51.0799</v>
      </c>
      <c r="G1882" s="27" t="s">
        <v>4959</v>
      </c>
      <c r="H1882" s="65" t="str">
        <f t="shared" si="87"/>
        <v>No Change</v>
      </c>
      <c r="I1882" s="65" t="str">
        <f t="shared" si="88"/>
        <v>510799</v>
      </c>
      <c r="J1882" s="65" t="str">
        <f t="shared" si="89"/>
        <v>510799</v>
      </c>
    </row>
    <row r="1883" spans="1:10" x14ac:dyDescent="0.3">
      <c r="A1883" s="27" t="s">
        <v>1869</v>
      </c>
      <c r="B1883" s="27" t="str">
        <f>"51.08"</f>
        <v>51.08</v>
      </c>
      <c r="C1883" s="64" t="s">
        <v>4960</v>
      </c>
      <c r="D1883" s="27" t="s">
        <v>2229</v>
      </c>
      <c r="E1883" s="27" t="s">
        <v>2232</v>
      </c>
      <c r="F1883" s="27" t="str">
        <f>"51.08"</f>
        <v>51.08</v>
      </c>
      <c r="G1883" s="27" t="s">
        <v>4960</v>
      </c>
      <c r="H1883" s="65" t="str">
        <f t="shared" si="87"/>
        <v>No Change</v>
      </c>
      <c r="I1883" s="65" t="str">
        <f t="shared" si="88"/>
        <v/>
      </c>
      <c r="J1883" s="65" t="str">
        <f t="shared" si="89"/>
        <v/>
      </c>
    </row>
    <row r="1884" spans="1:10" x14ac:dyDescent="0.3">
      <c r="A1884" s="27" t="s">
        <v>200</v>
      </c>
      <c r="B1884" s="27" t="str">
        <f>"51.0801"</f>
        <v>51.0801</v>
      </c>
      <c r="C1884" s="64" t="s">
        <v>201</v>
      </c>
      <c r="D1884" s="27" t="s">
        <v>2229</v>
      </c>
      <c r="E1884" s="27" t="s">
        <v>2232</v>
      </c>
      <c r="F1884" s="27" t="str">
        <f>"51.0801"</f>
        <v>51.0801</v>
      </c>
      <c r="G1884" s="27" t="s">
        <v>201</v>
      </c>
      <c r="H1884" s="65" t="str">
        <f t="shared" si="87"/>
        <v>No Change</v>
      </c>
      <c r="I1884" s="65" t="str">
        <f t="shared" si="88"/>
        <v>510801</v>
      </c>
      <c r="J1884" s="65" t="str">
        <f t="shared" si="89"/>
        <v>510801</v>
      </c>
    </row>
    <row r="1885" spans="1:10" x14ac:dyDescent="0.3">
      <c r="A1885" s="27" t="s">
        <v>1275</v>
      </c>
      <c r="B1885" s="27" t="str">
        <f>"51.0802"</f>
        <v>51.0802</v>
      </c>
      <c r="C1885" s="64" t="s">
        <v>1276</v>
      </c>
      <c r="D1885" s="27" t="s">
        <v>2229</v>
      </c>
      <c r="E1885" s="27" t="s">
        <v>2232</v>
      </c>
      <c r="F1885" s="27" t="str">
        <f>"51.0802"</f>
        <v>51.0802</v>
      </c>
      <c r="G1885" s="27" t="s">
        <v>1276</v>
      </c>
      <c r="H1885" s="65" t="str">
        <f t="shared" si="87"/>
        <v>No Change</v>
      </c>
      <c r="I1885" s="65" t="str">
        <f t="shared" si="88"/>
        <v>510802</v>
      </c>
      <c r="J1885" s="65" t="str">
        <f t="shared" si="89"/>
        <v>510802</v>
      </c>
    </row>
    <row r="1886" spans="1:10" x14ac:dyDescent="0.3">
      <c r="A1886" s="27" t="s">
        <v>459</v>
      </c>
      <c r="B1886" s="27" t="str">
        <f>"51.0803"</f>
        <v>51.0803</v>
      </c>
      <c r="C1886" s="64" t="s">
        <v>460</v>
      </c>
      <c r="D1886" s="27" t="s">
        <v>2229</v>
      </c>
      <c r="E1886" s="27" t="s">
        <v>2232</v>
      </c>
      <c r="F1886" s="27" t="str">
        <f>"51.0803"</f>
        <v>51.0803</v>
      </c>
      <c r="G1886" s="27" t="s">
        <v>460</v>
      </c>
      <c r="H1886" s="65" t="str">
        <f t="shared" si="87"/>
        <v>No Change</v>
      </c>
      <c r="I1886" s="65" t="str">
        <f t="shared" si="88"/>
        <v>510803</v>
      </c>
      <c r="J1886" s="65" t="str">
        <f t="shared" si="89"/>
        <v>510803</v>
      </c>
    </row>
    <row r="1887" spans="1:10" x14ac:dyDescent="0.3">
      <c r="A1887" s="27" t="s">
        <v>12</v>
      </c>
      <c r="B1887" s="27" t="str">
        <f>"51.0805"</f>
        <v>51.0805</v>
      </c>
      <c r="C1887" s="64" t="s">
        <v>13</v>
      </c>
      <c r="D1887" s="27" t="s">
        <v>2229</v>
      </c>
      <c r="E1887" s="27" t="s">
        <v>2232</v>
      </c>
      <c r="F1887" s="27" t="str">
        <f>"51.0805"</f>
        <v>51.0805</v>
      </c>
      <c r="G1887" s="27" t="s">
        <v>13</v>
      </c>
      <c r="H1887" s="65" t="str">
        <f t="shared" si="87"/>
        <v>No Change</v>
      </c>
      <c r="I1887" s="65" t="str">
        <f t="shared" si="88"/>
        <v>510805</v>
      </c>
      <c r="J1887" s="65" t="str">
        <f t="shared" si="89"/>
        <v>510805</v>
      </c>
    </row>
    <row r="1888" spans="1:10" x14ac:dyDescent="0.3">
      <c r="A1888" s="27" t="s">
        <v>88</v>
      </c>
      <c r="B1888" s="27" t="str">
        <f>"51.0806"</f>
        <v>51.0806</v>
      </c>
      <c r="C1888" s="64" t="s">
        <v>4961</v>
      </c>
      <c r="D1888" s="27" t="s">
        <v>2229</v>
      </c>
      <c r="E1888" s="27" t="s">
        <v>2230</v>
      </c>
      <c r="F1888" s="27" t="str">
        <f>"51.0806"</f>
        <v>51.0806</v>
      </c>
      <c r="G1888" s="27" t="s">
        <v>89</v>
      </c>
      <c r="H1888" s="65" t="str">
        <f t="shared" si="87"/>
        <v>No Change</v>
      </c>
      <c r="I1888" s="65" t="str">
        <f t="shared" si="88"/>
        <v>510806</v>
      </c>
      <c r="J1888" s="65" t="str">
        <f t="shared" si="89"/>
        <v>510806</v>
      </c>
    </row>
    <row r="1889" spans="1:10" ht="28.8" x14ac:dyDescent="0.3">
      <c r="A1889" s="27" t="s">
        <v>680</v>
      </c>
      <c r="B1889" s="27" t="str">
        <f>"51.0808"</f>
        <v>51.0808</v>
      </c>
      <c r="C1889" s="64" t="s">
        <v>682</v>
      </c>
      <c r="D1889" s="27" t="s">
        <v>2274</v>
      </c>
      <c r="E1889" s="27" t="s">
        <v>2232</v>
      </c>
      <c r="F1889" s="27" t="str">
        <f>"01.8301"</f>
        <v>01.8301</v>
      </c>
      <c r="G1889" s="27" t="s">
        <v>682</v>
      </c>
      <c r="H1889" s="65" t="str">
        <f t="shared" si="87"/>
        <v>Other</v>
      </c>
      <c r="I1889" s="65" t="str">
        <f t="shared" si="88"/>
        <v>510808</v>
      </c>
      <c r="J1889" s="65" t="str">
        <f t="shared" si="89"/>
        <v>018301</v>
      </c>
    </row>
    <row r="1890" spans="1:10" x14ac:dyDescent="0.3">
      <c r="A1890" s="27" t="s">
        <v>4962</v>
      </c>
      <c r="B1890" s="27" t="str">
        <f>"51.0809"</f>
        <v>51.0809</v>
      </c>
      <c r="C1890" s="64" t="s">
        <v>4963</v>
      </c>
      <c r="D1890" s="27" t="s">
        <v>2229</v>
      </c>
      <c r="E1890" s="27" t="s">
        <v>2232</v>
      </c>
      <c r="F1890" s="27" t="str">
        <f>"51.0809"</f>
        <v>51.0809</v>
      </c>
      <c r="G1890" s="27" t="s">
        <v>4963</v>
      </c>
      <c r="H1890" s="65" t="str">
        <f t="shared" si="87"/>
        <v>No Change</v>
      </c>
      <c r="I1890" s="65" t="str">
        <f t="shared" si="88"/>
        <v>510809</v>
      </c>
      <c r="J1890" s="65" t="str">
        <f t="shared" si="89"/>
        <v>510809</v>
      </c>
    </row>
    <row r="1891" spans="1:10" x14ac:dyDescent="0.3">
      <c r="A1891" s="27" t="s">
        <v>1284</v>
      </c>
      <c r="B1891" s="27" t="str">
        <f>"51.0810"</f>
        <v>51.0810</v>
      </c>
      <c r="C1891" s="64" t="s">
        <v>1285</v>
      </c>
      <c r="D1891" s="27" t="s">
        <v>2229</v>
      </c>
      <c r="E1891" s="27" t="s">
        <v>2232</v>
      </c>
      <c r="F1891" s="27" t="str">
        <f>"51.0810"</f>
        <v>51.0810</v>
      </c>
      <c r="G1891" s="27" t="s">
        <v>1285</v>
      </c>
      <c r="H1891" s="65" t="str">
        <f t="shared" si="87"/>
        <v>No Change</v>
      </c>
      <c r="I1891" s="65" t="str">
        <f t="shared" si="88"/>
        <v>510810</v>
      </c>
      <c r="J1891" s="65" t="str">
        <f t="shared" si="89"/>
        <v>510810</v>
      </c>
    </row>
    <row r="1892" spans="1:10" x14ac:dyDescent="0.3">
      <c r="A1892" s="27" t="s">
        <v>4964</v>
      </c>
      <c r="B1892" s="27" t="str">
        <f>"51.0811"</f>
        <v>51.0811</v>
      </c>
      <c r="C1892" s="64" t="s">
        <v>4965</v>
      </c>
      <c r="D1892" s="27" t="s">
        <v>2229</v>
      </c>
      <c r="E1892" s="27" t="s">
        <v>2232</v>
      </c>
      <c r="F1892" s="27" t="str">
        <f>"51.0811"</f>
        <v>51.0811</v>
      </c>
      <c r="G1892" s="27" t="s">
        <v>4965</v>
      </c>
      <c r="H1892" s="65" t="str">
        <f t="shared" si="87"/>
        <v>No Change</v>
      </c>
      <c r="I1892" s="65" t="str">
        <f t="shared" si="88"/>
        <v>510811</v>
      </c>
      <c r="J1892" s="65" t="str">
        <f t="shared" si="89"/>
        <v>510811</v>
      </c>
    </row>
    <row r="1893" spans="1:10" x14ac:dyDescent="0.3">
      <c r="A1893" s="27" t="s">
        <v>4966</v>
      </c>
      <c r="B1893" s="27" t="str">
        <f>"51.0812"</f>
        <v>51.0812</v>
      </c>
      <c r="C1893" s="64" t="s">
        <v>4967</v>
      </c>
      <c r="D1893" s="27" t="s">
        <v>2229</v>
      </c>
      <c r="E1893" s="27" t="s">
        <v>2232</v>
      </c>
      <c r="F1893" s="27" t="str">
        <f>"51.0812"</f>
        <v>51.0812</v>
      </c>
      <c r="G1893" s="27" t="s">
        <v>4967</v>
      </c>
      <c r="H1893" s="65" t="str">
        <f t="shared" si="87"/>
        <v>No Change</v>
      </c>
      <c r="I1893" s="65" t="str">
        <f t="shared" si="88"/>
        <v>510812</v>
      </c>
      <c r="J1893" s="65" t="str">
        <f t="shared" si="89"/>
        <v>510812</v>
      </c>
    </row>
    <row r="1894" spans="1:10" x14ac:dyDescent="0.3">
      <c r="A1894" s="27" t="s">
        <v>4968</v>
      </c>
      <c r="B1894" s="27" t="str">
        <f>"51.0813"</f>
        <v>51.0813</v>
      </c>
      <c r="C1894" s="64" t="s">
        <v>4969</v>
      </c>
      <c r="D1894" s="27" t="s">
        <v>2229</v>
      </c>
      <c r="E1894" s="27" t="s">
        <v>2232</v>
      </c>
      <c r="F1894" s="27" t="str">
        <f>"51.0813"</f>
        <v>51.0813</v>
      </c>
      <c r="G1894" s="27" t="s">
        <v>4970</v>
      </c>
      <c r="H1894" s="65" t="str">
        <f t="shared" si="87"/>
        <v>No Change</v>
      </c>
      <c r="I1894" s="65" t="str">
        <f t="shared" si="88"/>
        <v>510813</v>
      </c>
      <c r="J1894" s="65" t="str">
        <f t="shared" si="89"/>
        <v>510813</v>
      </c>
    </row>
    <row r="1895" spans="1:10" x14ac:dyDescent="0.3">
      <c r="A1895" s="27" t="s">
        <v>4971</v>
      </c>
      <c r="B1895" s="27" t="str">
        <f>"51.0814"</f>
        <v>51.0814</v>
      </c>
      <c r="C1895" s="64" t="s">
        <v>4972</v>
      </c>
      <c r="D1895" s="27" t="s">
        <v>2229</v>
      </c>
      <c r="E1895" s="27" t="s">
        <v>2232</v>
      </c>
      <c r="F1895" s="27" t="str">
        <f>"51.0814"</f>
        <v>51.0814</v>
      </c>
      <c r="G1895" s="27" t="s">
        <v>4972</v>
      </c>
      <c r="H1895" s="65" t="str">
        <f t="shared" si="87"/>
        <v>No Change</v>
      </c>
      <c r="I1895" s="65" t="str">
        <f t="shared" si="88"/>
        <v>510814</v>
      </c>
      <c r="J1895" s="65" t="str">
        <f t="shared" si="89"/>
        <v>510814</v>
      </c>
    </row>
    <row r="1896" spans="1:10" x14ac:dyDescent="0.3">
      <c r="A1896" s="27" t="s">
        <v>4973</v>
      </c>
      <c r="B1896" s="27" t="str">
        <f>"51.0815"</f>
        <v>51.0815</v>
      </c>
      <c r="C1896" s="64" t="s">
        <v>4974</v>
      </c>
      <c r="D1896" s="27" t="s">
        <v>2229</v>
      </c>
      <c r="E1896" s="27" t="s">
        <v>2232</v>
      </c>
      <c r="F1896" s="27" t="str">
        <f>"51.0815"</f>
        <v>51.0815</v>
      </c>
      <c r="G1896" s="27" t="s">
        <v>4974</v>
      </c>
      <c r="H1896" s="65" t="str">
        <f t="shared" si="87"/>
        <v>No Change</v>
      </c>
      <c r="I1896" s="65" t="str">
        <f t="shared" si="88"/>
        <v>510815</v>
      </c>
      <c r="J1896" s="65" t="str">
        <f t="shared" si="89"/>
        <v>510815</v>
      </c>
    </row>
    <row r="1897" spans="1:10" x14ac:dyDescent="0.3">
      <c r="A1897" s="27" t="s">
        <v>4975</v>
      </c>
      <c r="B1897" s="27" t="str">
        <f>"51.0816"</f>
        <v>51.0816</v>
      </c>
      <c r="C1897" s="64" t="s">
        <v>4976</v>
      </c>
      <c r="D1897" s="27" t="s">
        <v>2229</v>
      </c>
      <c r="E1897" s="27" t="s">
        <v>2232</v>
      </c>
      <c r="F1897" s="27" t="str">
        <f>"51.0816"</f>
        <v>51.0816</v>
      </c>
      <c r="G1897" s="27" t="s">
        <v>4976</v>
      </c>
      <c r="H1897" s="65" t="str">
        <f t="shared" si="87"/>
        <v>No Change</v>
      </c>
      <c r="I1897" s="65" t="str">
        <f t="shared" si="88"/>
        <v>510816</v>
      </c>
      <c r="J1897" s="65" t="str">
        <f t="shared" si="89"/>
        <v>510816</v>
      </c>
    </row>
    <row r="1898" spans="1:10" x14ac:dyDescent="0.3">
      <c r="A1898" s="27" t="s">
        <v>1288</v>
      </c>
      <c r="B1898" s="27" t="str">
        <f>"51.0899"</f>
        <v>51.0899</v>
      </c>
      <c r="C1898" s="64" t="s">
        <v>4977</v>
      </c>
      <c r="D1898" s="27" t="s">
        <v>2229</v>
      </c>
      <c r="E1898" s="27" t="s">
        <v>2232</v>
      </c>
      <c r="F1898" s="27" t="str">
        <f>"51.0899"</f>
        <v>51.0899</v>
      </c>
      <c r="G1898" s="27" t="s">
        <v>4977</v>
      </c>
      <c r="H1898" s="65" t="str">
        <f t="shared" si="87"/>
        <v>No Change</v>
      </c>
      <c r="I1898" s="65" t="str">
        <f t="shared" si="88"/>
        <v>510899</v>
      </c>
      <c r="J1898" s="65" t="str">
        <f t="shared" si="89"/>
        <v>510899</v>
      </c>
    </row>
    <row r="1899" spans="1:10" ht="28.8" x14ac:dyDescent="0.3">
      <c r="A1899" s="27" t="s">
        <v>1869</v>
      </c>
      <c r="B1899" s="27" t="str">
        <f>"51.09"</f>
        <v>51.09</v>
      </c>
      <c r="C1899" s="64" t="s">
        <v>4978</v>
      </c>
      <c r="D1899" s="27" t="s">
        <v>2229</v>
      </c>
      <c r="E1899" s="27" t="s">
        <v>2232</v>
      </c>
      <c r="F1899" s="27" t="str">
        <f>"51.09"</f>
        <v>51.09</v>
      </c>
      <c r="G1899" s="27" t="s">
        <v>4978</v>
      </c>
      <c r="H1899" s="65" t="str">
        <f t="shared" si="87"/>
        <v>No Change</v>
      </c>
      <c r="I1899" s="65" t="str">
        <f t="shared" si="88"/>
        <v/>
      </c>
      <c r="J1899" s="65" t="str">
        <f t="shared" si="89"/>
        <v/>
      </c>
    </row>
    <row r="1900" spans="1:10" x14ac:dyDescent="0.3">
      <c r="A1900" s="27" t="s">
        <v>329</v>
      </c>
      <c r="B1900" s="27" t="str">
        <f>"51.0901"</f>
        <v>51.0901</v>
      </c>
      <c r="C1900" s="64" t="s">
        <v>330</v>
      </c>
      <c r="D1900" s="27" t="s">
        <v>2229</v>
      </c>
      <c r="E1900" s="27" t="s">
        <v>2232</v>
      </c>
      <c r="F1900" s="27" t="str">
        <f>"51.0901"</f>
        <v>51.0901</v>
      </c>
      <c r="G1900" s="27" t="s">
        <v>330</v>
      </c>
      <c r="H1900" s="65" t="str">
        <f t="shared" si="87"/>
        <v>No Change</v>
      </c>
      <c r="I1900" s="65" t="str">
        <f t="shared" si="88"/>
        <v>510901</v>
      </c>
      <c r="J1900" s="65" t="str">
        <f t="shared" si="89"/>
        <v>510901</v>
      </c>
    </row>
    <row r="1901" spans="1:10" x14ac:dyDescent="0.3">
      <c r="A1901" s="27" t="s">
        <v>705</v>
      </c>
      <c r="B1901" s="27" t="str">
        <f>"51.0902"</f>
        <v>51.0902</v>
      </c>
      <c r="C1901" s="64" t="s">
        <v>706</v>
      </c>
      <c r="D1901" s="27" t="s">
        <v>2229</v>
      </c>
      <c r="E1901" s="27" t="s">
        <v>2232</v>
      </c>
      <c r="F1901" s="27" t="str">
        <f>"51.0902"</f>
        <v>51.0902</v>
      </c>
      <c r="G1901" s="27" t="s">
        <v>706</v>
      </c>
      <c r="H1901" s="65" t="str">
        <f t="shared" si="87"/>
        <v>No Change</v>
      </c>
      <c r="I1901" s="65" t="str">
        <f t="shared" si="88"/>
        <v>510902</v>
      </c>
      <c r="J1901" s="65" t="str">
        <f t="shared" si="89"/>
        <v>510902</v>
      </c>
    </row>
    <row r="1902" spans="1:10" ht="28.8" x14ac:dyDescent="0.3">
      <c r="A1902" s="27" t="s">
        <v>4979</v>
      </c>
      <c r="B1902" s="27" t="str">
        <f>"51.0903"</f>
        <v>51.0903</v>
      </c>
      <c r="C1902" s="64" t="s">
        <v>4980</v>
      </c>
      <c r="D1902" s="27" t="s">
        <v>2229</v>
      </c>
      <c r="E1902" s="27" t="s">
        <v>2232</v>
      </c>
      <c r="F1902" s="27" t="str">
        <f>"51.0903"</f>
        <v>51.0903</v>
      </c>
      <c r="G1902" s="27" t="s">
        <v>4980</v>
      </c>
      <c r="H1902" s="65" t="str">
        <f t="shared" si="87"/>
        <v>No Change</v>
      </c>
      <c r="I1902" s="65" t="str">
        <f t="shared" si="88"/>
        <v>510903</v>
      </c>
      <c r="J1902" s="65" t="str">
        <f t="shared" si="89"/>
        <v>510903</v>
      </c>
    </row>
    <row r="1903" spans="1:10" x14ac:dyDescent="0.3">
      <c r="A1903" s="27" t="s">
        <v>15</v>
      </c>
      <c r="B1903" s="27" t="str">
        <f>"51.0904"</f>
        <v>51.0904</v>
      </c>
      <c r="C1903" s="64" t="s">
        <v>16</v>
      </c>
      <c r="D1903" s="27" t="s">
        <v>2229</v>
      </c>
      <c r="E1903" s="27" t="s">
        <v>2232</v>
      </c>
      <c r="F1903" s="27" t="str">
        <f>"51.0904"</f>
        <v>51.0904</v>
      </c>
      <c r="G1903" s="27" t="s">
        <v>16</v>
      </c>
      <c r="H1903" s="65" t="str">
        <f t="shared" si="87"/>
        <v>No Change</v>
      </c>
      <c r="I1903" s="65" t="str">
        <f t="shared" si="88"/>
        <v>510904</v>
      </c>
      <c r="J1903" s="65" t="str">
        <f t="shared" si="89"/>
        <v>510904</v>
      </c>
    </row>
    <row r="1904" spans="1:10" x14ac:dyDescent="0.3">
      <c r="A1904" s="27" t="s">
        <v>654</v>
      </c>
      <c r="B1904" s="27" t="str">
        <f>"51.0905"</f>
        <v>51.0905</v>
      </c>
      <c r="C1904" s="64" t="s">
        <v>655</v>
      </c>
      <c r="D1904" s="27" t="s">
        <v>2229</v>
      </c>
      <c r="E1904" s="27" t="s">
        <v>2232</v>
      </c>
      <c r="F1904" s="27" t="str">
        <f>"51.0905"</f>
        <v>51.0905</v>
      </c>
      <c r="G1904" s="27" t="s">
        <v>655</v>
      </c>
      <c r="H1904" s="65" t="str">
        <f t="shared" si="87"/>
        <v>No Change</v>
      </c>
      <c r="I1904" s="65" t="str">
        <f t="shared" si="88"/>
        <v>510905</v>
      </c>
      <c r="J1904" s="65" t="str">
        <f t="shared" si="89"/>
        <v>510905</v>
      </c>
    </row>
    <row r="1905" spans="1:10" x14ac:dyDescent="0.3">
      <c r="A1905" s="27" t="s">
        <v>4981</v>
      </c>
      <c r="B1905" s="27" t="str">
        <f>"51.0906"</f>
        <v>51.0906</v>
      </c>
      <c r="C1905" s="64" t="s">
        <v>4982</v>
      </c>
      <c r="D1905" s="27" t="s">
        <v>2229</v>
      </c>
      <c r="E1905" s="27" t="s">
        <v>2232</v>
      </c>
      <c r="F1905" s="27" t="str">
        <f>"51.0906"</f>
        <v>51.0906</v>
      </c>
      <c r="G1905" s="27" t="s">
        <v>4982</v>
      </c>
      <c r="H1905" s="65" t="str">
        <f t="shared" si="87"/>
        <v>No Change</v>
      </c>
      <c r="I1905" s="65" t="str">
        <f t="shared" si="88"/>
        <v>510906</v>
      </c>
      <c r="J1905" s="65" t="str">
        <f t="shared" si="89"/>
        <v>510906</v>
      </c>
    </row>
    <row r="1906" spans="1:10" x14ac:dyDescent="0.3">
      <c r="A1906" s="27" t="s">
        <v>92</v>
      </c>
      <c r="B1906" s="27" t="str">
        <f>"51.0907"</f>
        <v>51.0907</v>
      </c>
      <c r="C1906" s="64" t="s">
        <v>93</v>
      </c>
      <c r="D1906" s="27" t="s">
        <v>2229</v>
      </c>
      <c r="E1906" s="27" t="s">
        <v>2232</v>
      </c>
      <c r="F1906" s="27" t="str">
        <f>"51.0907"</f>
        <v>51.0907</v>
      </c>
      <c r="G1906" s="27" t="s">
        <v>93</v>
      </c>
      <c r="H1906" s="65" t="str">
        <f t="shared" si="87"/>
        <v>No Change</v>
      </c>
      <c r="I1906" s="65" t="str">
        <f t="shared" si="88"/>
        <v>510907</v>
      </c>
      <c r="J1906" s="65" t="str">
        <f t="shared" si="89"/>
        <v>510907</v>
      </c>
    </row>
    <row r="1907" spans="1:10" x14ac:dyDescent="0.3">
      <c r="A1907" s="27" t="s">
        <v>95</v>
      </c>
      <c r="B1907" s="27" t="str">
        <f>"51.0908"</f>
        <v>51.0908</v>
      </c>
      <c r="C1907" s="64" t="s">
        <v>96</v>
      </c>
      <c r="D1907" s="27" t="s">
        <v>2229</v>
      </c>
      <c r="E1907" s="27" t="s">
        <v>2232</v>
      </c>
      <c r="F1907" s="27" t="str">
        <f>"51.0908"</f>
        <v>51.0908</v>
      </c>
      <c r="G1907" s="27" t="s">
        <v>96</v>
      </c>
      <c r="H1907" s="65" t="str">
        <f t="shared" si="87"/>
        <v>No Change</v>
      </c>
      <c r="I1907" s="65" t="str">
        <f t="shared" si="88"/>
        <v>510908</v>
      </c>
      <c r="J1907" s="65" t="str">
        <f t="shared" si="89"/>
        <v>510908</v>
      </c>
    </row>
    <row r="1908" spans="1:10" x14ac:dyDescent="0.3">
      <c r="A1908" s="27" t="s">
        <v>19</v>
      </c>
      <c r="B1908" s="27" t="str">
        <f>"51.0909"</f>
        <v>51.0909</v>
      </c>
      <c r="C1908" s="64" t="s">
        <v>20</v>
      </c>
      <c r="D1908" s="27" t="s">
        <v>2229</v>
      </c>
      <c r="E1908" s="27" t="s">
        <v>2232</v>
      </c>
      <c r="F1908" s="27" t="str">
        <f>"51.0909"</f>
        <v>51.0909</v>
      </c>
      <c r="G1908" s="27" t="s">
        <v>20</v>
      </c>
      <c r="H1908" s="65" t="str">
        <f t="shared" si="87"/>
        <v>No Change</v>
      </c>
      <c r="I1908" s="65" t="str">
        <f t="shared" si="88"/>
        <v>510909</v>
      </c>
      <c r="J1908" s="65" t="str">
        <f t="shared" si="89"/>
        <v>510909</v>
      </c>
    </row>
    <row r="1909" spans="1:10" ht="28.8" x14ac:dyDescent="0.3">
      <c r="A1909" s="27" t="s">
        <v>99</v>
      </c>
      <c r="B1909" s="27" t="str">
        <f>"51.0910"</f>
        <v>51.0910</v>
      </c>
      <c r="C1909" s="64" t="s">
        <v>100</v>
      </c>
      <c r="D1909" s="27" t="s">
        <v>2229</v>
      </c>
      <c r="E1909" s="27" t="s">
        <v>2232</v>
      </c>
      <c r="F1909" s="27" t="str">
        <f>"51.0910"</f>
        <v>51.0910</v>
      </c>
      <c r="G1909" s="27" t="s">
        <v>100</v>
      </c>
      <c r="H1909" s="65" t="str">
        <f t="shared" si="87"/>
        <v>No Change</v>
      </c>
      <c r="I1909" s="65" t="str">
        <f t="shared" si="88"/>
        <v>510910</v>
      </c>
      <c r="J1909" s="65" t="str">
        <f t="shared" si="89"/>
        <v>510910</v>
      </c>
    </row>
    <row r="1910" spans="1:10" x14ac:dyDescent="0.3">
      <c r="A1910" s="27" t="s">
        <v>4983</v>
      </c>
      <c r="B1910" s="27" t="str">
        <f>"51.0911"</f>
        <v>51.0911</v>
      </c>
      <c r="C1910" s="64" t="s">
        <v>4984</v>
      </c>
      <c r="D1910" s="27" t="s">
        <v>2229</v>
      </c>
      <c r="E1910" s="27" t="s">
        <v>2232</v>
      </c>
      <c r="F1910" s="27" t="str">
        <f>"51.0911"</f>
        <v>51.0911</v>
      </c>
      <c r="G1910" s="27" t="s">
        <v>4984</v>
      </c>
      <c r="H1910" s="65" t="str">
        <f t="shared" si="87"/>
        <v>No Change</v>
      </c>
      <c r="I1910" s="65" t="str">
        <f t="shared" si="88"/>
        <v>510911</v>
      </c>
      <c r="J1910" s="65" t="str">
        <f t="shared" si="89"/>
        <v>510911</v>
      </c>
    </row>
    <row r="1911" spans="1:10" x14ac:dyDescent="0.3">
      <c r="A1911" s="27" t="s">
        <v>1849</v>
      </c>
      <c r="B1911" s="27" t="str">
        <f>"51.0912"</f>
        <v>51.0912</v>
      </c>
      <c r="C1911" s="64" t="s">
        <v>4985</v>
      </c>
      <c r="D1911" s="27" t="s">
        <v>2229</v>
      </c>
      <c r="E1911" s="27" t="s">
        <v>2232</v>
      </c>
      <c r="F1911" s="27" t="str">
        <f>"51.0912"</f>
        <v>51.0912</v>
      </c>
      <c r="G1911" s="27" t="s">
        <v>4985</v>
      </c>
      <c r="H1911" s="65" t="str">
        <f t="shared" si="87"/>
        <v>No Change</v>
      </c>
      <c r="I1911" s="65" t="str">
        <f t="shared" si="88"/>
        <v>510912</v>
      </c>
      <c r="J1911" s="65" t="str">
        <f t="shared" si="89"/>
        <v>510912</v>
      </c>
    </row>
    <row r="1912" spans="1:10" x14ac:dyDescent="0.3">
      <c r="A1912" s="27" t="s">
        <v>4986</v>
      </c>
      <c r="B1912" s="27" t="str">
        <f>"51.0913"</f>
        <v>51.0913</v>
      </c>
      <c r="C1912" s="64" t="s">
        <v>4987</v>
      </c>
      <c r="D1912" s="27" t="s">
        <v>2229</v>
      </c>
      <c r="E1912" s="27" t="s">
        <v>2232</v>
      </c>
      <c r="F1912" s="27" t="str">
        <f>"51.0913"</f>
        <v>51.0913</v>
      </c>
      <c r="G1912" s="27" t="s">
        <v>4987</v>
      </c>
      <c r="H1912" s="65" t="str">
        <f t="shared" si="87"/>
        <v>No Change</v>
      </c>
      <c r="I1912" s="65" t="str">
        <f t="shared" si="88"/>
        <v>510913</v>
      </c>
      <c r="J1912" s="65" t="str">
        <f t="shared" si="89"/>
        <v>510913</v>
      </c>
    </row>
    <row r="1913" spans="1:10" x14ac:dyDescent="0.3">
      <c r="A1913" s="27" t="s">
        <v>4988</v>
      </c>
      <c r="B1913" s="27" t="str">
        <f>"51.0914"</f>
        <v>51.0914</v>
      </c>
      <c r="C1913" s="64" t="s">
        <v>4989</v>
      </c>
      <c r="D1913" s="27" t="s">
        <v>2229</v>
      </c>
      <c r="E1913" s="27" t="s">
        <v>2232</v>
      </c>
      <c r="F1913" s="27" t="str">
        <f>"51.0914"</f>
        <v>51.0914</v>
      </c>
      <c r="G1913" s="27" t="s">
        <v>4989</v>
      </c>
      <c r="H1913" s="65" t="str">
        <f t="shared" si="87"/>
        <v>No Change</v>
      </c>
      <c r="I1913" s="65" t="str">
        <f t="shared" si="88"/>
        <v>510914</v>
      </c>
      <c r="J1913" s="65" t="str">
        <f t="shared" si="89"/>
        <v>510914</v>
      </c>
    </row>
    <row r="1914" spans="1:10" x14ac:dyDescent="0.3">
      <c r="A1914" s="27" t="s">
        <v>4990</v>
      </c>
      <c r="B1914" s="27" t="str">
        <f>"51.0915"</f>
        <v>51.0915</v>
      </c>
      <c r="C1914" s="64" t="s">
        <v>4991</v>
      </c>
      <c r="D1914" s="27" t="s">
        <v>2229</v>
      </c>
      <c r="E1914" s="27" t="s">
        <v>2232</v>
      </c>
      <c r="F1914" s="27" t="str">
        <f>"51.0915"</f>
        <v>51.0915</v>
      </c>
      <c r="G1914" s="27" t="s">
        <v>4991</v>
      </c>
      <c r="H1914" s="65" t="str">
        <f t="shared" si="87"/>
        <v>No Change</v>
      </c>
      <c r="I1914" s="65" t="str">
        <f t="shared" si="88"/>
        <v>510915</v>
      </c>
      <c r="J1914" s="65" t="str">
        <f t="shared" si="89"/>
        <v>510915</v>
      </c>
    </row>
    <row r="1915" spans="1:10" x14ac:dyDescent="0.3">
      <c r="A1915" s="27" t="s">
        <v>4992</v>
      </c>
      <c r="B1915" s="27" t="str">
        <f>"51.0916"</f>
        <v>51.0916</v>
      </c>
      <c r="C1915" s="64" t="s">
        <v>4993</v>
      </c>
      <c r="D1915" s="27" t="s">
        <v>2229</v>
      </c>
      <c r="E1915" s="27" t="s">
        <v>2232</v>
      </c>
      <c r="F1915" s="27" t="str">
        <f>"51.0916"</f>
        <v>51.0916</v>
      </c>
      <c r="G1915" s="27" t="s">
        <v>4993</v>
      </c>
      <c r="H1915" s="65" t="str">
        <f t="shared" si="87"/>
        <v>No Change</v>
      </c>
      <c r="I1915" s="65" t="str">
        <f t="shared" si="88"/>
        <v>510916</v>
      </c>
      <c r="J1915" s="65" t="str">
        <f t="shared" si="89"/>
        <v>510916</v>
      </c>
    </row>
    <row r="1916" spans="1:10" x14ac:dyDescent="0.3">
      <c r="A1916" s="27" t="s">
        <v>4994</v>
      </c>
      <c r="B1916" s="27" t="str">
        <f>"51.0917"</f>
        <v>51.0917</v>
      </c>
      <c r="C1916" s="64" t="s">
        <v>4995</v>
      </c>
      <c r="D1916" s="27" t="s">
        <v>2229</v>
      </c>
      <c r="E1916" s="27" t="s">
        <v>2232</v>
      </c>
      <c r="F1916" s="27" t="str">
        <f>"51.0917"</f>
        <v>51.0917</v>
      </c>
      <c r="G1916" s="27" t="s">
        <v>4995</v>
      </c>
      <c r="H1916" s="65" t="str">
        <f t="shared" si="87"/>
        <v>No Change</v>
      </c>
      <c r="I1916" s="65" t="str">
        <f t="shared" si="88"/>
        <v>510917</v>
      </c>
      <c r="J1916" s="65" t="str">
        <f t="shared" si="89"/>
        <v>510917</v>
      </c>
    </row>
    <row r="1917" spans="1:10" x14ac:dyDescent="0.3">
      <c r="A1917" s="27" t="s">
        <v>4996</v>
      </c>
      <c r="B1917" s="27" t="str">
        <f>"51.0918"</f>
        <v>51.0918</v>
      </c>
      <c r="C1917" s="64" t="s">
        <v>4997</v>
      </c>
      <c r="D1917" s="27" t="s">
        <v>2229</v>
      </c>
      <c r="E1917" s="27" t="s">
        <v>2232</v>
      </c>
      <c r="F1917" s="27" t="str">
        <f>"51.0918"</f>
        <v>51.0918</v>
      </c>
      <c r="G1917" s="27" t="s">
        <v>4997</v>
      </c>
      <c r="H1917" s="65" t="str">
        <f t="shared" si="87"/>
        <v>No Change</v>
      </c>
      <c r="I1917" s="65" t="str">
        <f t="shared" si="88"/>
        <v>510918</v>
      </c>
      <c r="J1917" s="65" t="str">
        <f t="shared" si="89"/>
        <v>510918</v>
      </c>
    </row>
    <row r="1918" spans="1:10" x14ac:dyDescent="0.3">
      <c r="A1918" s="27" t="s">
        <v>4998</v>
      </c>
      <c r="B1918" s="27" t="str">
        <f>"51.0919"</f>
        <v>51.0919</v>
      </c>
      <c r="C1918" s="64" t="s">
        <v>4999</v>
      </c>
      <c r="D1918" s="27" t="s">
        <v>2229</v>
      </c>
      <c r="E1918" s="27" t="s">
        <v>2230</v>
      </c>
      <c r="F1918" s="27" t="str">
        <f>"51.0919"</f>
        <v>51.0919</v>
      </c>
      <c r="G1918" s="27" t="s">
        <v>5000</v>
      </c>
      <c r="H1918" s="65" t="str">
        <f t="shared" si="87"/>
        <v>No Change</v>
      </c>
      <c r="I1918" s="65" t="str">
        <f t="shared" si="88"/>
        <v>510919</v>
      </c>
      <c r="J1918" s="65" t="str">
        <f t="shared" si="89"/>
        <v>510919</v>
      </c>
    </row>
    <row r="1919" spans="1:10" x14ac:dyDescent="0.3">
      <c r="A1919" s="27" t="s">
        <v>5001</v>
      </c>
      <c r="B1919" s="27" t="str">
        <f>"51.0920"</f>
        <v>51.0920</v>
      </c>
      <c r="C1919" s="64" t="s">
        <v>5002</v>
      </c>
      <c r="D1919" s="27" t="s">
        <v>2229</v>
      </c>
      <c r="E1919" s="27" t="s">
        <v>2232</v>
      </c>
      <c r="F1919" s="27" t="str">
        <f>"51.0920"</f>
        <v>51.0920</v>
      </c>
      <c r="G1919" s="27" t="s">
        <v>5002</v>
      </c>
      <c r="H1919" s="65" t="str">
        <f t="shared" si="87"/>
        <v>No Change</v>
      </c>
      <c r="I1919" s="65" t="str">
        <f t="shared" si="88"/>
        <v>510920</v>
      </c>
      <c r="J1919" s="65" t="str">
        <f t="shared" si="89"/>
        <v>510920</v>
      </c>
    </row>
    <row r="1920" spans="1:10" x14ac:dyDescent="0.3">
      <c r="A1920" s="27" t="s">
        <v>1869</v>
      </c>
      <c r="D1920" s="27" t="s">
        <v>2255</v>
      </c>
      <c r="E1920" s="27" t="s">
        <v>2232</v>
      </c>
      <c r="F1920" s="27" t="str">
        <f>"51.0921"</f>
        <v>51.0921</v>
      </c>
      <c r="G1920" s="27" t="s">
        <v>5003</v>
      </c>
      <c r="H1920" s="65" t="str">
        <f t="shared" si="87"/>
        <v>Other</v>
      </c>
      <c r="I1920" s="65" t="str">
        <f t="shared" si="88"/>
        <v/>
      </c>
      <c r="J1920" s="65" t="str">
        <f t="shared" si="89"/>
        <v>510921</v>
      </c>
    </row>
    <row r="1921" spans="1:10" x14ac:dyDescent="0.3">
      <c r="A1921" s="27" t="s">
        <v>1869</v>
      </c>
      <c r="D1921" s="27" t="s">
        <v>2255</v>
      </c>
      <c r="E1921" s="27" t="s">
        <v>2232</v>
      </c>
      <c r="F1921" s="27" t="str">
        <f>"51.0922"</f>
        <v>51.0922</v>
      </c>
      <c r="G1921" s="27" t="s">
        <v>5004</v>
      </c>
      <c r="H1921" s="65" t="str">
        <f t="shared" si="87"/>
        <v>Other</v>
      </c>
      <c r="I1921" s="65" t="str">
        <f t="shared" si="88"/>
        <v/>
      </c>
      <c r="J1921" s="65" t="str">
        <f t="shared" si="89"/>
        <v>510922</v>
      </c>
    </row>
    <row r="1922" spans="1:10" x14ac:dyDescent="0.3">
      <c r="A1922" s="27" t="s">
        <v>1869</v>
      </c>
      <c r="D1922" s="27" t="s">
        <v>2255</v>
      </c>
      <c r="E1922" s="27" t="s">
        <v>2232</v>
      </c>
      <c r="F1922" s="27" t="str">
        <f>"51.0923"</f>
        <v>51.0923</v>
      </c>
      <c r="G1922" s="27" t="s">
        <v>5005</v>
      </c>
      <c r="H1922" s="65" t="str">
        <f t="shared" si="87"/>
        <v>Other</v>
      </c>
      <c r="I1922" s="65" t="str">
        <f t="shared" si="88"/>
        <v/>
      </c>
      <c r="J1922" s="65" t="str">
        <f t="shared" si="89"/>
        <v>510923</v>
      </c>
    </row>
    <row r="1923" spans="1:10" ht="28.8" x14ac:dyDescent="0.3">
      <c r="A1923" s="27" t="s">
        <v>1306</v>
      </c>
      <c r="B1923" s="27" t="str">
        <f>"51.0999"</f>
        <v>51.0999</v>
      </c>
      <c r="C1923" s="64" t="s">
        <v>1307</v>
      </c>
      <c r="D1923" s="27" t="s">
        <v>2229</v>
      </c>
      <c r="E1923" s="27" t="s">
        <v>2232</v>
      </c>
      <c r="F1923" s="27" t="str">
        <f>"51.0999"</f>
        <v>51.0999</v>
      </c>
      <c r="G1923" s="27" t="s">
        <v>1307</v>
      </c>
      <c r="H1923" s="65" t="str">
        <f t="shared" ref="H1923:H1986" si="90">IF(I1923=J1923,"No Change","Other")</f>
        <v>No Change</v>
      </c>
      <c r="I1923" s="65" t="str">
        <f t="shared" ref="I1923:I1986" si="91">SUBSTITUTE(IF(SUM(LEN(B1923))&lt;7,"",B1923),".","")</f>
        <v>510999</v>
      </c>
      <c r="J1923" s="65" t="str">
        <f t="shared" ref="J1923:J1986" si="92">SUBSTITUTE(IF(SUM(LEN(F1923))&lt;7,"",F1923),".","")</f>
        <v>510999</v>
      </c>
    </row>
    <row r="1924" spans="1:10" ht="28.8" x14ac:dyDescent="0.3">
      <c r="A1924" s="27" t="s">
        <v>1869</v>
      </c>
      <c r="B1924" s="27" t="str">
        <f>"51.10"</f>
        <v>51.10</v>
      </c>
      <c r="C1924" s="64" t="s">
        <v>5006</v>
      </c>
      <c r="D1924" s="27" t="s">
        <v>2229</v>
      </c>
      <c r="E1924" s="27" t="s">
        <v>2232</v>
      </c>
      <c r="F1924" s="27" t="str">
        <f>"51.10"</f>
        <v>51.10</v>
      </c>
      <c r="G1924" s="27" t="s">
        <v>5006</v>
      </c>
      <c r="H1924" s="65" t="str">
        <f t="shared" si="90"/>
        <v>No Change</v>
      </c>
      <c r="I1924" s="65" t="str">
        <f t="shared" si="91"/>
        <v/>
      </c>
      <c r="J1924" s="65" t="str">
        <f t="shared" si="92"/>
        <v/>
      </c>
    </row>
    <row r="1925" spans="1:10" x14ac:dyDescent="0.3">
      <c r="A1925" s="27" t="s">
        <v>5007</v>
      </c>
      <c r="B1925" s="27" t="str">
        <f>"51.1001"</f>
        <v>51.1001</v>
      </c>
      <c r="C1925" s="64" t="s">
        <v>5008</v>
      </c>
      <c r="D1925" s="27" t="s">
        <v>2229</v>
      </c>
      <c r="E1925" s="27" t="s">
        <v>2232</v>
      </c>
      <c r="F1925" s="27" t="str">
        <f>"51.1001"</f>
        <v>51.1001</v>
      </c>
      <c r="G1925" s="27" t="s">
        <v>5008</v>
      </c>
      <c r="H1925" s="65" t="str">
        <f t="shared" si="90"/>
        <v>No Change</v>
      </c>
      <c r="I1925" s="65" t="str">
        <f t="shared" si="91"/>
        <v>511001</v>
      </c>
      <c r="J1925" s="65" t="str">
        <f t="shared" si="92"/>
        <v>511001</v>
      </c>
    </row>
    <row r="1926" spans="1:10" x14ac:dyDescent="0.3">
      <c r="A1926" s="27" t="s">
        <v>5009</v>
      </c>
      <c r="B1926" s="27" t="str">
        <f>"51.1002"</f>
        <v>51.1002</v>
      </c>
      <c r="C1926" s="64" t="s">
        <v>5010</v>
      </c>
      <c r="D1926" s="27" t="s">
        <v>2229</v>
      </c>
      <c r="E1926" s="27" t="s">
        <v>2232</v>
      </c>
      <c r="F1926" s="27" t="str">
        <f>"51.1002"</f>
        <v>51.1002</v>
      </c>
      <c r="G1926" s="27" t="s">
        <v>5010</v>
      </c>
      <c r="H1926" s="65" t="str">
        <f t="shared" si="90"/>
        <v>No Change</v>
      </c>
      <c r="I1926" s="65" t="str">
        <f t="shared" si="91"/>
        <v>511002</v>
      </c>
      <c r="J1926" s="65" t="str">
        <f t="shared" si="92"/>
        <v>511002</v>
      </c>
    </row>
    <row r="1927" spans="1:10" x14ac:dyDescent="0.3">
      <c r="A1927" s="27" t="s">
        <v>5011</v>
      </c>
      <c r="B1927" s="27" t="str">
        <f>"51.1003"</f>
        <v>51.1003</v>
      </c>
      <c r="C1927" s="64" t="s">
        <v>5012</v>
      </c>
      <c r="D1927" s="27" t="s">
        <v>2229</v>
      </c>
      <c r="E1927" s="27" t="s">
        <v>2232</v>
      </c>
      <c r="F1927" s="27" t="str">
        <f>"51.1003"</f>
        <v>51.1003</v>
      </c>
      <c r="G1927" s="27" t="s">
        <v>5012</v>
      </c>
      <c r="H1927" s="65" t="str">
        <f t="shared" si="90"/>
        <v>No Change</v>
      </c>
      <c r="I1927" s="65" t="str">
        <f t="shared" si="91"/>
        <v>511003</v>
      </c>
      <c r="J1927" s="65" t="str">
        <f t="shared" si="92"/>
        <v>511003</v>
      </c>
    </row>
    <row r="1928" spans="1:10" x14ac:dyDescent="0.3">
      <c r="A1928" s="27" t="s">
        <v>333</v>
      </c>
      <c r="B1928" s="27" t="str">
        <f>"51.1004"</f>
        <v>51.1004</v>
      </c>
      <c r="C1928" s="64" t="s">
        <v>334</v>
      </c>
      <c r="D1928" s="27" t="s">
        <v>2229</v>
      </c>
      <c r="E1928" s="27" t="s">
        <v>2232</v>
      </c>
      <c r="F1928" s="27" t="str">
        <f>"51.1004"</f>
        <v>51.1004</v>
      </c>
      <c r="G1928" s="27" t="s">
        <v>334</v>
      </c>
      <c r="H1928" s="65" t="str">
        <f t="shared" si="90"/>
        <v>No Change</v>
      </c>
      <c r="I1928" s="65" t="str">
        <f t="shared" si="91"/>
        <v>511004</v>
      </c>
      <c r="J1928" s="65" t="str">
        <f t="shared" si="92"/>
        <v>511004</v>
      </c>
    </row>
    <row r="1929" spans="1:10" x14ac:dyDescent="0.3">
      <c r="A1929" s="27" t="s">
        <v>5013</v>
      </c>
      <c r="B1929" s="27" t="str">
        <f>"51.1005"</f>
        <v>51.1005</v>
      </c>
      <c r="C1929" s="64" t="s">
        <v>5014</v>
      </c>
      <c r="D1929" s="27" t="s">
        <v>2229</v>
      </c>
      <c r="E1929" s="27" t="s">
        <v>2232</v>
      </c>
      <c r="F1929" s="27" t="str">
        <f>"51.1005"</f>
        <v>51.1005</v>
      </c>
      <c r="G1929" s="27" t="s">
        <v>5014</v>
      </c>
      <c r="H1929" s="65" t="str">
        <f t="shared" si="90"/>
        <v>No Change</v>
      </c>
      <c r="I1929" s="65" t="str">
        <f t="shared" si="91"/>
        <v>511005</v>
      </c>
      <c r="J1929" s="65" t="str">
        <f t="shared" si="92"/>
        <v>511005</v>
      </c>
    </row>
    <row r="1930" spans="1:10" x14ac:dyDescent="0.3">
      <c r="A1930" s="27" t="s">
        <v>892</v>
      </c>
      <c r="B1930" s="27" t="str">
        <f>"51.1006"</f>
        <v>51.1006</v>
      </c>
      <c r="C1930" s="64" t="s">
        <v>893</v>
      </c>
      <c r="D1930" s="27" t="s">
        <v>2229</v>
      </c>
      <c r="E1930" s="27" t="s">
        <v>2232</v>
      </c>
      <c r="F1930" s="27" t="str">
        <f>"51.1006"</f>
        <v>51.1006</v>
      </c>
      <c r="G1930" s="27" t="s">
        <v>893</v>
      </c>
      <c r="H1930" s="65" t="str">
        <f t="shared" si="90"/>
        <v>No Change</v>
      </c>
      <c r="I1930" s="65" t="str">
        <f t="shared" si="91"/>
        <v>511006</v>
      </c>
      <c r="J1930" s="65" t="str">
        <f t="shared" si="92"/>
        <v>511006</v>
      </c>
    </row>
    <row r="1931" spans="1:10" x14ac:dyDescent="0.3">
      <c r="A1931" s="27" t="s">
        <v>5015</v>
      </c>
      <c r="B1931" s="27" t="str">
        <f>"51.1007"</f>
        <v>51.1007</v>
      </c>
      <c r="C1931" s="64" t="s">
        <v>5016</v>
      </c>
      <c r="D1931" s="27" t="s">
        <v>2229</v>
      </c>
      <c r="E1931" s="27" t="s">
        <v>2232</v>
      </c>
      <c r="F1931" s="27" t="str">
        <f>"51.1007"</f>
        <v>51.1007</v>
      </c>
      <c r="G1931" s="27" t="s">
        <v>5016</v>
      </c>
      <c r="H1931" s="65" t="str">
        <f t="shared" si="90"/>
        <v>No Change</v>
      </c>
      <c r="I1931" s="65" t="str">
        <f t="shared" si="91"/>
        <v>511007</v>
      </c>
      <c r="J1931" s="65" t="str">
        <f t="shared" si="92"/>
        <v>511007</v>
      </c>
    </row>
    <row r="1932" spans="1:10" x14ac:dyDescent="0.3">
      <c r="A1932" s="27" t="s">
        <v>336</v>
      </c>
      <c r="B1932" s="27" t="str">
        <f>"51.1008"</f>
        <v>51.1008</v>
      </c>
      <c r="C1932" s="64" t="s">
        <v>337</v>
      </c>
      <c r="D1932" s="27" t="s">
        <v>2229</v>
      </c>
      <c r="E1932" s="27" t="s">
        <v>2232</v>
      </c>
      <c r="F1932" s="27" t="str">
        <f>"51.1008"</f>
        <v>51.1008</v>
      </c>
      <c r="G1932" s="27" t="s">
        <v>337</v>
      </c>
      <c r="H1932" s="65" t="str">
        <f t="shared" si="90"/>
        <v>No Change</v>
      </c>
      <c r="I1932" s="65" t="str">
        <f t="shared" si="91"/>
        <v>511008</v>
      </c>
      <c r="J1932" s="65" t="str">
        <f t="shared" si="92"/>
        <v>511008</v>
      </c>
    </row>
    <row r="1933" spans="1:10" x14ac:dyDescent="0.3">
      <c r="A1933" s="27" t="s">
        <v>411</v>
      </c>
      <c r="B1933" s="27" t="str">
        <f>"51.1009"</f>
        <v>51.1009</v>
      </c>
      <c r="C1933" s="64" t="s">
        <v>412</v>
      </c>
      <c r="D1933" s="27" t="s">
        <v>2229</v>
      </c>
      <c r="E1933" s="27" t="s">
        <v>2232</v>
      </c>
      <c r="F1933" s="27" t="str">
        <f>"51.1009"</f>
        <v>51.1009</v>
      </c>
      <c r="G1933" s="27" t="s">
        <v>412</v>
      </c>
      <c r="H1933" s="65" t="str">
        <f t="shared" si="90"/>
        <v>No Change</v>
      </c>
      <c r="I1933" s="65" t="str">
        <f t="shared" si="91"/>
        <v>511009</v>
      </c>
      <c r="J1933" s="65" t="str">
        <f t="shared" si="92"/>
        <v>511009</v>
      </c>
    </row>
    <row r="1934" spans="1:10" ht="28.8" x14ac:dyDescent="0.3">
      <c r="A1934" s="27" t="s">
        <v>5017</v>
      </c>
      <c r="B1934" s="27" t="str">
        <f>"51.1010"</f>
        <v>51.1010</v>
      </c>
      <c r="C1934" s="64" t="s">
        <v>5018</v>
      </c>
      <c r="D1934" s="27" t="s">
        <v>2229</v>
      </c>
      <c r="E1934" s="27" t="s">
        <v>2232</v>
      </c>
      <c r="F1934" s="27" t="str">
        <f>"51.1010"</f>
        <v>51.1010</v>
      </c>
      <c r="G1934" s="27" t="s">
        <v>5018</v>
      </c>
      <c r="H1934" s="65" t="str">
        <f t="shared" si="90"/>
        <v>No Change</v>
      </c>
      <c r="I1934" s="65" t="str">
        <f t="shared" si="91"/>
        <v>511010</v>
      </c>
      <c r="J1934" s="65" t="str">
        <f t="shared" si="92"/>
        <v>511010</v>
      </c>
    </row>
    <row r="1935" spans="1:10" x14ac:dyDescent="0.3">
      <c r="A1935" s="27" t="s">
        <v>1316</v>
      </c>
      <c r="B1935" s="27" t="str">
        <f>"51.1011"</f>
        <v>51.1011</v>
      </c>
      <c r="C1935" s="64" t="s">
        <v>1317</v>
      </c>
      <c r="D1935" s="27" t="s">
        <v>2229</v>
      </c>
      <c r="E1935" s="27" t="s">
        <v>2232</v>
      </c>
      <c r="F1935" s="27" t="str">
        <f>"51.1011"</f>
        <v>51.1011</v>
      </c>
      <c r="G1935" s="27" t="s">
        <v>1317</v>
      </c>
      <c r="H1935" s="65" t="str">
        <f t="shared" si="90"/>
        <v>No Change</v>
      </c>
      <c r="I1935" s="65" t="str">
        <f t="shared" si="91"/>
        <v>511011</v>
      </c>
      <c r="J1935" s="65" t="str">
        <f t="shared" si="92"/>
        <v>511011</v>
      </c>
    </row>
    <row r="1936" spans="1:10" x14ac:dyDescent="0.3">
      <c r="A1936" s="27" t="s">
        <v>5019</v>
      </c>
      <c r="B1936" s="27" t="str">
        <f>"51.1012"</f>
        <v>51.1012</v>
      </c>
      <c r="C1936" s="64" t="s">
        <v>5020</v>
      </c>
      <c r="D1936" s="27" t="s">
        <v>2229</v>
      </c>
      <c r="E1936" s="27" t="s">
        <v>2232</v>
      </c>
      <c r="F1936" s="27" t="str">
        <f>"51.1012"</f>
        <v>51.1012</v>
      </c>
      <c r="G1936" s="27" t="s">
        <v>5020</v>
      </c>
      <c r="H1936" s="65" t="str">
        <f t="shared" si="90"/>
        <v>No Change</v>
      </c>
      <c r="I1936" s="65" t="str">
        <f t="shared" si="91"/>
        <v>511012</v>
      </c>
      <c r="J1936" s="65" t="str">
        <f t="shared" si="92"/>
        <v>511012</v>
      </c>
    </row>
    <row r="1937" spans="1:10" ht="28.8" x14ac:dyDescent="0.3">
      <c r="A1937" s="27" t="s">
        <v>5021</v>
      </c>
      <c r="B1937" s="27" t="str">
        <f>"51.1099"</f>
        <v>51.1099</v>
      </c>
      <c r="C1937" s="64" t="s">
        <v>5022</v>
      </c>
      <c r="D1937" s="27" t="s">
        <v>2229</v>
      </c>
      <c r="E1937" s="27" t="s">
        <v>2232</v>
      </c>
      <c r="F1937" s="27" t="str">
        <f>"51.1099"</f>
        <v>51.1099</v>
      </c>
      <c r="G1937" s="27" t="s">
        <v>5022</v>
      </c>
      <c r="H1937" s="65" t="str">
        <f t="shared" si="90"/>
        <v>No Change</v>
      </c>
      <c r="I1937" s="65" t="str">
        <f t="shared" si="91"/>
        <v>511099</v>
      </c>
      <c r="J1937" s="65" t="str">
        <f t="shared" si="92"/>
        <v>511099</v>
      </c>
    </row>
    <row r="1938" spans="1:10" x14ac:dyDescent="0.3">
      <c r="A1938" s="27" t="s">
        <v>1869</v>
      </c>
      <c r="B1938" s="27" t="str">
        <f>"51.11"</f>
        <v>51.11</v>
      </c>
      <c r="C1938" s="64" t="s">
        <v>5023</v>
      </c>
      <c r="D1938" s="27" t="s">
        <v>2229</v>
      </c>
      <c r="E1938" s="27" t="s">
        <v>2232</v>
      </c>
      <c r="F1938" s="27" t="str">
        <f>"51.11"</f>
        <v>51.11</v>
      </c>
      <c r="G1938" s="27" t="s">
        <v>5023</v>
      </c>
      <c r="H1938" s="65" t="str">
        <f t="shared" si="90"/>
        <v>No Change</v>
      </c>
      <c r="I1938" s="65" t="str">
        <f t="shared" si="91"/>
        <v/>
      </c>
      <c r="J1938" s="65" t="str">
        <f t="shared" si="92"/>
        <v/>
      </c>
    </row>
    <row r="1939" spans="1:10" x14ac:dyDescent="0.3">
      <c r="A1939" s="27" t="s">
        <v>5024</v>
      </c>
      <c r="B1939" s="27" t="str">
        <f>"51.1101"</f>
        <v>51.1101</v>
      </c>
      <c r="C1939" s="64" t="s">
        <v>5025</v>
      </c>
      <c r="D1939" s="27" t="s">
        <v>2229</v>
      </c>
      <c r="E1939" s="27" t="s">
        <v>2232</v>
      </c>
      <c r="F1939" s="27" t="str">
        <f>"51.1101"</f>
        <v>51.1101</v>
      </c>
      <c r="G1939" s="27" t="s">
        <v>5025</v>
      </c>
      <c r="H1939" s="65" t="str">
        <f t="shared" si="90"/>
        <v>No Change</v>
      </c>
      <c r="I1939" s="65" t="str">
        <f t="shared" si="91"/>
        <v>511101</v>
      </c>
      <c r="J1939" s="65" t="str">
        <f t="shared" si="92"/>
        <v>511101</v>
      </c>
    </row>
    <row r="1940" spans="1:10" x14ac:dyDescent="0.3">
      <c r="A1940" s="27" t="s">
        <v>5026</v>
      </c>
      <c r="B1940" s="27" t="str">
        <f>"51.1102"</f>
        <v>51.1102</v>
      </c>
      <c r="C1940" s="64" t="s">
        <v>5027</v>
      </c>
      <c r="D1940" s="27" t="s">
        <v>2229</v>
      </c>
      <c r="E1940" s="27" t="s">
        <v>2232</v>
      </c>
      <c r="F1940" s="27" t="str">
        <f>"51.1102"</f>
        <v>51.1102</v>
      </c>
      <c r="G1940" s="27" t="s">
        <v>5027</v>
      </c>
      <c r="H1940" s="65" t="str">
        <f t="shared" si="90"/>
        <v>No Change</v>
      </c>
      <c r="I1940" s="65" t="str">
        <f t="shared" si="91"/>
        <v>511102</v>
      </c>
      <c r="J1940" s="65" t="str">
        <f t="shared" si="92"/>
        <v>511102</v>
      </c>
    </row>
    <row r="1941" spans="1:10" x14ac:dyDescent="0.3">
      <c r="A1941" s="27" t="s">
        <v>5028</v>
      </c>
      <c r="B1941" s="27" t="str">
        <f>"51.1103"</f>
        <v>51.1103</v>
      </c>
      <c r="C1941" s="64" t="s">
        <v>5029</v>
      </c>
      <c r="D1941" s="27" t="s">
        <v>2229</v>
      </c>
      <c r="E1941" s="27" t="s">
        <v>2232</v>
      </c>
      <c r="F1941" s="27" t="str">
        <f>"51.1103"</f>
        <v>51.1103</v>
      </c>
      <c r="G1941" s="27" t="s">
        <v>5029</v>
      </c>
      <c r="H1941" s="65" t="str">
        <f t="shared" si="90"/>
        <v>No Change</v>
      </c>
      <c r="I1941" s="65" t="str">
        <f t="shared" si="91"/>
        <v>511103</v>
      </c>
      <c r="J1941" s="65" t="str">
        <f t="shared" si="92"/>
        <v>511103</v>
      </c>
    </row>
    <row r="1942" spans="1:10" x14ac:dyDescent="0.3">
      <c r="A1942" s="27" t="s">
        <v>5030</v>
      </c>
      <c r="B1942" s="27" t="str">
        <f>"51.1104"</f>
        <v>51.1104</v>
      </c>
      <c r="C1942" s="64" t="s">
        <v>5031</v>
      </c>
      <c r="D1942" s="27" t="s">
        <v>2274</v>
      </c>
      <c r="E1942" s="27" t="s">
        <v>2232</v>
      </c>
      <c r="F1942" s="27" t="str">
        <f>"01.1302"</f>
        <v>01.1302</v>
      </c>
      <c r="G1942" s="27" t="s">
        <v>5031</v>
      </c>
      <c r="H1942" s="65" t="str">
        <f t="shared" si="90"/>
        <v>Other</v>
      </c>
      <c r="I1942" s="65" t="str">
        <f t="shared" si="91"/>
        <v>511104</v>
      </c>
      <c r="J1942" s="65" t="str">
        <f t="shared" si="92"/>
        <v>011302</v>
      </c>
    </row>
    <row r="1943" spans="1:10" x14ac:dyDescent="0.3">
      <c r="A1943" s="27" t="s">
        <v>5032</v>
      </c>
      <c r="B1943" s="27" t="str">
        <f>"51.1105"</f>
        <v>51.1105</v>
      </c>
      <c r="C1943" s="64" t="s">
        <v>5033</v>
      </c>
      <c r="D1943" s="27" t="s">
        <v>2229</v>
      </c>
      <c r="E1943" s="27" t="s">
        <v>2232</v>
      </c>
      <c r="F1943" s="27" t="str">
        <f>"51.1105"</f>
        <v>51.1105</v>
      </c>
      <c r="G1943" s="27" t="s">
        <v>5033</v>
      </c>
      <c r="H1943" s="65" t="str">
        <f t="shared" si="90"/>
        <v>No Change</v>
      </c>
      <c r="I1943" s="65" t="str">
        <f t="shared" si="91"/>
        <v>511105</v>
      </c>
      <c r="J1943" s="65" t="str">
        <f t="shared" si="92"/>
        <v>511105</v>
      </c>
    </row>
    <row r="1944" spans="1:10" x14ac:dyDescent="0.3">
      <c r="A1944" s="27" t="s">
        <v>5034</v>
      </c>
      <c r="B1944" s="27" t="str">
        <f>"51.1106"</f>
        <v>51.1106</v>
      </c>
      <c r="C1944" s="64" t="s">
        <v>5035</v>
      </c>
      <c r="D1944" s="27" t="s">
        <v>2229</v>
      </c>
      <c r="E1944" s="27" t="s">
        <v>2232</v>
      </c>
      <c r="F1944" s="27" t="str">
        <f>"51.1106"</f>
        <v>51.1106</v>
      </c>
      <c r="G1944" s="27" t="s">
        <v>5035</v>
      </c>
      <c r="H1944" s="65" t="str">
        <f t="shared" si="90"/>
        <v>No Change</v>
      </c>
      <c r="I1944" s="65" t="str">
        <f t="shared" si="91"/>
        <v>511106</v>
      </c>
      <c r="J1944" s="65" t="str">
        <f t="shared" si="92"/>
        <v>511106</v>
      </c>
    </row>
    <row r="1945" spans="1:10" x14ac:dyDescent="0.3">
      <c r="A1945" s="27" t="s">
        <v>5036</v>
      </c>
      <c r="B1945" s="27" t="str">
        <f>"51.1107"</f>
        <v>51.1107</v>
      </c>
      <c r="C1945" s="64" t="s">
        <v>5037</v>
      </c>
      <c r="D1945" s="27" t="s">
        <v>2229</v>
      </c>
      <c r="E1945" s="27" t="s">
        <v>2232</v>
      </c>
      <c r="F1945" s="27" t="str">
        <f>"51.1107"</f>
        <v>51.1107</v>
      </c>
      <c r="G1945" s="27" t="s">
        <v>5037</v>
      </c>
      <c r="H1945" s="65" t="str">
        <f t="shared" si="90"/>
        <v>No Change</v>
      </c>
      <c r="I1945" s="65" t="str">
        <f t="shared" si="91"/>
        <v>511107</v>
      </c>
      <c r="J1945" s="65" t="str">
        <f t="shared" si="92"/>
        <v>511107</v>
      </c>
    </row>
    <row r="1946" spans="1:10" x14ac:dyDescent="0.3">
      <c r="A1946" s="27" t="s">
        <v>5038</v>
      </c>
      <c r="B1946" s="27" t="str">
        <f>"51.1108"</f>
        <v>51.1108</v>
      </c>
      <c r="C1946" s="64" t="s">
        <v>5039</v>
      </c>
      <c r="D1946" s="27" t="s">
        <v>2229</v>
      </c>
      <c r="E1946" s="27" t="s">
        <v>2232</v>
      </c>
      <c r="F1946" s="27" t="str">
        <f>"51.1108"</f>
        <v>51.1108</v>
      </c>
      <c r="G1946" s="27" t="s">
        <v>5039</v>
      </c>
      <c r="H1946" s="65" t="str">
        <f t="shared" si="90"/>
        <v>No Change</v>
      </c>
      <c r="I1946" s="65" t="str">
        <f t="shared" si="91"/>
        <v>511108</v>
      </c>
      <c r="J1946" s="65" t="str">
        <f t="shared" si="92"/>
        <v>511108</v>
      </c>
    </row>
    <row r="1947" spans="1:10" x14ac:dyDescent="0.3">
      <c r="A1947" s="27" t="s">
        <v>5040</v>
      </c>
      <c r="B1947" s="27" t="str">
        <f>"51.1109"</f>
        <v>51.1109</v>
      </c>
      <c r="C1947" s="64" t="s">
        <v>5041</v>
      </c>
      <c r="D1947" s="27" t="s">
        <v>2229</v>
      </c>
      <c r="E1947" s="27" t="s">
        <v>2232</v>
      </c>
      <c r="F1947" s="27" t="str">
        <f>"51.1109"</f>
        <v>51.1109</v>
      </c>
      <c r="G1947" s="27" t="s">
        <v>5041</v>
      </c>
      <c r="H1947" s="65" t="str">
        <f t="shared" si="90"/>
        <v>No Change</v>
      </c>
      <c r="I1947" s="65" t="str">
        <f t="shared" si="91"/>
        <v>511109</v>
      </c>
      <c r="J1947" s="65" t="str">
        <f t="shared" si="92"/>
        <v>511109</v>
      </c>
    </row>
    <row r="1948" spans="1:10" x14ac:dyDescent="0.3">
      <c r="A1948" s="27" t="s">
        <v>1869</v>
      </c>
      <c r="D1948" s="27" t="s">
        <v>2255</v>
      </c>
      <c r="E1948" s="27" t="s">
        <v>2232</v>
      </c>
      <c r="F1948" s="27" t="str">
        <f>"51.1110"</f>
        <v>51.1110</v>
      </c>
      <c r="G1948" s="27" t="s">
        <v>5042</v>
      </c>
      <c r="H1948" s="65" t="str">
        <f t="shared" si="90"/>
        <v>Other</v>
      </c>
      <c r="I1948" s="65" t="str">
        <f t="shared" si="91"/>
        <v/>
      </c>
      <c r="J1948" s="65" t="str">
        <f t="shared" si="92"/>
        <v>511110</v>
      </c>
    </row>
    <row r="1949" spans="1:10" x14ac:dyDescent="0.3">
      <c r="A1949" s="27" t="s">
        <v>1869</v>
      </c>
      <c r="D1949" s="27" t="s">
        <v>2255</v>
      </c>
      <c r="E1949" s="27" t="s">
        <v>2232</v>
      </c>
      <c r="F1949" s="27" t="str">
        <f>"51.1111"</f>
        <v>51.1111</v>
      </c>
      <c r="G1949" s="27" t="s">
        <v>5043</v>
      </c>
      <c r="H1949" s="65" t="str">
        <f t="shared" si="90"/>
        <v>Other</v>
      </c>
      <c r="I1949" s="65" t="str">
        <f t="shared" si="91"/>
        <v/>
      </c>
      <c r="J1949" s="65" t="str">
        <f t="shared" si="92"/>
        <v>511111</v>
      </c>
    </row>
    <row r="1950" spans="1:10" x14ac:dyDescent="0.3">
      <c r="A1950" s="27" t="s">
        <v>5044</v>
      </c>
      <c r="B1950" s="27" t="str">
        <f>"51.1199"</f>
        <v>51.1199</v>
      </c>
      <c r="C1950" s="64" t="s">
        <v>5045</v>
      </c>
      <c r="D1950" s="27" t="s">
        <v>2229</v>
      </c>
      <c r="E1950" s="27" t="s">
        <v>2232</v>
      </c>
      <c r="F1950" s="27" t="str">
        <f>"51.1199"</f>
        <v>51.1199</v>
      </c>
      <c r="G1950" s="27" t="s">
        <v>5045</v>
      </c>
      <c r="H1950" s="65" t="str">
        <f t="shared" si="90"/>
        <v>No Change</v>
      </c>
      <c r="I1950" s="65" t="str">
        <f t="shared" si="91"/>
        <v>511199</v>
      </c>
      <c r="J1950" s="65" t="str">
        <f t="shared" si="92"/>
        <v>511199</v>
      </c>
    </row>
    <row r="1951" spans="1:10" x14ac:dyDescent="0.3">
      <c r="A1951" s="27" t="s">
        <v>1869</v>
      </c>
      <c r="B1951" s="27" t="str">
        <f>"51.12"</f>
        <v>51.12</v>
      </c>
      <c r="C1951" s="64" t="s">
        <v>5046</v>
      </c>
      <c r="D1951" s="27" t="s">
        <v>2229</v>
      </c>
      <c r="E1951" s="27" t="s">
        <v>2232</v>
      </c>
      <c r="F1951" s="27" t="str">
        <f>"51.12"</f>
        <v>51.12</v>
      </c>
      <c r="G1951" s="27" t="s">
        <v>5046</v>
      </c>
      <c r="H1951" s="65" t="str">
        <f t="shared" si="90"/>
        <v>No Change</v>
      </c>
      <c r="I1951" s="65" t="str">
        <f t="shared" si="91"/>
        <v/>
      </c>
      <c r="J1951" s="65" t="str">
        <f t="shared" si="92"/>
        <v/>
      </c>
    </row>
    <row r="1952" spans="1:10" x14ac:dyDescent="0.3">
      <c r="A1952" s="27" t="s">
        <v>5047</v>
      </c>
      <c r="B1952" s="27" t="str">
        <f>"51.1201"</f>
        <v>51.1201</v>
      </c>
      <c r="C1952" s="64" t="s">
        <v>5046</v>
      </c>
      <c r="D1952" s="27" t="s">
        <v>2229</v>
      </c>
      <c r="E1952" s="27" t="s">
        <v>2232</v>
      </c>
      <c r="F1952" s="27" t="str">
        <f>"51.1201"</f>
        <v>51.1201</v>
      </c>
      <c r="G1952" s="27" t="s">
        <v>5046</v>
      </c>
      <c r="H1952" s="65" t="str">
        <f t="shared" si="90"/>
        <v>No Change</v>
      </c>
      <c r="I1952" s="65" t="str">
        <f t="shared" si="91"/>
        <v>511201</v>
      </c>
      <c r="J1952" s="65" t="str">
        <f t="shared" si="92"/>
        <v>511201</v>
      </c>
    </row>
    <row r="1953" spans="1:10" x14ac:dyDescent="0.3">
      <c r="A1953" s="27" t="s">
        <v>1869</v>
      </c>
      <c r="D1953" s="27" t="s">
        <v>2255</v>
      </c>
      <c r="E1953" s="27" t="s">
        <v>2232</v>
      </c>
      <c r="F1953" s="27" t="str">
        <f>"51.1299"</f>
        <v>51.1299</v>
      </c>
      <c r="G1953" s="27" t="s">
        <v>5048</v>
      </c>
      <c r="H1953" s="65" t="str">
        <f t="shared" si="90"/>
        <v>Other</v>
      </c>
      <c r="I1953" s="65" t="str">
        <f t="shared" si="91"/>
        <v/>
      </c>
      <c r="J1953" s="65" t="str">
        <f t="shared" si="92"/>
        <v>511299</v>
      </c>
    </row>
    <row r="1954" spans="1:10" x14ac:dyDescent="0.3">
      <c r="A1954" s="27" t="s">
        <v>1869</v>
      </c>
      <c r="B1954" s="27" t="str">
        <f>"51.14"</f>
        <v>51.14</v>
      </c>
      <c r="C1954" s="64" t="s">
        <v>5049</v>
      </c>
      <c r="D1954" s="27" t="s">
        <v>2229</v>
      </c>
      <c r="E1954" s="27" t="s">
        <v>2232</v>
      </c>
      <c r="F1954" s="27" t="str">
        <f>"51.14"</f>
        <v>51.14</v>
      </c>
      <c r="G1954" s="27" t="s">
        <v>5049</v>
      </c>
      <c r="H1954" s="65" t="str">
        <f t="shared" si="90"/>
        <v>No Change</v>
      </c>
      <c r="I1954" s="65" t="str">
        <f t="shared" si="91"/>
        <v/>
      </c>
      <c r="J1954" s="65" t="str">
        <f t="shared" si="92"/>
        <v/>
      </c>
    </row>
    <row r="1955" spans="1:10" x14ac:dyDescent="0.3">
      <c r="A1955" s="27" t="s">
        <v>5050</v>
      </c>
      <c r="B1955" s="27" t="str">
        <f>"51.1401"</f>
        <v>51.1401</v>
      </c>
      <c r="C1955" s="64" t="s">
        <v>5051</v>
      </c>
      <c r="D1955" s="27" t="s">
        <v>2229</v>
      </c>
      <c r="E1955" s="27" t="s">
        <v>2230</v>
      </c>
      <c r="F1955" s="27" t="str">
        <f>"51.1401"</f>
        <v>51.1401</v>
      </c>
      <c r="G1955" s="27" t="s">
        <v>5052</v>
      </c>
      <c r="H1955" s="65" t="str">
        <f t="shared" si="90"/>
        <v>No Change</v>
      </c>
      <c r="I1955" s="65" t="str">
        <f t="shared" si="91"/>
        <v>511401</v>
      </c>
      <c r="J1955" s="65" t="str">
        <f t="shared" si="92"/>
        <v>511401</v>
      </c>
    </row>
    <row r="1956" spans="1:10" x14ac:dyDescent="0.3">
      <c r="A1956" s="27" t="s">
        <v>1869</v>
      </c>
      <c r="D1956" s="27" t="s">
        <v>2255</v>
      </c>
      <c r="E1956" s="27" t="s">
        <v>2232</v>
      </c>
      <c r="F1956" s="27" t="str">
        <f>"51.1402"</f>
        <v>51.1402</v>
      </c>
      <c r="G1956" s="27" t="s">
        <v>5053</v>
      </c>
      <c r="H1956" s="65" t="str">
        <f t="shared" si="90"/>
        <v>Other</v>
      </c>
      <c r="I1956" s="65" t="str">
        <f t="shared" si="91"/>
        <v/>
      </c>
      <c r="J1956" s="65" t="str">
        <f t="shared" si="92"/>
        <v>511402</v>
      </c>
    </row>
    <row r="1957" spans="1:10" x14ac:dyDescent="0.3">
      <c r="A1957" s="27" t="s">
        <v>1869</v>
      </c>
      <c r="D1957" s="27" t="s">
        <v>2255</v>
      </c>
      <c r="E1957" s="27" t="s">
        <v>2232</v>
      </c>
      <c r="F1957" s="27" t="str">
        <f>"51.1403"</f>
        <v>51.1403</v>
      </c>
      <c r="G1957" s="27" t="s">
        <v>5054</v>
      </c>
      <c r="H1957" s="65" t="str">
        <f t="shared" si="90"/>
        <v>Other</v>
      </c>
      <c r="I1957" s="65" t="str">
        <f t="shared" si="91"/>
        <v/>
      </c>
      <c r="J1957" s="65" t="str">
        <f t="shared" si="92"/>
        <v>511403</v>
      </c>
    </row>
    <row r="1958" spans="1:10" x14ac:dyDescent="0.3">
      <c r="A1958" s="27" t="s">
        <v>1869</v>
      </c>
      <c r="D1958" s="27" t="s">
        <v>2255</v>
      </c>
      <c r="E1958" s="27" t="s">
        <v>2232</v>
      </c>
      <c r="F1958" s="27" t="str">
        <f>"51.1404"</f>
        <v>51.1404</v>
      </c>
      <c r="G1958" s="27" t="s">
        <v>5055</v>
      </c>
      <c r="H1958" s="65" t="str">
        <f t="shared" si="90"/>
        <v>Other</v>
      </c>
      <c r="I1958" s="65" t="str">
        <f t="shared" si="91"/>
        <v/>
      </c>
      <c r="J1958" s="65" t="str">
        <f t="shared" si="92"/>
        <v>511404</v>
      </c>
    </row>
    <row r="1959" spans="1:10" x14ac:dyDescent="0.3">
      <c r="A1959" s="27" t="s">
        <v>1869</v>
      </c>
      <c r="D1959" s="27" t="s">
        <v>2255</v>
      </c>
      <c r="E1959" s="27" t="s">
        <v>2232</v>
      </c>
      <c r="F1959" s="27" t="str">
        <f>"51.1405"</f>
        <v>51.1405</v>
      </c>
      <c r="G1959" s="27" t="s">
        <v>5056</v>
      </c>
      <c r="H1959" s="65" t="str">
        <f t="shared" si="90"/>
        <v>Other</v>
      </c>
      <c r="I1959" s="65" t="str">
        <f t="shared" si="91"/>
        <v/>
      </c>
      <c r="J1959" s="65" t="str">
        <f t="shared" si="92"/>
        <v>511405</v>
      </c>
    </row>
    <row r="1960" spans="1:10" x14ac:dyDescent="0.3">
      <c r="A1960" s="27" t="s">
        <v>1869</v>
      </c>
      <c r="D1960" s="27" t="s">
        <v>2255</v>
      </c>
      <c r="E1960" s="27" t="s">
        <v>2232</v>
      </c>
      <c r="F1960" s="27" t="str">
        <f>"51.1499"</f>
        <v>51.1499</v>
      </c>
      <c r="G1960" s="27" t="s">
        <v>5057</v>
      </c>
      <c r="H1960" s="65" t="str">
        <f t="shared" si="90"/>
        <v>Other</v>
      </c>
      <c r="I1960" s="65" t="str">
        <f t="shared" si="91"/>
        <v/>
      </c>
      <c r="J1960" s="65" t="str">
        <f t="shared" si="92"/>
        <v>511499</v>
      </c>
    </row>
    <row r="1961" spans="1:10" x14ac:dyDescent="0.3">
      <c r="A1961" s="27" t="s">
        <v>1869</v>
      </c>
      <c r="B1961" s="27" t="str">
        <f>"51.15"</f>
        <v>51.15</v>
      </c>
      <c r="C1961" s="64" t="s">
        <v>5058</v>
      </c>
      <c r="D1961" s="27" t="s">
        <v>2229</v>
      </c>
      <c r="E1961" s="27" t="s">
        <v>2232</v>
      </c>
      <c r="F1961" s="27" t="str">
        <f>"51.15"</f>
        <v>51.15</v>
      </c>
      <c r="G1961" s="27" t="s">
        <v>5058</v>
      </c>
      <c r="H1961" s="65" t="str">
        <f t="shared" si="90"/>
        <v>No Change</v>
      </c>
      <c r="I1961" s="65" t="str">
        <f t="shared" si="91"/>
        <v/>
      </c>
      <c r="J1961" s="65" t="str">
        <f t="shared" si="92"/>
        <v/>
      </c>
    </row>
    <row r="1962" spans="1:10" x14ac:dyDescent="0.3">
      <c r="A1962" s="27" t="s">
        <v>1858</v>
      </c>
      <c r="B1962" s="27" t="str">
        <f>"51.1501"</f>
        <v>51.1501</v>
      </c>
      <c r="C1962" s="64" t="s">
        <v>5059</v>
      </c>
      <c r="D1962" s="27" t="s">
        <v>2229</v>
      </c>
      <c r="E1962" s="27" t="s">
        <v>2232</v>
      </c>
      <c r="F1962" s="27" t="str">
        <f>"51.1501"</f>
        <v>51.1501</v>
      </c>
      <c r="G1962" s="27" t="s">
        <v>5059</v>
      </c>
      <c r="H1962" s="65" t="str">
        <f t="shared" si="90"/>
        <v>No Change</v>
      </c>
      <c r="I1962" s="65" t="str">
        <f t="shared" si="91"/>
        <v>511501</v>
      </c>
      <c r="J1962" s="65" t="str">
        <f t="shared" si="92"/>
        <v>511501</v>
      </c>
    </row>
    <row r="1963" spans="1:10" x14ac:dyDescent="0.3">
      <c r="A1963" s="27" t="s">
        <v>1320</v>
      </c>
      <c r="B1963" s="27" t="str">
        <f>"51.1502"</f>
        <v>51.1502</v>
      </c>
      <c r="C1963" s="64" t="s">
        <v>1321</v>
      </c>
      <c r="D1963" s="27" t="s">
        <v>2229</v>
      </c>
      <c r="E1963" s="27" t="s">
        <v>2232</v>
      </c>
      <c r="F1963" s="27" t="str">
        <f>"51.1502"</f>
        <v>51.1502</v>
      </c>
      <c r="G1963" s="27" t="s">
        <v>1321</v>
      </c>
      <c r="H1963" s="65" t="str">
        <f t="shared" si="90"/>
        <v>No Change</v>
      </c>
      <c r="I1963" s="65" t="str">
        <f t="shared" si="91"/>
        <v>511502</v>
      </c>
      <c r="J1963" s="65" t="str">
        <f t="shared" si="92"/>
        <v>511502</v>
      </c>
    </row>
    <row r="1964" spans="1:10" x14ac:dyDescent="0.3">
      <c r="A1964" s="27" t="s">
        <v>1860</v>
      </c>
      <c r="B1964" s="27" t="str">
        <f>"51.1503"</f>
        <v>51.1503</v>
      </c>
      <c r="C1964" s="64" t="s">
        <v>5060</v>
      </c>
      <c r="D1964" s="27" t="s">
        <v>2229</v>
      </c>
      <c r="E1964" s="27" t="s">
        <v>2232</v>
      </c>
      <c r="F1964" s="27" t="str">
        <f>"51.1503"</f>
        <v>51.1503</v>
      </c>
      <c r="G1964" s="27" t="s">
        <v>5060</v>
      </c>
      <c r="H1964" s="65" t="str">
        <f t="shared" si="90"/>
        <v>No Change</v>
      </c>
      <c r="I1964" s="65" t="str">
        <f t="shared" si="91"/>
        <v>511503</v>
      </c>
      <c r="J1964" s="65" t="str">
        <f t="shared" si="92"/>
        <v>511503</v>
      </c>
    </row>
    <row r="1965" spans="1:10" x14ac:dyDescent="0.3">
      <c r="A1965" s="27" t="s">
        <v>1819</v>
      </c>
      <c r="B1965" s="27" t="str">
        <f>"51.1504"</f>
        <v>51.1504</v>
      </c>
      <c r="C1965" s="64" t="s">
        <v>5061</v>
      </c>
      <c r="D1965" s="27" t="s">
        <v>2229</v>
      </c>
      <c r="E1965" s="27" t="s">
        <v>2232</v>
      </c>
      <c r="F1965" s="27" t="str">
        <f>"51.1504"</f>
        <v>51.1504</v>
      </c>
      <c r="G1965" s="27" t="s">
        <v>5061</v>
      </c>
      <c r="H1965" s="65" t="str">
        <f t="shared" si="90"/>
        <v>No Change</v>
      </c>
      <c r="I1965" s="65" t="str">
        <f t="shared" si="91"/>
        <v>511504</v>
      </c>
      <c r="J1965" s="65" t="str">
        <f t="shared" si="92"/>
        <v>511504</v>
      </c>
    </row>
    <row r="1966" spans="1:10" x14ac:dyDescent="0.3">
      <c r="A1966" s="27" t="s">
        <v>5062</v>
      </c>
      <c r="B1966" s="27" t="str">
        <f>"51.1505"</f>
        <v>51.1505</v>
      </c>
      <c r="C1966" s="64" t="s">
        <v>5063</v>
      </c>
      <c r="D1966" s="27" t="s">
        <v>2229</v>
      </c>
      <c r="E1966" s="27" t="s">
        <v>2232</v>
      </c>
      <c r="F1966" s="27" t="str">
        <f>"51.1505"</f>
        <v>51.1505</v>
      </c>
      <c r="G1966" s="27" t="s">
        <v>5063</v>
      </c>
      <c r="H1966" s="65" t="str">
        <f t="shared" si="90"/>
        <v>No Change</v>
      </c>
      <c r="I1966" s="65" t="str">
        <f t="shared" si="91"/>
        <v>511505</v>
      </c>
      <c r="J1966" s="65" t="str">
        <f t="shared" si="92"/>
        <v>511505</v>
      </c>
    </row>
    <row r="1967" spans="1:10" x14ac:dyDescent="0.3">
      <c r="A1967" s="27" t="s">
        <v>5064</v>
      </c>
      <c r="B1967" s="27" t="str">
        <f>"51.1506"</f>
        <v>51.1506</v>
      </c>
      <c r="C1967" s="64" t="s">
        <v>5065</v>
      </c>
      <c r="D1967" s="27" t="s">
        <v>2229</v>
      </c>
      <c r="E1967" s="27" t="s">
        <v>2232</v>
      </c>
      <c r="F1967" s="27" t="str">
        <f>"51.1506"</f>
        <v>51.1506</v>
      </c>
      <c r="G1967" s="27" t="s">
        <v>5065</v>
      </c>
      <c r="H1967" s="65" t="str">
        <f t="shared" si="90"/>
        <v>No Change</v>
      </c>
      <c r="I1967" s="65" t="str">
        <f t="shared" si="91"/>
        <v>511506</v>
      </c>
      <c r="J1967" s="65" t="str">
        <f t="shared" si="92"/>
        <v>511506</v>
      </c>
    </row>
    <row r="1968" spans="1:10" x14ac:dyDescent="0.3">
      <c r="A1968" s="27" t="s">
        <v>5066</v>
      </c>
      <c r="B1968" s="27" t="str">
        <f>"51.1507"</f>
        <v>51.1507</v>
      </c>
      <c r="C1968" s="64" t="s">
        <v>5067</v>
      </c>
      <c r="D1968" s="27" t="s">
        <v>2229</v>
      </c>
      <c r="E1968" s="27" t="s">
        <v>2232</v>
      </c>
      <c r="F1968" s="27" t="str">
        <f>"51.1507"</f>
        <v>51.1507</v>
      </c>
      <c r="G1968" s="27" t="s">
        <v>5067</v>
      </c>
      <c r="H1968" s="65" t="str">
        <f t="shared" si="90"/>
        <v>No Change</v>
      </c>
      <c r="I1968" s="65" t="str">
        <f t="shared" si="91"/>
        <v>511507</v>
      </c>
      <c r="J1968" s="65" t="str">
        <f t="shared" si="92"/>
        <v>511507</v>
      </c>
    </row>
    <row r="1969" spans="1:10" x14ac:dyDescent="0.3">
      <c r="A1969" s="27" t="s">
        <v>5068</v>
      </c>
      <c r="B1969" s="27" t="str">
        <f>"51.1508"</f>
        <v>51.1508</v>
      </c>
      <c r="C1969" s="64" t="s">
        <v>5069</v>
      </c>
      <c r="D1969" s="27" t="s">
        <v>2229</v>
      </c>
      <c r="E1969" s="27" t="s">
        <v>2232</v>
      </c>
      <c r="F1969" s="27" t="str">
        <f>"51.1508"</f>
        <v>51.1508</v>
      </c>
      <c r="G1969" s="27" t="s">
        <v>5069</v>
      </c>
      <c r="H1969" s="65" t="str">
        <f t="shared" si="90"/>
        <v>No Change</v>
      </c>
      <c r="I1969" s="65" t="str">
        <f t="shared" si="91"/>
        <v>511508</v>
      </c>
      <c r="J1969" s="65" t="str">
        <f t="shared" si="92"/>
        <v>511508</v>
      </c>
    </row>
    <row r="1970" spans="1:10" x14ac:dyDescent="0.3">
      <c r="A1970" s="27" t="s">
        <v>5070</v>
      </c>
      <c r="B1970" s="27" t="str">
        <f>"51.1509"</f>
        <v>51.1509</v>
      </c>
      <c r="C1970" s="64" t="s">
        <v>5071</v>
      </c>
      <c r="D1970" s="27" t="s">
        <v>2229</v>
      </c>
      <c r="E1970" s="27" t="s">
        <v>2232</v>
      </c>
      <c r="F1970" s="27" t="str">
        <f>"51.1509"</f>
        <v>51.1509</v>
      </c>
      <c r="G1970" s="27" t="s">
        <v>5071</v>
      </c>
      <c r="H1970" s="65" t="str">
        <f t="shared" si="90"/>
        <v>No Change</v>
      </c>
      <c r="I1970" s="65" t="str">
        <f t="shared" si="91"/>
        <v>511509</v>
      </c>
      <c r="J1970" s="65" t="str">
        <f t="shared" si="92"/>
        <v>511509</v>
      </c>
    </row>
    <row r="1971" spans="1:10" x14ac:dyDescent="0.3">
      <c r="A1971" s="27" t="s">
        <v>1869</v>
      </c>
      <c r="D1971" s="27" t="s">
        <v>2255</v>
      </c>
      <c r="E1971" s="27" t="s">
        <v>2232</v>
      </c>
      <c r="F1971" s="27" t="str">
        <f>"51.1510"</f>
        <v>51.1510</v>
      </c>
      <c r="G1971" s="27" t="s">
        <v>5072</v>
      </c>
      <c r="H1971" s="65" t="str">
        <f t="shared" si="90"/>
        <v>Other</v>
      </c>
      <c r="I1971" s="65" t="str">
        <f t="shared" si="91"/>
        <v/>
      </c>
      <c r="J1971" s="65" t="str">
        <f t="shared" si="92"/>
        <v>511510</v>
      </c>
    </row>
    <row r="1972" spans="1:10" x14ac:dyDescent="0.3">
      <c r="A1972" s="27" t="s">
        <v>1869</v>
      </c>
      <c r="D1972" s="27" t="s">
        <v>2255</v>
      </c>
      <c r="E1972" s="27" t="s">
        <v>2232</v>
      </c>
      <c r="F1972" s="27" t="str">
        <f>"51.1511"</f>
        <v>51.1511</v>
      </c>
      <c r="G1972" s="27" t="s">
        <v>5073</v>
      </c>
      <c r="H1972" s="65" t="str">
        <f t="shared" si="90"/>
        <v>Other</v>
      </c>
      <c r="I1972" s="65" t="str">
        <f t="shared" si="91"/>
        <v/>
      </c>
      <c r="J1972" s="65" t="str">
        <f t="shared" si="92"/>
        <v>511511</v>
      </c>
    </row>
    <row r="1973" spans="1:10" x14ac:dyDescent="0.3">
      <c r="A1973" s="27" t="s">
        <v>1869</v>
      </c>
      <c r="D1973" s="27" t="s">
        <v>2255</v>
      </c>
      <c r="E1973" s="27" t="s">
        <v>2232</v>
      </c>
      <c r="F1973" s="27" t="str">
        <f>"51.1512"</f>
        <v>51.1512</v>
      </c>
      <c r="G1973" s="27" t="s">
        <v>5074</v>
      </c>
      <c r="H1973" s="65" t="str">
        <f t="shared" si="90"/>
        <v>Other</v>
      </c>
      <c r="I1973" s="65" t="str">
        <f t="shared" si="91"/>
        <v/>
      </c>
      <c r="J1973" s="65" t="str">
        <f t="shared" si="92"/>
        <v>511512</v>
      </c>
    </row>
    <row r="1974" spans="1:10" x14ac:dyDescent="0.3">
      <c r="A1974" s="27" t="s">
        <v>1869</v>
      </c>
      <c r="D1974" s="27" t="s">
        <v>2255</v>
      </c>
      <c r="E1974" s="27" t="s">
        <v>2232</v>
      </c>
      <c r="F1974" s="27" t="str">
        <f>"51.1513"</f>
        <v>51.1513</v>
      </c>
      <c r="G1974" s="27" t="s">
        <v>5075</v>
      </c>
      <c r="H1974" s="65" t="str">
        <f t="shared" si="90"/>
        <v>Other</v>
      </c>
      <c r="I1974" s="65" t="str">
        <f t="shared" si="91"/>
        <v/>
      </c>
      <c r="J1974" s="65" t="str">
        <f t="shared" si="92"/>
        <v>511513</v>
      </c>
    </row>
    <row r="1975" spans="1:10" ht="28.8" x14ac:dyDescent="0.3">
      <c r="A1975" s="27" t="s">
        <v>386</v>
      </c>
      <c r="B1975" s="27" t="str">
        <f>"51.1599"</f>
        <v>51.1599</v>
      </c>
      <c r="C1975" s="64" t="s">
        <v>387</v>
      </c>
      <c r="D1975" s="27" t="s">
        <v>2229</v>
      </c>
      <c r="E1975" s="27" t="s">
        <v>2232</v>
      </c>
      <c r="F1975" s="27" t="str">
        <f>"51.1599"</f>
        <v>51.1599</v>
      </c>
      <c r="G1975" s="27" t="s">
        <v>387</v>
      </c>
      <c r="H1975" s="65" t="str">
        <f t="shared" si="90"/>
        <v>No Change</v>
      </c>
      <c r="I1975" s="65" t="str">
        <f t="shared" si="91"/>
        <v>511599</v>
      </c>
      <c r="J1975" s="65" t="str">
        <f t="shared" si="92"/>
        <v>511599</v>
      </c>
    </row>
    <row r="1976" spans="1:10" x14ac:dyDescent="0.3">
      <c r="A1976" s="27" t="s">
        <v>1869</v>
      </c>
      <c r="B1976" s="27" t="str">
        <f>"51.17"</f>
        <v>51.17</v>
      </c>
      <c r="C1976" s="64" t="s">
        <v>5076</v>
      </c>
      <c r="D1976" s="27" t="s">
        <v>2229</v>
      </c>
      <c r="E1976" s="27" t="s">
        <v>2232</v>
      </c>
      <c r="F1976" s="27" t="str">
        <f>"51.17"</f>
        <v>51.17</v>
      </c>
      <c r="G1976" s="27" t="s">
        <v>5076</v>
      </c>
      <c r="H1976" s="65" t="str">
        <f t="shared" si="90"/>
        <v>No Change</v>
      </c>
      <c r="I1976" s="65" t="str">
        <f t="shared" si="91"/>
        <v/>
      </c>
      <c r="J1976" s="65" t="str">
        <f t="shared" si="92"/>
        <v/>
      </c>
    </row>
    <row r="1977" spans="1:10" x14ac:dyDescent="0.3">
      <c r="A1977" s="27" t="s">
        <v>5077</v>
      </c>
      <c r="B1977" s="27" t="str">
        <f>"51.1701"</f>
        <v>51.1701</v>
      </c>
      <c r="C1977" s="64" t="s">
        <v>5076</v>
      </c>
      <c r="D1977" s="27" t="s">
        <v>2229</v>
      </c>
      <c r="E1977" s="27" t="s">
        <v>2232</v>
      </c>
      <c r="F1977" s="27" t="str">
        <f>"51.1701"</f>
        <v>51.1701</v>
      </c>
      <c r="G1977" s="27" t="s">
        <v>5076</v>
      </c>
      <c r="H1977" s="65" t="str">
        <f t="shared" si="90"/>
        <v>No Change</v>
      </c>
      <c r="I1977" s="65" t="str">
        <f t="shared" si="91"/>
        <v>511701</v>
      </c>
      <c r="J1977" s="65" t="str">
        <f t="shared" si="92"/>
        <v>511701</v>
      </c>
    </row>
    <row r="1978" spans="1:10" ht="28.8" x14ac:dyDescent="0.3">
      <c r="A1978" s="27" t="s">
        <v>1869</v>
      </c>
      <c r="B1978" s="27" t="str">
        <f>"51.18"</f>
        <v>51.18</v>
      </c>
      <c r="C1978" s="64" t="s">
        <v>5078</v>
      </c>
      <c r="D1978" s="27" t="s">
        <v>2229</v>
      </c>
      <c r="E1978" s="27" t="s">
        <v>2232</v>
      </c>
      <c r="F1978" s="27" t="str">
        <f>"51.18"</f>
        <v>51.18</v>
      </c>
      <c r="G1978" s="27" t="s">
        <v>5078</v>
      </c>
      <c r="H1978" s="65" t="str">
        <f t="shared" si="90"/>
        <v>No Change</v>
      </c>
      <c r="I1978" s="65" t="str">
        <f t="shared" si="91"/>
        <v/>
      </c>
      <c r="J1978" s="65" t="str">
        <f t="shared" si="92"/>
        <v/>
      </c>
    </row>
    <row r="1979" spans="1:10" x14ac:dyDescent="0.3">
      <c r="A1979" s="27" t="s">
        <v>462</v>
      </c>
      <c r="B1979" s="27" t="str">
        <f>"51.1801"</f>
        <v>51.1801</v>
      </c>
      <c r="C1979" s="64" t="s">
        <v>463</v>
      </c>
      <c r="D1979" s="27" t="s">
        <v>2229</v>
      </c>
      <c r="E1979" s="27" t="s">
        <v>2232</v>
      </c>
      <c r="F1979" s="27" t="str">
        <f>"51.1801"</f>
        <v>51.1801</v>
      </c>
      <c r="G1979" s="27" t="s">
        <v>463</v>
      </c>
      <c r="H1979" s="65" t="str">
        <f t="shared" si="90"/>
        <v>No Change</v>
      </c>
      <c r="I1979" s="65" t="str">
        <f t="shared" si="91"/>
        <v>511801</v>
      </c>
      <c r="J1979" s="65" t="str">
        <f t="shared" si="92"/>
        <v>511801</v>
      </c>
    </row>
    <row r="1980" spans="1:10" x14ac:dyDescent="0.3">
      <c r="A1980" s="27" t="s">
        <v>906</v>
      </c>
      <c r="B1980" s="27" t="str">
        <f>"51.1802"</f>
        <v>51.1802</v>
      </c>
      <c r="C1980" s="64" t="s">
        <v>907</v>
      </c>
      <c r="D1980" s="27" t="s">
        <v>2229</v>
      </c>
      <c r="E1980" s="27" t="s">
        <v>2232</v>
      </c>
      <c r="F1980" s="27" t="str">
        <f>"51.1802"</f>
        <v>51.1802</v>
      </c>
      <c r="G1980" s="27" t="s">
        <v>907</v>
      </c>
      <c r="H1980" s="65" t="str">
        <f t="shared" si="90"/>
        <v>No Change</v>
      </c>
      <c r="I1980" s="65" t="str">
        <f t="shared" si="91"/>
        <v>511802</v>
      </c>
      <c r="J1980" s="65" t="str">
        <f t="shared" si="92"/>
        <v>511802</v>
      </c>
    </row>
    <row r="1981" spans="1:10" x14ac:dyDescent="0.3">
      <c r="A1981" s="27" t="s">
        <v>339</v>
      </c>
      <c r="B1981" s="27" t="str">
        <f>"51.1803"</f>
        <v>51.1803</v>
      </c>
      <c r="C1981" s="64" t="s">
        <v>340</v>
      </c>
      <c r="D1981" s="27" t="s">
        <v>2229</v>
      </c>
      <c r="E1981" s="27" t="s">
        <v>2232</v>
      </c>
      <c r="F1981" s="27" t="str">
        <f>"51.1803"</f>
        <v>51.1803</v>
      </c>
      <c r="G1981" s="27" t="s">
        <v>340</v>
      </c>
      <c r="H1981" s="65" t="str">
        <f t="shared" si="90"/>
        <v>No Change</v>
      </c>
      <c r="I1981" s="65" t="str">
        <f t="shared" si="91"/>
        <v>511803</v>
      </c>
      <c r="J1981" s="65" t="str">
        <f t="shared" si="92"/>
        <v>511803</v>
      </c>
    </row>
    <row r="1982" spans="1:10" x14ac:dyDescent="0.3">
      <c r="A1982" s="27" t="s">
        <v>5079</v>
      </c>
      <c r="B1982" s="27" t="str">
        <f>"51.1804"</f>
        <v>51.1804</v>
      </c>
      <c r="C1982" s="64" t="s">
        <v>5080</v>
      </c>
      <c r="D1982" s="27" t="s">
        <v>2229</v>
      </c>
      <c r="E1982" s="27" t="s">
        <v>2232</v>
      </c>
      <c r="F1982" s="27" t="str">
        <f>"51.1804"</f>
        <v>51.1804</v>
      </c>
      <c r="G1982" s="27" t="s">
        <v>5080</v>
      </c>
      <c r="H1982" s="65" t="str">
        <f t="shared" si="90"/>
        <v>No Change</v>
      </c>
      <c r="I1982" s="65" t="str">
        <f t="shared" si="91"/>
        <v>511804</v>
      </c>
      <c r="J1982" s="65" t="str">
        <f t="shared" si="92"/>
        <v>511804</v>
      </c>
    </row>
    <row r="1983" spans="1:10" ht="28.8" x14ac:dyDescent="0.3">
      <c r="A1983" s="27" t="s">
        <v>5081</v>
      </c>
      <c r="B1983" s="27" t="str">
        <f>"51.1899"</f>
        <v>51.1899</v>
      </c>
      <c r="C1983" s="64" t="s">
        <v>5082</v>
      </c>
      <c r="D1983" s="27" t="s">
        <v>2229</v>
      </c>
      <c r="E1983" s="27" t="s">
        <v>2232</v>
      </c>
      <c r="F1983" s="27" t="str">
        <f>"51.1899"</f>
        <v>51.1899</v>
      </c>
      <c r="G1983" s="27" t="s">
        <v>5082</v>
      </c>
      <c r="H1983" s="65" t="str">
        <f t="shared" si="90"/>
        <v>No Change</v>
      </c>
      <c r="I1983" s="65" t="str">
        <f t="shared" si="91"/>
        <v>511899</v>
      </c>
      <c r="J1983" s="65" t="str">
        <f t="shared" si="92"/>
        <v>511899</v>
      </c>
    </row>
    <row r="1984" spans="1:10" x14ac:dyDescent="0.3">
      <c r="A1984" s="27" t="s">
        <v>1869</v>
      </c>
      <c r="B1984" s="27" t="str">
        <f>"51.19"</f>
        <v>51.19</v>
      </c>
      <c r="C1984" s="64" t="s">
        <v>5083</v>
      </c>
      <c r="D1984" s="27" t="s">
        <v>4581</v>
      </c>
      <c r="E1984" s="27" t="s">
        <v>2232</v>
      </c>
      <c r="F1984" s="27" t="str">
        <f>"51.19"</f>
        <v>51.19</v>
      </c>
      <c r="G1984" s="27" t="s">
        <v>5084</v>
      </c>
      <c r="H1984" s="65" t="str">
        <f t="shared" si="90"/>
        <v>No Change</v>
      </c>
      <c r="I1984" s="65" t="str">
        <f t="shared" si="91"/>
        <v/>
      </c>
      <c r="J1984" s="65" t="str">
        <f t="shared" si="92"/>
        <v/>
      </c>
    </row>
    <row r="1985" spans="1:10" x14ac:dyDescent="0.3">
      <c r="A1985" s="27" t="s">
        <v>5085</v>
      </c>
      <c r="B1985" s="27" t="str">
        <f>"51.1901"</f>
        <v>51.1901</v>
      </c>
      <c r="C1985" s="64" t="s">
        <v>5083</v>
      </c>
      <c r="D1985" s="27" t="s">
        <v>2274</v>
      </c>
      <c r="E1985" s="27" t="s">
        <v>2232</v>
      </c>
      <c r="F1985" s="27" t="str">
        <f>"51.1202"</f>
        <v>51.1202</v>
      </c>
      <c r="G1985" s="27" t="s">
        <v>5083</v>
      </c>
      <c r="H1985" s="65" t="str">
        <f t="shared" si="90"/>
        <v>Other</v>
      </c>
      <c r="I1985" s="65" t="str">
        <f t="shared" si="91"/>
        <v>511901</v>
      </c>
      <c r="J1985" s="65" t="str">
        <f t="shared" si="92"/>
        <v>511202</v>
      </c>
    </row>
    <row r="1986" spans="1:10" x14ac:dyDescent="0.3">
      <c r="A1986" s="27" t="s">
        <v>1869</v>
      </c>
      <c r="B1986" s="27" t="str">
        <f>"51.20"</f>
        <v>51.20</v>
      </c>
      <c r="C1986" s="64" t="s">
        <v>5086</v>
      </c>
      <c r="D1986" s="27" t="s">
        <v>2229</v>
      </c>
      <c r="E1986" s="27" t="s">
        <v>2232</v>
      </c>
      <c r="F1986" s="27" t="str">
        <f>"51.20"</f>
        <v>51.20</v>
      </c>
      <c r="G1986" s="27" t="s">
        <v>5086</v>
      </c>
      <c r="H1986" s="65" t="str">
        <f t="shared" si="90"/>
        <v>No Change</v>
      </c>
      <c r="I1986" s="65" t="str">
        <f t="shared" si="91"/>
        <v/>
      </c>
      <c r="J1986" s="65" t="str">
        <f t="shared" si="92"/>
        <v/>
      </c>
    </row>
    <row r="1987" spans="1:10" x14ac:dyDescent="0.3">
      <c r="A1987" s="27" t="s">
        <v>5087</v>
      </c>
      <c r="B1987" s="27" t="str">
        <f>"51.2001"</f>
        <v>51.2001</v>
      </c>
      <c r="C1987" s="64" t="s">
        <v>5088</v>
      </c>
      <c r="D1987" s="27" t="s">
        <v>2229</v>
      </c>
      <c r="E1987" s="27" t="s">
        <v>2232</v>
      </c>
      <c r="F1987" s="27" t="str">
        <f>"51.2001"</f>
        <v>51.2001</v>
      </c>
      <c r="G1987" s="27" t="s">
        <v>5088</v>
      </c>
      <c r="H1987" s="65" t="str">
        <f t="shared" ref="H1987:H2050" si="93">IF(I1987=J1987,"No Change","Other")</f>
        <v>No Change</v>
      </c>
      <c r="I1987" s="65" t="str">
        <f t="shared" ref="I1987:I2050" si="94">SUBSTITUTE(IF(SUM(LEN(B1987))&lt;7,"",B1987),".","")</f>
        <v>512001</v>
      </c>
      <c r="J1987" s="65" t="str">
        <f t="shared" ref="J1987:J2050" si="95">SUBSTITUTE(IF(SUM(LEN(F1987))&lt;7,"",F1987),".","")</f>
        <v>512001</v>
      </c>
    </row>
    <row r="1988" spans="1:10" ht="28.8" x14ac:dyDescent="0.3">
      <c r="A1988" s="27" t="s">
        <v>5089</v>
      </c>
      <c r="B1988" s="27" t="str">
        <f>"51.2002"</f>
        <v>51.2002</v>
      </c>
      <c r="C1988" s="64" t="s">
        <v>5090</v>
      </c>
      <c r="D1988" s="27" t="s">
        <v>2229</v>
      </c>
      <c r="E1988" s="27" t="s">
        <v>2232</v>
      </c>
      <c r="F1988" s="27" t="str">
        <f>"51.2002"</f>
        <v>51.2002</v>
      </c>
      <c r="G1988" s="27" t="s">
        <v>5090</v>
      </c>
      <c r="H1988" s="65" t="str">
        <f t="shared" si="93"/>
        <v>No Change</v>
      </c>
      <c r="I1988" s="65" t="str">
        <f t="shared" si="94"/>
        <v>512002</v>
      </c>
      <c r="J1988" s="65" t="str">
        <f t="shared" si="95"/>
        <v>512002</v>
      </c>
    </row>
    <row r="1989" spans="1:10" x14ac:dyDescent="0.3">
      <c r="A1989" s="27" t="s">
        <v>5091</v>
      </c>
      <c r="B1989" s="27" t="str">
        <f>"51.2003"</f>
        <v>51.2003</v>
      </c>
      <c r="C1989" s="64" t="s">
        <v>5092</v>
      </c>
      <c r="D1989" s="27" t="s">
        <v>2229</v>
      </c>
      <c r="E1989" s="27" t="s">
        <v>2232</v>
      </c>
      <c r="F1989" s="27" t="str">
        <f>"51.2003"</f>
        <v>51.2003</v>
      </c>
      <c r="G1989" s="27" t="s">
        <v>5092</v>
      </c>
      <c r="H1989" s="65" t="str">
        <f t="shared" si="93"/>
        <v>No Change</v>
      </c>
      <c r="I1989" s="65" t="str">
        <f t="shared" si="94"/>
        <v>512003</v>
      </c>
      <c r="J1989" s="65" t="str">
        <f t="shared" si="95"/>
        <v>512003</v>
      </c>
    </row>
    <row r="1990" spans="1:10" x14ac:dyDescent="0.3">
      <c r="A1990" s="27" t="s">
        <v>5093</v>
      </c>
      <c r="B1990" s="27" t="str">
        <f>"51.2004"</f>
        <v>51.2004</v>
      </c>
      <c r="C1990" s="64" t="s">
        <v>5094</v>
      </c>
      <c r="D1990" s="27" t="s">
        <v>2229</v>
      </c>
      <c r="E1990" s="27" t="s">
        <v>2232</v>
      </c>
      <c r="F1990" s="27" t="str">
        <f>"51.2004"</f>
        <v>51.2004</v>
      </c>
      <c r="G1990" s="27" t="s">
        <v>5094</v>
      </c>
      <c r="H1990" s="65" t="str">
        <f t="shared" si="93"/>
        <v>No Change</v>
      </c>
      <c r="I1990" s="65" t="str">
        <f t="shared" si="94"/>
        <v>512004</v>
      </c>
      <c r="J1990" s="65" t="str">
        <f t="shared" si="95"/>
        <v>512004</v>
      </c>
    </row>
    <row r="1991" spans="1:10" x14ac:dyDescent="0.3">
      <c r="A1991" s="27" t="s">
        <v>5095</v>
      </c>
      <c r="B1991" s="27" t="str">
        <f>"51.2005"</f>
        <v>51.2005</v>
      </c>
      <c r="C1991" s="64" t="s">
        <v>5096</v>
      </c>
      <c r="D1991" s="27" t="s">
        <v>2229</v>
      </c>
      <c r="E1991" s="27" t="s">
        <v>2232</v>
      </c>
      <c r="F1991" s="27" t="str">
        <f>"51.2005"</f>
        <v>51.2005</v>
      </c>
      <c r="G1991" s="27" t="s">
        <v>5096</v>
      </c>
      <c r="H1991" s="65" t="str">
        <f t="shared" si="93"/>
        <v>No Change</v>
      </c>
      <c r="I1991" s="65" t="str">
        <f t="shared" si="94"/>
        <v>512005</v>
      </c>
      <c r="J1991" s="65" t="str">
        <f t="shared" si="95"/>
        <v>512005</v>
      </c>
    </row>
    <row r="1992" spans="1:10" x14ac:dyDescent="0.3">
      <c r="A1992" s="27" t="s">
        <v>5097</v>
      </c>
      <c r="B1992" s="27" t="str">
        <f>"51.2006"</f>
        <v>51.2006</v>
      </c>
      <c r="C1992" s="64" t="s">
        <v>5098</v>
      </c>
      <c r="D1992" s="27" t="s">
        <v>2229</v>
      </c>
      <c r="E1992" s="27" t="s">
        <v>2232</v>
      </c>
      <c r="F1992" s="27" t="str">
        <f>"51.2006"</f>
        <v>51.2006</v>
      </c>
      <c r="G1992" s="27" t="s">
        <v>5098</v>
      </c>
      <c r="H1992" s="65" t="str">
        <f t="shared" si="93"/>
        <v>No Change</v>
      </c>
      <c r="I1992" s="65" t="str">
        <f t="shared" si="94"/>
        <v>512006</v>
      </c>
      <c r="J1992" s="65" t="str">
        <f t="shared" si="95"/>
        <v>512006</v>
      </c>
    </row>
    <row r="1993" spans="1:10" x14ac:dyDescent="0.3">
      <c r="A1993" s="27" t="s">
        <v>5099</v>
      </c>
      <c r="B1993" s="27" t="str">
        <f>"51.2007"</f>
        <v>51.2007</v>
      </c>
      <c r="C1993" s="64" t="s">
        <v>5100</v>
      </c>
      <c r="D1993" s="27" t="s">
        <v>2229</v>
      </c>
      <c r="E1993" s="27" t="s">
        <v>2232</v>
      </c>
      <c r="F1993" s="27" t="str">
        <f>"51.2007"</f>
        <v>51.2007</v>
      </c>
      <c r="G1993" s="27" t="s">
        <v>5100</v>
      </c>
      <c r="H1993" s="65" t="str">
        <f t="shared" si="93"/>
        <v>No Change</v>
      </c>
      <c r="I1993" s="65" t="str">
        <f t="shared" si="94"/>
        <v>512007</v>
      </c>
      <c r="J1993" s="65" t="str">
        <f t="shared" si="95"/>
        <v>512007</v>
      </c>
    </row>
    <row r="1994" spans="1:10" x14ac:dyDescent="0.3">
      <c r="A1994" s="27" t="s">
        <v>5101</v>
      </c>
      <c r="B1994" s="27" t="str">
        <f>"51.2008"</f>
        <v>51.2008</v>
      </c>
      <c r="C1994" s="64" t="s">
        <v>5102</v>
      </c>
      <c r="D1994" s="27" t="s">
        <v>2229</v>
      </c>
      <c r="E1994" s="27" t="s">
        <v>2232</v>
      </c>
      <c r="F1994" s="27" t="str">
        <f>"51.2008"</f>
        <v>51.2008</v>
      </c>
      <c r="G1994" s="27" t="s">
        <v>5102</v>
      </c>
      <c r="H1994" s="65" t="str">
        <f t="shared" si="93"/>
        <v>No Change</v>
      </c>
      <c r="I1994" s="65" t="str">
        <f t="shared" si="94"/>
        <v>512008</v>
      </c>
      <c r="J1994" s="65" t="str">
        <f t="shared" si="95"/>
        <v>512008</v>
      </c>
    </row>
    <row r="1995" spans="1:10" x14ac:dyDescent="0.3">
      <c r="A1995" s="27" t="s">
        <v>5103</v>
      </c>
      <c r="B1995" s="27" t="str">
        <f>"51.2009"</f>
        <v>51.2009</v>
      </c>
      <c r="C1995" s="64" t="s">
        <v>5104</v>
      </c>
      <c r="D1995" s="27" t="s">
        <v>2229</v>
      </c>
      <c r="E1995" s="27" t="s">
        <v>2232</v>
      </c>
      <c r="F1995" s="27" t="str">
        <f>"51.2009"</f>
        <v>51.2009</v>
      </c>
      <c r="G1995" s="27" t="s">
        <v>5104</v>
      </c>
      <c r="H1995" s="65" t="str">
        <f t="shared" si="93"/>
        <v>No Change</v>
      </c>
      <c r="I1995" s="65" t="str">
        <f t="shared" si="94"/>
        <v>512009</v>
      </c>
      <c r="J1995" s="65" t="str">
        <f t="shared" si="95"/>
        <v>512009</v>
      </c>
    </row>
    <row r="1996" spans="1:10" x14ac:dyDescent="0.3">
      <c r="A1996" s="27" t="s">
        <v>5105</v>
      </c>
      <c r="B1996" s="27" t="str">
        <f>"51.2010"</f>
        <v>51.2010</v>
      </c>
      <c r="C1996" s="64" t="s">
        <v>5106</v>
      </c>
      <c r="D1996" s="27" t="s">
        <v>2229</v>
      </c>
      <c r="E1996" s="27" t="s">
        <v>2232</v>
      </c>
      <c r="F1996" s="27" t="str">
        <f>"51.2010"</f>
        <v>51.2010</v>
      </c>
      <c r="G1996" s="27" t="s">
        <v>5106</v>
      </c>
      <c r="H1996" s="65" t="str">
        <f t="shared" si="93"/>
        <v>No Change</v>
      </c>
      <c r="I1996" s="65" t="str">
        <f t="shared" si="94"/>
        <v>512010</v>
      </c>
      <c r="J1996" s="65" t="str">
        <f t="shared" si="95"/>
        <v>512010</v>
      </c>
    </row>
    <row r="1997" spans="1:10" x14ac:dyDescent="0.3">
      <c r="A1997" s="27" t="s">
        <v>5107</v>
      </c>
      <c r="B1997" s="27" t="str">
        <f>"51.2011"</f>
        <v>51.2011</v>
      </c>
      <c r="C1997" s="64" t="s">
        <v>5108</v>
      </c>
      <c r="D1997" s="27" t="s">
        <v>2229</v>
      </c>
      <c r="E1997" s="27" t="s">
        <v>2232</v>
      </c>
      <c r="F1997" s="27" t="str">
        <f>"51.2011"</f>
        <v>51.2011</v>
      </c>
      <c r="G1997" s="27" t="s">
        <v>5108</v>
      </c>
      <c r="H1997" s="65" t="str">
        <f t="shared" si="93"/>
        <v>No Change</v>
      </c>
      <c r="I1997" s="65" t="str">
        <f t="shared" si="94"/>
        <v>512011</v>
      </c>
      <c r="J1997" s="65" t="str">
        <f t="shared" si="95"/>
        <v>512011</v>
      </c>
    </row>
    <row r="1998" spans="1:10" x14ac:dyDescent="0.3">
      <c r="A1998" s="27" t="s">
        <v>5109</v>
      </c>
      <c r="B1998" s="27" t="str">
        <f>"51.2099"</f>
        <v>51.2099</v>
      </c>
      <c r="C1998" s="64" t="s">
        <v>5110</v>
      </c>
      <c r="D1998" s="27" t="s">
        <v>2229</v>
      </c>
      <c r="E1998" s="27" t="s">
        <v>2232</v>
      </c>
      <c r="F1998" s="27" t="str">
        <f>"51.2099"</f>
        <v>51.2099</v>
      </c>
      <c r="G1998" s="27" t="s">
        <v>5110</v>
      </c>
      <c r="H1998" s="65" t="str">
        <f t="shared" si="93"/>
        <v>No Change</v>
      </c>
      <c r="I1998" s="65" t="str">
        <f t="shared" si="94"/>
        <v>512099</v>
      </c>
      <c r="J1998" s="65" t="str">
        <f t="shared" si="95"/>
        <v>512099</v>
      </c>
    </row>
    <row r="1999" spans="1:10" x14ac:dyDescent="0.3">
      <c r="A1999" s="27" t="s">
        <v>1869</v>
      </c>
      <c r="B1999" s="27" t="str">
        <f>"51.21"</f>
        <v>51.21</v>
      </c>
      <c r="C1999" s="64" t="s">
        <v>5111</v>
      </c>
      <c r="D1999" s="27" t="s">
        <v>4581</v>
      </c>
      <c r="E1999" s="27" t="s">
        <v>2232</v>
      </c>
      <c r="F1999" s="27" t="str">
        <f>"51.21"</f>
        <v>51.21</v>
      </c>
      <c r="G1999" s="27" t="s">
        <v>5112</v>
      </c>
      <c r="H1999" s="65" t="str">
        <f t="shared" si="93"/>
        <v>No Change</v>
      </c>
      <c r="I1999" s="65" t="str">
        <f t="shared" si="94"/>
        <v/>
      </c>
      <c r="J1999" s="65" t="str">
        <f t="shared" si="95"/>
        <v/>
      </c>
    </row>
    <row r="2000" spans="1:10" x14ac:dyDescent="0.3">
      <c r="A2000" s="27" t="s">
        <v>5113</v>
      </c>
      <c r="B2000" s="27" t="str">
        <f>"51.2101"</f>
        <v>51.2101</v>
      </c>
      <c r="C2000" s="64" t="s">
        <v>5111</v>
      </c>
      <c r="D2000" s="27" t="s">
        <v>2274</v>
      </c>
      <c r="E2000" s="27" t="s">
        <v>2232</v>
      </c>
      <c r="F2000" s="27" t="str">
        <f>"51.1203"</f>
        <v>51.1203</v>
      </c>
      <c r="G2000" s="27" t="s">
        <v>5111</v>
      </c>
      <c r="H2000" s="65" t="str">
        <f t="shared" si="93"/>
        <v>Other</v>
      </c>
      <c r="I2000" s="65" t="str">
        <f t="shared" si="94"/>
        <v>512101</v>
      </c>
      <c r="J2000" s="65" t="str">
        <f t="shared" si="95"/>
        <v>511203</v>
      </c>
    </row>
    <row r="2001" spans="1:10" x14ac:dyDescent="0.3">
      <c r="A2001" s="27" t="s">
        <v>1869</v>
      </c>
      <c r="B2001" s="27" t="str">
        <f>"51.22"</f>
        <v>51.22</v>
      </c>
      <c r="C2001" s="64" t="s">
        <v>5114</v>
      </c>
      <c r="D2001" s="27" t="s">
        <v>2229</v>
      </c>
      <c r="E2001" s="27" t="s">
        <v>2232</v>
      </c>
      <c r="F2001" s="27" t="str">
        <f>"51.22"</f>
        <v>51.22</v>
      </c>
      <c r="G2001" s="27" t="s">
        <v>5114</v>
      </c>
      <c r="H2001" s="65" t="str">
        <f t="shared" si="93"/>
        <v>No Change</v>
      </c>
      <c r="I2001" s="65" t="str">
        <f t="shared" si="94"/>
        <v/>
      </c>
      <c r="J2001" s="65" t="str">
        <f t="shared" si="95"/>
        <v/>
      </c>
    </row>
    <row r="2002" spans="1:10" x14ac:dyDescent="0.3">
      <c r="A2002" s="27" t="s">
        <v>5115</v>
      </c>
      <c r="B2002" s="27" t="str">
        <f>"51.2201"</f>
        <v>51.2201</v>
      </c>
      <c r="C2002" s="64" t="s">
        <v>5116</v>
      </c>
      <c r="D2002" s="27" t="s">
        <v>2229</v>
      </c>
      <c r="E2002" s="27" t="s">
        <v>2232</v>
      </c>
      <c r="F2002" s="27" t="str">
        <f>"51.2201"</f>
        <v>51.2201</v>
      </c>
      <c r="G2002" s="27" t="s">
        <v>5116</v>
      </c>
      <c r="H2002" s="65" t="str">
        <f t="shared" si="93"/>
        <v>No Change</v>
      </c>
      <c r="I2002" s="65" t="str">
        <f t="shared" si="94"/>
        <v>512201</v>
      </c>
      <c r="J2002" s="65" t="str">
        <f t="shared" si="95"/>
        <v>512201</v>
      </c>
    </row>
    <row r="2003" spans="1:10" x14ac:dyDescent="0.3">
      <c r="A2003" s="27" t="s">
        <v>5117</v>
      </c>
      <c r="B2003" s="27" t="str">
        <f>"51.2202"</f>
        <v>51.2202</v>
      </c>
      <c r="C2003" s="64" t="s">
        <v>5118</v>
      </c>
      <c r="D2003" s="27" t="s">
        <v>2229</v>
      </c>
      <c r="E2003" s="27" t="s">
        <v>2232</v>
      </c>
      <c r="F2003" s="27" t="str">
        <f>"51.2202"</f>
        <v>51.2202</v>
      </c>
      <c r="G2003" s="27" t="s">
        <v>5118</v>
      </c>
      <c r="H2003" s="65" t="str">
        <f t="shared" si="93"/>
        <v>No Change</v>
      </c>
      <c r="I2003" s="65" t="str">
        <f t="shared" si="94"/>
        <v>512202</v>
      </c>
      <c r="J2003" s="65" t="str">
        <f t="shared" si="95"/>
        <v>512202</v>
      </c>
    </row>
    <row r="2004" spans="1:10" x14ac:dyDescent="0.3">
      <c r="A2004" s="27" t="s">
        <v>5119</v>
      </c>
      <c r="B2004" s="27" t="str">
        <f>"51.2205"</f>
        <v>51.2205</v>
      </c>
      <c r="C2004" s="64" t="s">
        <v>5120</v>
      </c>
      <c r="D2004" s="27" t="s">
        <v>2229</v>
      </c>
      <c r="E2004" s="27" t="s">
        <v>2232</v>
      </c>
      <c r="F2004" s="27" t="str">
        <f>"51.2205"</f>
        <v>51.2205</v>
      </c>
      <c r="G2004" s="27" t="s">
        <v>5120</v>
      </c>
      <c r="H2004" s="65" t="str">
        <f t="shared" si="93"/>
        <v>No Change</v>
      </c>
      <c r="I2004" s="65" t="str">
        <f t="shared" si="94"/>
        <v>512205</v>
      </c>
      <c r="J2004" s="65" t="str">
        <f t="shared" si="95"/>
        <v>512205</v>
      </c>
    </row>
    <row r="2005" spans="1:10" x14ac:dyDescent="0.3">
      <c r="A2005" s="27" t="s">
        <v>5121</v>
      </c>
      <c r="B2005" s="27" t="str">
        <f>"51.2206"</f>
        <v>51.2206</v>
      </c>
      <c r="C2005" s="64" t="s">
        <v>5122</v>
      </c>
      <c r="D2005" s="27" t="s">
        <v>2229</v>
      </c>
      <c r="E2005" s="27" t="s">
        <v>2232</v>
      </c>
      <c r="F2005" s="27" t="str">
        <f>"51.2206"</f>
        <v>51.2206</v>
      </c>
      <c r="G2005" s="27" t="s">
        <v>5122</v>
      </c>
      <c r="H2005" s="65" t="str">
        <f t="shared" si="93"/>
        <v>No Change</v>
      </c>
      <c r="I2005" s="65" t="str">
        <f t="shared" si="94"/>
        <v>512206</v>
      </c>
      <c r="J2005" s="65" t="str">
        <f t="shared" si="95"/>
        <v>512206</v>
      </c>
    </row>
    <row r="2006" spans="1:10" x14ac:dyDescent="0.3">
      <c r="A2006" s="27" t="s">
        <v>5123</v>
      </c>
      <c r="B2006" s="27" t="str">
        <f>"51.2207"</f>
        <v>51.2207</v>
      </c>
      <c r="C2006" s="64" t="s">
        <v>5124</v>
      </c>
      <c r="D2006" s="27" t="s">
        <v>2229</v>
      </c>
      <c r="E2006" s="27" t="s">
        <v>2232</v>
      </c>
      <c r="F2006" s="27" t="str">
        <f>"51.2207"</f>
        <v>51.2207</v>
      </c>
      <c r="G2006" s="27" t="s">
        <v>5124</v>
      </c>
      <c r="H2006" s="65" t="str">
        <f t="shared" si="93"/>
        <v>No Change</v>
      </c>
      <c r="I2006" s="65" t="str">
        <f t="shared" si="94"/>
        <v>512207</v>
      </c>
      <c r="J2006" s="65" t="str">
        <f t="shared" si="95"/>
        <v>512207</v>
      </c>
    </row>
    <row r="2007" spans="1:10" x14ac:dyDescent="0.3">
      <c r="A2007" s="27" t="s">
        <v>5125</v>
      </c>
      <c r="B2007" s="27" t="str">
        <f>"51.2208"</f>
        <v>51.2208</v>
      </c>
      <c r="C2007" s="64" t="s">
        <v>1992</v>
      </c>
      <c r="D2007" s="27" t="s">
        <v>2229</v>
      </c>
      <c r="E2007" s="27" t="s">
        <v>2232</v>
      </c>
      <c r="F2007" s="27" t="str">
        <f>"51.2208"</f>
        <v>51.2208</v>
      </c>
      <c r="G2007" s="27" t="s">
        <v>1992</v>
      </c>
      <c r="H2007" s="65" t="str">
        <f t="shared" si="93"/>
        <v>No Change</v>
      </c>
      <c r="I2007" s="65" t="str">
        <f t="shared" si="94"/>
        <v>512208</v>
      </c>
      <c r="J2007" s="65" t="str">
        <f t="shared" si="95"/>
        <v>512208</v>
      </c>
    </row>
    <row r="2008" spans="1:10" x14ac:dyDescent="0.3">
      <c r="A2008" s="27" t="s">
        <v>5126</v>
      </c>
      <c r="B2008" s="27" t="str">
        <f>"51.2209"</f>
        <v>51.2209</v>
      </c>
      <c r="C2008" s="64" t="s">
        <v>5127</v>
      </c>
      <c r="D2008" s="27" t="s">
        <v>2229</v>
      </c>
      <c r="E2008" s="27" t="s">
        <v>2232</v>
      </c>
      <c r="F2008" s="27" t="str">
        <f>"51.2209"</f>
        <v>51.2209</v>
      </c>
      <c r="G2008" s="27" t="s">
        <v>5127</v>
      </c>
      <c r="H2008" s="65" t="str">
        <f t="shared" si="93"/>
        <v>No Change</v>
      </c>
      <c r="I2008" s="65" t="str">
        <f t="shared" si="94"/>
        <v>512209</v>
      </c>
      <c r="J2008" s="65" t="str">
        <f t="shared" si="95"/>
        <v>512209</v>
      </c>
    </row>
    <row r="2009" spans="1:10" x14ac:dyDescent="0.3">
      <c r="A2009" s="27" t="s">
        <v>5128</v>
      </c>
      <c r="B2009" s="27" t="str">
        <f>"51.2210"</f>
        <v>51.2210</v>
      </c>
      <c r="C2009" s="64" t="s">
        <v>5129</v>
      </c>
      <c r="D2009" s="27" t="s">
        <v>2229</v>
      </c>
      <c r="E2009" s="27" t="s">
        <v>2232</v>
      </c>
      <c r="F2009" s="27" t="str">
        <f>"51.2210"</f>
        <v>51.2210</v>
      </c>
      <c r="G2009" s="27" t="s">
        <v>5129</v>
      </c>
      <c r="H2009" s="65" t="str">
        <f t="shared" si="93"/>
        <v>No Change</v>
      </c>
      <c r="I2009" s="65" t="str">
        <f t="shared" si="94"/>
        <v>512210</v>
      </c>
      <c r="J2009" s="65" t="str">
        <f t="shared" si="95"/>
        <v>512210</v>
      </c>
    </row>
    <row r="2010" spans="1:10" x14ac:dyDescent="0.3">
      <c r="A2010" s="27" t="s">
        <v>209</v>
      </c>
      <c r="B2010" s="27" t="str">
        <f>"51.2211"</f>
        <v>51.2211</v>
      </c>
      <c r="C2010" s="64" t="s">
        <v>5130</v>
      </c>
      <c r="D2010" s="27" t="s">
        <v>2229</v>
      </c>
      <c r="E2010" s="27" t="s">
        <v>2232</v>
      </c>
      <c r="F2010" s="27" t="str">
        <f>"51.2211"</f>
        <v>51.2211</v>
      </c>
      <c r="G2010" s="27" t="s">
        <v>5130</v>
      </c>
      <c r="H2010" s="65" t="str">
        <f t="shared" si="93"/>
        <v>No Change</v>
      </c>
      <c r="I2010" s="65" t="str">
        <f t="shared" si="94"/>
        <v>512211</v>
      </c>
      <c r="J2010" s="65" t="str">
        <f t="shared" si="95"/>
        <v>512211</v>
      </c>
    </row>
    <row r="2011" spans="1:10" x14ac:dyDescent="0.3">
      <c r="A2011" s="27" t="s">
        <v>5131</v>
      </c>
      <c r="B2011" s="27" t="str">
        <f>"51.2212"</f>
        <v>51.2212</v>
      </c>
      <c r="C2011" s="64" t="s">
        <v>5132</v>
      </c>
      <c r="D2011" s="27" t="s">
        <v>2229</v>
      </c>
      <c r="E2011" s="27" t="s">
        <v>2232</v>
      </c>
      <c r="F2011" s="27" t="str">
        <f>"51.2212"</f>
        <v>51.2212</v>
      </c>
      <c r="G2011" s="27" t="s">
        <v>5132</v>
      </c>
      <c r="H2011" s="65" t="str">
        <f t="shared" si="93"/>
        <v>No Change</v>
      </c>
      <c r="I2011" s="65" t="str">
        <f t="shared" si="94"/>
        <v>512212</v>
      </c>
      <c r="J2011" s="65" t="str">
        <f t="shared" si="95"/>
        <v>512212</v>
      </c>
    </row>
    <row r="2012" spans="1:10" x14ac:dyDescent="0.3">
      <c r="A2012" s="27" t="s">
        <v>1869</v>
      </c>
      <c r="D2012" s="27" t="s">
        <v>2255</v>
      </c>
      <c r="E2012" s="27" t="s">
        <v>2232</v>
      </c>
      <c r="F2012" s="27" t="str">
        <f>"51.2213"</f>
        <v>51.2213</v>
      </c>
      <c r="G2012" s="27" t="s">
        <v>5133</v>
      </c>
      <c r="H2012" s="65" t="str">
        <f t="shared" si="93"/>
        <v>Other</v>
      </c>
      <c r="I2012" s="65" t="str">
        <f t="shared" si="94"/>
        <v/>
      </c>
      <c r="J2012" s="65" t="str">
        <f t="shared" si="95"/>
        <v>512213</v>
      </c>
    </row>
    <row r="2013" spans="1:10" x14ac:dyDescent="0.3">
      <c r="A2013" s="27" t="s">
        <v>1869</v>
      </c>
      <c r="D2013" s="27" t="s">
        <v>2255</v>
      </c>
      <c r="E2013" s="27" t="s">
        <v>2232</v>
      </c>
      <c r="F2013" s="27" t="str">
        <f>"51.2214"</f>
        <v>51.2214</v>
      </c>
      <c r="G2013" s="27" t="s">
        <v>5134</v>
      </c>
      <c r="H2013" s="65" t="str">
        <f t="shared" si="93"/>
        <v>Other</v>
      </c>
      <c r="I2013" s="65" t="str">
        <f t="shared" si="94"/>
        <v/>
      </c>
      <c r="J2013" s="65" t="str">
        <f t="shared" si="95"/>
        <v>512214</v>
      </c>
    </row>
    <row r="2014" spans="1:10" x14ac:dyDescent="0.3">
      <c r="A2014" s="27" t="s">
        <v>5135</v>
      </c>
      <c r="B2014" s="27" t="str">
        <f>"51.2299"</f>
        <v>51.2299</v>
      </c>
      <c r="C2014" s="64" t="s">
        <v>5136</v>
      </c>
      <c r="D2014" s="27" t="s">
        <v>2229</v>
      </c>
      <c r="E2014" s="27" t="s">
        <v>2232</v>
      </c>
      <c r="F2014" s="27" t="str">
        <f>"51.2299"</f>
        <v>51.2299</v>
      </c>
      <c r="G2014" s="27" t="s">
        <v>5136</v>
      </c>
      <c r="H2014" s="65" t="str">
        <f t="shared" si="93"/>
        <v>No Change</v>
      </c>
      <c r="I2014" s="65" t="str">
        <f t="shared" si="94"/>
        <v>512299</v>
      </c>
      <c r="J2014" s="65" t="str">
        <f t="shared" si="95"/>
        <v>512299</v>
      </c>
    </row>
    <row r="2015" spans="1:10" x14ac:dyDescent="0.3">
      <c r="A2015" s="27" t="s">
        <v>1869</v>
      </c>
      <c r="B2015" s="27" t="str">
        <f>"51.23"</f>
        <v>51.23</v>
      </c>
      <c r="C2015" s="64" t="s">
        <v>5137</v>
      </c>
      <c r="D2015" s="27" t="s">
        <v>2229</v>
      </c>
      <c r="E2015" s="27" t="s">
        <v>2232</v>
      </c>
      <c r="F2015" s="27" t="str">
        <f>"51.23"</f>
        <v>51.23</v>
      </c>
      <c r="G2015" s="27" t="s">
        <v>5137</v>
      </c>
      <c r="H2015" s="65" t="str">
        <f t="shared" si="93"/>
        <v>No Change</v>
      </c>
      <c r="I2015" s="65" t="str">
        <f t="shared" si="94"/>
        <v/>
      </c>
      <c r="J2015" s="65" t="str">
        <f t="shared" si="95"/>
        <v/>
      </c>
    </row>
    <row r="2016" spans="1:10" x14ac:dyDescent="0.3">
      <c r="A2016" s="27" t="s">
        <v>1869</v>
      </c>
      <c r="D2016" s="27" t="s">
        <v>2255</v>
      </c>
      <c r="E2016" s="27" t="s">
        <v>2232</v>
      </c>
      <c r="F2016" s="27" t="str">
        <f>"51.2300"</f>
        <v>51.2300</v>
      </c>
      <c r="G2016" s="27" t="s">
        <v>5138</v>
      </c>
      <c r="H2016" s="65" t="str">
        <f t="shared" si="93"/>
        <v>Other</v>
      </c>
      <c r="I2016" s="65" t="str">
        <f t="shared" si="94"/>
        <v/>
      </c>
      <c r="J2016" s="65" t="str">
        <f t="shared" si="95"/>
        <v>512300</v>
      </c>
    </row>
    <row r="2017" spans="1:10" x14ac:dyDescent="0.3">
      <c r="A2017" s="27" t="s">
        <v>5139</v>
      </c>
      <c r="B2017" s="27" t="str">
        <f>"51.2301"</f>
        <v>51.2301</v>
      </c>
      <c r="C2017" s="64" t="s">
        <v>5140</v>
      </c>
      <c r="D2017" s="27" t="s">
        <v>2229</v>
      </c>
      <c r="E2017" s="27" t="s">
        <v>2232</v>
      </c>
      <c r="F2017" s="27" t="str">
        <f>"51.2301"</f>
        <v>51.2301</v>
      </c>
      <c r="G2017" s="27" t="s">
        <v>5140</v>
      </c>
      <c r="H2017" s="65" t="str">
        <f t="shared" si="93"/>
        <v>No Change</v>
      </c>
      <c r="I2017" s="65" t="str">
        <f t="shared" si="94"/>
        <v>512301</v>
      </c>
      <c r="J2017" s="65" t="str">
        <f t="shared" si="95"/>
        <v>512301</v>
      </c>
    </row>
    <row r="2018" spans="1:10" x14ac:dyDescent="0.3">
      <c r="A2018" s="27" t="s">
        <v>5141</v>
      </c>
      <c r="B2018" s="27" t="str">
        <f>"51.2302"</f>
        <v>51.2302</v>
      </c>
      <c r="C2018" s="64" t="s">
        <v>5142</v>
      </c>
      <c r="D2018" s="27" t="s">
        <v>2229</v>
      </c>
      <c r="E2018" s="27" t="s">
        <v>2232</v>
      </c>
      <c r="F2018" s="27" t="str">
        <f>"51.2302"</f>
        <v>51.2302</v>
      </c>
      <c r="G2018" s="27" t="s">
        <v>5142</v>
      </c>
      <c r="H2018" s="65" t="str">
        <f t="shared" si="93"/>
        <v>No Change</v>
      </c>
      <c r="I2018" s="65" t="str">
        <f t="shared" si="94"/>
        <v>512302</v>
      </c>
      <c r="J2018" s="65" t="str">
        <f t="shared" si="95"/>
        <v>512302</v>
      </c>
    </row>
    <row r="2019" spans="1:10" x14ac:dyDescent="0.3">
      <c r="A2019" s="27" t="s">
        <v>5143</v>
      </c>
      <c r="B2019" s="27" t="str">
        <f>"51.2305"</f>
        <v>51.2305</v>
      </c>
      <c r="C2019" s="64" t="s">
        <v>5144</v>
      </c>
      <c r="D2019" s="27" t="s">
        <v>2229</v>
      </c>
      <c r="E2019" s="27" t="s">
        <v>2230</v>
      </c>
      <c r="F2019" s="27" t="str">
        <f>"51.2305"</f>
        <v>51.2305</v>
      </c>
      <c r="G2019" s="27" t="s">
        <v>5144</v>
      </c>
      <c r="H2019" s="65" t="str">
        <f t="shared" si="93"/>
        <v>No Change</v>
      </c>
      <c r="I2019" s="65" t="str">
        <f t="shared" si="94"/>
        <v>512305</v>
      </c>
      <c r="J2019" s="65" t="str">
        <f t="shared" si="95"/>
        <v>512305</v>
      </c>
    </row>
    <row r="2020" spans="1:10" x14ac:dyDescent="0.3">
      <c r="A2020" s="27" t="s">
        <v>5145</v>
      </c>
      <c r="B2020" s="27" t="str">
        <f>"51.2306"</f>
        <v>51.2306</v>
      </c>
      <c r="C2020" s="64" t="s">
        <v>5146</v>
      </c>
      <c r="D2020" s="27" t="s">
        <v>2229</v>
      </c>
      <c r="E2020" s="27" t="s">
        <v>2232</v>
      </c>
      <c r="F2020" s="27" t="str">
        <f>"51.2306"</f>
        <v>51.2306</v>
      </c>
      <c r="G2020" s="27" t="s">
        <v>5146</v>
      </c>
      <c r="H2020" s="65" t="str">
        <f t="shared" si="93"/>
        <v>No Change</v>
      </c>
      <c r="I2020" s="65" t="str">
        <f t="shared" si="94"/>
        <v>512306</v>
      </c>
      <c r="J2020" s="65" t="str">
        <f t="shared" si="95"/>
        <v>512306</v>
      </c>
    </row>
    <row r="2021" spans="1:10" x14ac:dyDescent="0.3">
      <c r="A2021" s="27" t="s">
        <v>684</v>
      </c>
      <c r="B2021" s="27" t="str">
        <f>"51.2307"</f>
        <v>51.2307</v>
      </c>
      <c r="C2021" s="64" t="s">
        <v>685</v>
      </c>
      <c r="D2021" s="27" t="s">
        <v>2229</v>
      </c>
      <c r="E2021" s="27" t="s">
        <v>2232</v>
      </c>
      <c r="F2021" s="27" t="str">
        <f>"51.2307"</f>
        <v>51.2307</v>
      </c>
      <c r="G2021" s="27" t="s">
        <v>685</v>
      </c>
      <c r="H2021" s="65" t="str">
        <f t="shared" si="93"/>
        <v>No Change</v>
      </c>
      <c r="I2021" s="65" t="str">
        <f t="shared" si="94"/>
        <v>512307</v>
      </c>
      <c r="J2021" s="65" t="str">
        <f t="shared" si="95"/>
        <v>512307</v>
      </c>
    </row>
    <row r="2022" spans="1:10" x14ac:dyDescent="0.3">
      <c r="A2022" s="27" t="s">
        <v>5147</v>
      </c>
      <c r="B2022" s="27" t="str">
        <f>"51.2308"</f>
        <v>51.2308</v>
      </c>
      <c r="C2022" s="64" t="s">
        <v>5148</v>
      </c>
      <c r="D2022" s="27" t="s">
        <v>2229</v>
      </c>
      <c r="E2022" s="27" t="s">
        <v>2230</v>
      </c>
      <c r="F2022" s="27" t="str">
        <f>"51.2308"</f>
        <v>51.2308</v>
      </c>
      <c r="G2022" s="27" t="s">
        <v>5148</v>
      </c>
      <c r="H2022" s="65" t="str">
        <f t="shared" si="93"/>
        <v>No Change</v>
      </c>
      <c r="I2022" s="65" t="str">
        <f t="shared" si="94"/>
        <v>512308</v>
      </c>
      <c r="J2022" s="65" t="str">
        <f t="shared" si="95"/>
        <v>512308</v>
      </c>
    </row>
    <row r="2023" spans="1:10" x14ac:dyDescent="0.3">
      <c r="A2023" s="27" t="s">
        <v>5149</v>
      </c>
      <c r="B2023" s="27" t="str">
        <f>"51.2309"</f>
        <v>51.2309</v>
      </c>
      <c r="C2023" s="64" t="s">
        <v>5150</v>
      </c>
      <c r="D2023" s="27" t="s">
        <v>2229</v>
      </c>
      <c r="E2023" s="27" t="s">
        <v>2232</v>
      </c>
      <c r="F2023" s="27" t="str">
        <f>"51.2309"</f>
        <v>51.2309</v>
      </c>
      <c r="G2023" s="27" t="s">
        <v>5150</v>
      </c>
      <c r="H2023" s="65" t="str">
        <f t="shared" si="93"/>
        <v>No Change</v>
      </c>
      <c r="I2023" s="65" t="str">
        <f t="shared" si="94"/>
        <v>512309</v>
      </c>
      <c r="J2023" s="65" t="str">
        <f t="shared" si="95"/>
        <v>512309</v>
      </c>
    </row>
    <row r="2024" spans="1:10" x14ac:dyDescent="0.3">
      <c r="A2024" s="27" t="s">
        <v>5151</v>
      </c>
      <c r="B2024" s="27" t="str">
        <f>"51.2310"</f>
        <v>51.2310</v>
      </c>
      <c r="C2024" s="64" t="s">
        <v>5152</v>
      </c>
      <c r="D2024" s="27" t="s">
        <v>2229</v>
      </c>
      <c r="E2024" s="27" t="s">
        <v>2232</v>
      </c>
      <c r="F2024" s="27" t="str">
        <f>"51.2310"</f>
        <v>51.2310</v>
      </c>
      <c r="G2024" s="27" t="s">
        <v>5152</v>
      </c>
      <c r="H2024" s="65" t="str">
        <f t="shared" si="93"/>
        <v>No Change</v>
      </c>
      <c r="I2024" s="65" t="str">
        <f t="shared" si="94"/>
        <v>512310</v>
      </c>
      <c r="J2024" s="65" t="str">
        <f t="shared" si="95"/>
        <v>512310</v>
      </c>
    </row>
    <row r="2025" spans="1:10" x14ac:dyDescent="0.3">
      <c r="A2025" s="27" t="s">
        <v>5153</v>
      </c>
      <c r="B2025" s="27" t="str">
        <f>"51.2311"</f>
        <v>51.2311</v>
      </c>
      <c r="C2025" s="64" t="s">
        <v>5154</v>
      </c>
      <c r="D2025" s="27" t="s">
        <v>2229</v>
      </c>
      <c r="E2025" s="27" t="s">
        <v>2232</v>
      </c>
      <c r="F2025" s="27" t="str">
        <f>"51.2311"</f>
        <v>51.2311</v>
      </c>
      <c r="G2025" s="27" t="s">
        <v>5154</v>
      </c>
      <c r="H2025" s="65" t="str">
        <f t="shared" si="93"/>
        <v>No Change</v>
      </c>
      <c r="I2025" s="65" t="str">
        <f t="shared" si="94"/>
        <v>512311</v>
      </c>
      <c r="J2025" s="65" t="str">
        <f t="shared" si="95"/>
        <v>512311</v>
      </c>
    </row>
    <row r="2026" spans="1:10" ht="28.8" x14ac:dyDescent="0.3">
      <c r="A2026" s="27" t="s">
        <v>5155</v>
      </c>
      <c r="B2026" s="27" t="str">
        <f>"51.2312"</f>
        <v>51.2312</v>
      </c>
      <c r="C2026" s="64" t="s">
        <v>5156</v>
      </c>
      <c r="D2026" s="27" t="s">
        <v>2229</v>
      </c>
      <c r="E2026" s="27" t="s">
        <v>2232</v>
      </c>
      <c r="F2026" s="27" t="str">
        <f>"51.2312"</f>
        <v>51.2312</v>
      </c>
      <c r="G2026" s="27" t="s">
        <v>5156</v>
      </c>
      <c r="H2026" s="65" t="str">
        <f t="shared" si="93"/>
        <v>No Change</v>
      </c>
      <c r="I2026" s="65" t="str">
        <f t="shared" si="94"/>
        <v>512312</v>
      </c>
      <c r="J2026" s="65" t="str">
        <f t="shared" si="95"/>
        <v>512312</v>
      </c>
    </row>
    <row r="2027" spans="1:10" x14ac:dyDescent="0.3">
      <c r="A2027" s="27" t="s">
        <v>5157</v>
      </c>
      <c r="B2027" s="27" t="str">
        <f>"51.2313"</f>
        <v>51.2313</v>
      </c>
      <c r="C2027" s="64" t="s">
        <v>5158</v>
      </c>
      <c r="D2027" s="27" t="s">
        <v>2229</v>
      </c>
      <c r="E2027" s="27" t="s">
        <v>2232</v>
      </c>
      <c r="F2027" s="27" t="str">
        <f>"51.2313"</f>
        <v>51.2313</v>
      </c>
      <c r="G2027" s="27" t="s">
        <v>5158</v>
      </c>
      <c r="H2027" s="65" t="str">
        <f t="shared" si="93"/>
        <v>No Change</v>
      </c>
      <c r="I2027" s="65" t="str">
        <f t="shared" si="94"/>
        <v>512313</v>
      </c>
      <c r="J2027" s="65" t="str">
        <f t="shared" si="95"/>
        <v>512313</v>
      </c>
    </row>
    <row r="2028" spans="1:10" x14ac:dyDescent="0.3">
      <c r="A2028" s="27" t="s">
        <v>5159</v>
      </c>
      <c r="B2028" s="27" t="str">
        <f>"51.2314"</f>
        <v>51.2314</v>
      </c>
      <c r="C2028" s="64" t="s">
        <v>5160</v>
      </c>
      <c r="D2028" s="27" t="s">
        <v>2229</v>
      </c>
      <c r="E2028" s="27" t="s">
        <v>2232</v>
      </c>
      <c r="F2028" s="27" t="str">
        <f>"51.2314"</f>
        <v>51.2314</v>
      </c>
      <c r="G2028" s="27" t="s">
        <v>5160</v>
      </c>
      <c r="H2028" s="65" t="str">
        <f t="shared" si="93"/>
        <v>No Change</v>
      </c>
      <c r="I2028" s="65" t="str">
        <f t="shared" si="94"/>
        <v>512314</v>
      </c>
      <c r="J2028" s="65" t="str">
        <f t="shared" si="95"/>
        <v>512314</v>
      </c>
    </row>
    <row r="2029" spans="1:10" x14ac:dyDescent="0.3">
      <c r="A2029" s="27" t="s">
        <v>1869</v>
      </c>
      <c r="D2029" s="27" t="s">
        <v>2255</v>
      </c>
      <c r="E2029" s="27" t="s">
        <v>2232</v>
      </c>
      <c r="F2029" s="27" t="str">
        <f>"51.2315"</f>
        <v>51.2315</v>
      </c>
      <c r="G2029" s="27" t="s">
        <v>5161</v>
      </c>
      <c r="H2029" s="65" t="str">
        <f t="shared" si="93"/>
        <v>Other</v>
      </c>
      <c r="I2029" s="65" t="str">
        <f t="shared" si="94"/>
        <v/>
      </c>
      <c r="J2029" s="65" t="str">
        <f t="shared" si="95"/>
        <v>512315</v>
      </c>
    </row>
    <row r="2030" spans="1:10" x14ac:dyDescent="0.3">
      <c r="A2030" s="27" t="s">
        <v>1869</v>
      </c>
      <c r="D2030" s="27" t="s">
        <v>2255</v>
      </c>
      <c r="E2030" s="27" t="s">
        <v>2232</v>
      </c>
      <c r="F2030" s="27" t="str">
        <f>"51.2316"</f>
        <v>51.2316</v>
      </c>
      <c r="G2030" s="27" t="s">
        <v>5162</v>
      </c>
      <c r="H2030" s="65" t="str">
        <f t="shared" si="93"/>
        <v>Other</v>
      </c>
      <c r="I2030" s="65" t="str">
        <f t="shared" si="94"/>
        <v/>
      </c>
      <c r="J2030" s="65" t="str">
        <f t="shared" si="95"/>
        <v>512316</v>
      </c>
    </row>
    <row r="2031" spans="1:10" x14ac:dyDescent="0.3">
      <c r="A2031" s="27" t="s">
        <v>1869</v>
      </c>
      <c r="D2031" s="27" t="s">
        <v>2255</v>
      </c>
      <c r="E2031" s="27" t="s">
        <v>2232</v>
      </c>
      <c r="F2031" s="27" t="str">
        <f>"51.2317"</f>
        <v>51.2317</v>
      </c>
      <c r="G2031" s="27" t="s">
        <v>5163</v>
      </c>
      <c r="H2031" s="65" t="str">
        <f t="shared" si="93"/>
        <v>Other</v>
      </c>
      <c r="I2031" s="65" t="str">
        <f t="shared" si="94"/>
        <v/>
      </c>
      <c r="J2031" s="65" t="str">
        <f t="shared" si="95"/>
        <v>512317</v>
      </c>
    </row>
    <row r="2032" spans="1:10" x14ac:dyDescent="0.3">
      <c r="A2032" s="27" t="s">
        <v>5164</v>
      </c>
      <c r="B2032" s="27" t="str">
        <f>"51.2399"</f>
        <v>51.2399</v>
      </c>
      <c r="C2032" s="64" t="s">
        <v>5165</v>
      </c>
      <c r="D2032" s="27" t="s">
        <v>2229</v>
      </c>
      <c r="E2032" s="27" t="s">
        <v>2232</v>
      </c>
      <c r="F2032" s="27" t="str">
        <f>"51.2399"</f>
        <v>51.2399</v>
      </c>
      <c r="G2032" s="27" t="s">
        <v>5165</v>
      </c>
      <c r="H2032" s="65" t="str">
        <f t="shared" si="93"/>
        <v>No Change</v>
      </c>
      <c r="I2032" s="65" t="str">
        <f t="shared" si="94"/>
        <v>512399</v>
      </c>
      <c r="J2032" s="65" t="str">
        <f t="shared" si="95"/>
        <v>512399</v>
      </c>
    </row>
    <row r="2033" spans="1:10" x14ac:dyDescent="0.3">
      <c r="A2033" s="27" t="s">
        <v>1869</v>
      </c>
      <c r="B2033" s="27" t="str">
        <f>"51.24"</f>
        <v>51.24</v>
      </c>
      <c r="C2033" s="64" t="s">
        <v>5166</v>
      </c>
      <c r="D2033" s="27" t="s">
        <v>2274</v>
      </c>
      <c r="E2033" s="27" t="s">
        <v>2232</v>
      </c>
      <c r="F2033" s="27" t="str">
        <f>"01.80"</f>
        <v>01.80</v>
      </c>
      <c r="G2033" s="27" t="s">
        <v>5166</v>
      </c>
      <c r="H2033" s="65" t="str">
        <f t="shared" si="93"/>
        <v>No Change</v>
      </c>
      <c r="I2033" s="65" t="str">
        <f t="shared" si="94"/>
        <v/>
      </c>
      <c r="J2033" s="65" t="str">
        <f t="shared" si="95"/>
        <v/>
      </c>
    </row>
    <row r="2034" spans="1:10" x14ac:dyDescent="0.3">
      <c r="A2034" s="27" t="s">
        <v>5167</v>
      </c>
      <c r="B2034" s="27" t="str">
        <f>"51.2401"</f>
        <v>51.2401</v>
      </c>
      <c r="C2034" s="64" t="s">
        <v>5166</v>
      </c>
      <c r="D2034" s="27" t="s">
        <v>2274</v>
      </c>
      <c r="E2034" s="27" t="s">
        <v>2232</v>
      </c>
      <c r="F2034" s="27" t="str">
        <f>"01.8001"</f>
        <v>01.8001</v>
      </c>
      <c r="G2034" s="27" t="s">
        <v>5166</v>
      </c>
      <c r="H2034" s="65" t="str">
        <f t="shared" si="93"/>
        <v>Other</v>
      </c>
      <c r="I2034" s="65" t="str">
        <f t="shared" si="94"/>
        <v>512401</v>
      </c>
      <c r="J2034" s="65" t="str">
        <f t="shared" si="95"/>
        <v>018001</v>
      </c>
    </row>
    <row r="2035" spans="1:10" x14ac:dyDescent="0.3">
      <c r="A2035" s="27" t="s">
        <v>1869</v>
      </c>
      <c r="B2035" s="27" t="str">
        <f>"51.25"</f>
        <v>51.25</v>
      </c>
      <c r="C2035" s="64" t="s">
        <v>5168</v>
      </c>
      <c r="D2035" s="27" t="s">
        <v>2274</v>
      </c>
      <c r="E2035" s="27" t="s">
        <v>2232</v>
      </c>
      <c r="F2035" s="27" t="str">
        <f>"01.81"</f>
        <v>01.81</v>
      </c>
      <c r="G2035" s="27" t="s">
        <v>5168</v>
      </c>
      <c r="H2035" s="65" t="str">
        <f t="shared" si="93"/>
        <v>No Change</v>
      </c>
      <c r="I2035" s="65" t="str">
        <f t="shared" si="94"/>
        <v/>
      </c>
      <c r="J2035" s="65" t="str">
        <f t="shared" si="95"/>
        <v/>
      </c>
    </row>
    <row r="2036" spans="1:10" x14ac:dyDescent="0.3">
      <c r="A2036" s="27" t="s">
        <v>5169</v>
      </c>
      <c r="B2036" s="27" t="str">
        <f>"51.2501"</f>
        <v>51.2501</v>
      </c>
      <c r="C2036" s="64" t="s">
        <v>5170</v>
      </c>
      <c r="D2036" s="27" t="s">
        <v>2274</v>
      </c>
      <c r="E2036" s="27" t="s">
        <v>2232</v>
      </c>
      <c r="F2036" s="27" t="str">
        <f>"01.8101"</f>
        <v>01.8101</v>
      </c>
      <c r="G2036" s="27" t="s">
        <v>5170</v>
      </c>
      <c r="H2036" s="65" t="str">
        <f t="shared" si="93"/>
        <v>Other</v>
      </c>
      <c r="I2036" s="65" t="str">
        <f t="shared" si="94"/>
        <v>512501</v>
      </c>
      <c r="J2036" s="65" t="str">
        <f t="shared" si="95"/>
        <v>018101</v>
      </c>
    </row>
    <row r="2037" spans="1:10" x14ac:dyDescent="0.3">
      <c r="A2037" s="27" t="s">
        <v>5171</v>
      </c>
      <c r="B2037" s="27" t="str">
        <f>"51.2502"</f>
        <v>51.2502</v>
      </c>
      <c r="C2037" s="64" t="s">
        <v>5172</v>
      </c>
      <c r="D2037" s="27" t="s">
        <v>2274</v>
      </c>
      <c r="E2037" s="27" t="s">
        <v>2232</v>
      </c>
      <c r="F2037" s="27" t="str">
        <f>"01.8105"</f>
        <v>01.8105</v>
      </c>
      <c r="G2037" s="27" t="s">
        <v>5172</v>
      </c>
      <c r="H2037" s="65" t="str">
        <f t="shared" si="93"/>
        <v>Other</v>
      </c>
      <c r="I2037" s="65" t="str">
        <f t="shared" si="94"/>
        <v>512502</v>
      </c>
      <c r="J2037" s="65" t="str">
        <f t="shared" si="95"/>
        <v>018105</v>
      </c>
    </row>
    <row r="2038" spans="1:10" x14ac:dyDescent="0.3">
      <c r="A2038" s="27" t="s">
        <v>5173</v>
      </c>
      <c r="B2038" s="27" t="str">
        <f>"51.2503"</f>
        <v>51.2503</v>
      </c>
      <c r="C2038" s="64" t="s">
        <v>5174</v>
      </c>
      <c r="D2038" s="27" t="s">
        <v>2274</v>
      </c>
      <c r="E2038" s="27" t="s">
        <v>2232</v>
      </c>
      <c r="F2038" s="27" t="str">
        <f>"01.8109"</f>
        <v>01.8109</v>
      </c>
      <c r="G2038" s="27" t="s">
        <v>5174</v>
      </c>
      <c r="H2038" s="65" t="str">
        <f t="shared" si="93"/>
        <v>Other</v>
      </c>
      <c r="I2038" s="65" t="str">
        <f t="shared" si="94"/>
        <v>512503</v>
      </c>
      <c r="J2038" s="65" t="str">
        <f t="shared" si="95"/>
        <v>018109</v>
      </c>
    </row>
    <row r="2039" spans="1:10" x14ac:dyDescent="0.3">
      <c r="A2039" s="27" t="s">
        <v>5175</v>
      </c>
      <c r="B2039" s="27" t="str">
        <f>"51.2504"</f>
        <v>51.2504</v>
      </c>
      <c r="C2039" s="64" t="s">
        <v>5176</v>
      </c>
      <c r="D2039" s="27" t="s">
        <v>2274</v>
      </c>
      <c r="E2039" s="27" t="s">
        <v>2232</v>
      </c>
      <c r="F2039" s="27" t="str">
        <f>"01.8107"</f>
        <v>01.8107</v>
      </c>
      <c r="G2039" s="27" t="s">
        <v>5176</v>
      </c>
      <c r="H2039" s="65" t="str">
        <f t="shared" si="93"/>
        <v>Other</v>
      </c>
      <c r="I2039" s="65" t="str">
        <f t="shared" si="94"/>
        <v>512504</v>
      </c>
      <c r="J2039" s="65" t="str">
        <f t="shared" si="95"/>
        <v>018107</v>
      </c>
    </row>
    <row r="2040" spans="1:10" x14ac:dyDescent="0.3">
      <c r="A2040" s="27" t="s">
        <v>5177</v>
      </c>
      <c r="B2040" s="27" t="str">
        <f>"51.2505"</f>
        <v>51.2505</v>
      </c>
      <c r="C2040" s="64" t="s">
        <v>5178</v>
      </c>
      <c r="D2040" s="27" t="s">
        <v>2274</v>
      </c>
      <c r="E2040" s="27" t="s">
        <v>2232</v>
      </c>
      <c r="F2040" s="27" t="str">
        <f>"01.8108"</f>
        <v>01.8108</v>
      </c>
      <c r="G2040" s="27" t="s">
        <v>5178</v>
      </c>
      <c r="H2040" s="65" t="str">
        <f t="shared" si="93"/>
        <v>Other</v>
      </c>
      <c r="I2040" s="65" t="str">
        <f t="shared" si="94"/>
        <v>512505</v>
      </c>
      <c r="J2040" s="65" t="str">
        <f t="shared" si="95"/>
        <v>018108</v>
      </c>
    </row>
    <row r="2041" spans="1:10" x14ac:dyDescent="0.3">
      <c r="A2041" s="27" t="s">
        <v>5179</v>
      </c>
      <c r="B2041" s="27" t="str">
        <f>"51.2506"</f>
        <v>51.2506</v>
      </c>
      <c r="C2041" s="64" t="s">
        <v>5180</v>
      </c>
      <c r="D2041" s="27" t="s">
        <v>2274</v>
      </c>
      <c r="E2041" s="27" t="s">
        <v>2232</v>
      </c>
      <c r="F2041" s="27" t="str">
        <f>"01.8111"</f>
        <v>01.8111</v>
      </c>
      <c r="G2041" s="27" t="s">
        <v>5180</v>
      </c>
      <c r="H2041" s="65" t="str">
        <f t="shared" si="93"/>
        <v>Other</v>
      </c>
      <c r="I2041" s="65" t="str">
        <f t="shared" si="94"/>
        <v>512506</v>
      </c>
      <c r="J2041" s="65" t="str">
        <f t="shared" si="95"/>
        <v>018111</v>
      </c>
    </row>
    <row r="2042" spans="1:10" x14ac:dyDescent="0.3">
      <c r="A2042" s="27" t="s">
        <v>5181</v>
      </c>
      <c r="B2042" s="27" t="str">
        <f>"51.2507"</f>
        <v>51.2507</v>
      </c>
      <c r="C2042" s="64" t="s">
        <v>5182</v>
      </c>
      <c r="D2042" s="27" t="s">
        <v>2274</v>
      </c>
      <c r="E2042" s="27" t="s">
        <v>2232</v>
      </c>
      <c r="F2042" s="27" t="str">
        <f>"01.8103"</f>
        <v>01.8103</v>
      </c>
      <c r="G2042" s="27" t="s">
        <v>5182</v>
      </c>
      <c r="H2042" s="65" t="str">
        <f t="shared" si="93"/>
        <v>Other</v>
      </c>
      <c r="I2042" s="65" t="str">
        <f t="shared" si="94"/>
        <v>512507</v>
      </c>
      <c r="J2042" s="65" t="str">
        <f t="shared" si="95"/>
        <v>018103</v>
      </c>
    </row>
    <row r="2043" spans="1:10" x14ac:dyDescent="0.3">
      <c r="A2043" s="27" t="s">
        <v>5183</v>
      </c>
      <c r="B2043" s="27" t="str">
        <f>"51.2508"</f>
        <v>51.2508</v>
      </c>
      <c r="C2043" s="64" t="s">
        <v>5184</v>
      </c>
      <c r="D2043" s="27" t="s">
        <v>2274</v>
      </c>
      <c r="E2043" s="27" t="s">
        <v>2232</v>
      </c>
      <c r="F2043" s="27" t="str">
        <f>"01.8104"</f>
        <v>01.8104</v>
      </c>
      <c r="G2043" s="27" t="s">
        <v>5184</v>
      </c>
      <c r="H2043" s="65" t="str">
        <f t="shared" si="93"/>
        <v>Other</v>
      </c>
      <c r="I2043" s="65" t="str">
        <f t="shared" si="94"/>
        <v>512508</v>
      </c>
      <c r="J2043" s="65" t="str">
        <f t="shared" si="95"/>
        <v>018104</v>
      </c>
    </row>
    <row r="2044" spans="1:10" x14ac:dyDescent="0.3">
      <c r="A2044" s="27" t="s">
        <v>5185</v>
      </c>
      <c r="B2044" s="27" t="str">
        <f>"51.2509"</f>
        <v>51.2509</v>
      </c>
      <c r="C2044" s="64" t="s">
        <v>5186</v>
      </c>
      <c r="D2044" s="27" t="s">
        <v>2274</v>
      </c>
      <c r="E2044" s="27" t="s">
        <v>2232</v>
      </c>
      <c r="F2044" s="27" t="str">
        <f>"01.8102"</f>
        <v>01.8102</v>
      </c>
      <c r="G2044" s="27" t="s">
        <v>5186</v>
      </c>
      <c r="H2044" s="65" t="str">
        <f t="shared" si="93"/>
        <v>Other</v>
      </c>
      <c r="I2044" s="65" t="str">
        <f t="shared" si="94"/>
        <v>512509</v>
      </c>
      <c r="J2044" s="65" t="str">
        <f t="shared" si="95"/>
        <v>018102</v>
      </c>
    </row>
    <row r="2045" spans="1:10" ht="28.8" x14ac:dyDescent="0.3">
      <c r="A2045" s="27" t="s">
        <v>5187</v>
      </c>
      <c r="B2045" s="27" t="str">
        <f>"51.2510"</f>
        <v>51.2510</v>
      </c>
      <c r="C2045" s="64" t="s">
        <v>5188</v>
      </c>
      <c r="D2045" s="27" t="s">
        <v>2274</v>
      </c>
      <c r="E2045" s="27" t="s">
        <v>2232</v>
      </c>
      <c r="F2045" s="27" t="str">
        <f>"01.8110"</f>
        <v>01.8110</v>
      </c>
      <c r="G2045" s="27" t="s">
        <v>5188</v>
      </c>
      <c r="H2045" s="65" t="str">
        <f t="shared" si="93"/>
        <v>Other</v>
      </c>
      <c r="I2045" s="65" t="str">
        <f t="shared" si="94"/>
        <v>512510</v>
      </c>
      <c r="J2045" s="65" t="str">
        <f t="shared" si="95"/>
        <v>018110</v>
      </c>
    </row>
    <row r="2046" spans="1:10" x14ac:dyDescent="0.3">
      <c r="A2046" s="27" t="s">
        <v>5189</v>
      </c>
      <c r="B2046" s="27" t="str">
        <f>"51.2511"</f>
        <v>51.2511</v>
      </c>
      <c r="C2046" s="64" t="s">
        <v>5190</v>
      </c>
      <c r="D2046" s="27" t="s">
        <v>2274</v>
      </c>
      <c r="E2046" s="27" t="s">
        <v>2232</v>
      </c>
      <c r="F2046" s="27" t="str">
        <f>"01.8106"</f>
        <v>01.8106</v>
      </c>
      <c r="G2046" s="27" t="s">
        <v>5190</v>
      </c>
      <c r="H2046" s="65" t="str">
        <f t="shared" si="93"/>
        <v>Other</v>
      </c>
      <c r="I2046" s="65" t="str">
        <f t="shared" si="94"/>
        <v>512511</v>
      </c>
      <c r="J2046" s="65" t="str">
        <f t="shared" si="95"/>
        <v>018106</v>
      </c>
    </row>
    <row r="2047" spans="1:10" x14ac:dyDescent="0.3">
      <c r="A2047" s="27" t="s">
        <v>5191</v>
      </c>
      <c r="B2047" s="27" t="str">
        <f>"51.2599"</f>
        <v>51.2599</v>
      </c>
      <c r="C2047" s="64" t="s">
        <v>5192</v>
      </c>
      <c r="D2047" s="27" t="s">
        <v>2274</v>
      </c>
      <c r="E2047" s="27" t="s">
        <v>2232</v>
      </c>
      <c r="F2047" s="27" t="str">
        <f>"01.8199"</f>
        <v>01.8199</v>
      </c>
      <c r="G2047" s="27" t="s">
        <v>5192</v>
      </c>
      <c r="H2047" s="65" t="str">
        <f t="shared" si="93"/>
        <v>Other</v>
      </c>
      <c r="I2047" s="65" t="str">
        <f t="shared" si="94"/>
        <v>512599</v>
      </c>
      <c r="J2047" s="65" t="str">
        <f t="shared" si="95"/>
        <v>018199</v>
      </c>
    </row>
    <row r="2048" spans="1:10" x14ac:dyDescent="0.3">
      <c r="A2048" s="27" t="s">
        <v>1869</v>
      </c>
      <c r="B2048" s="27" t="str">
        <f>"51.26"</f>
        <v>51.26</v>
      </c>
      <c r="C2048" s="64" t="s">
        <v>5193</v>
      </c>
      <c r="D2048" s="27" t="s">
        <v>2229</v>
      </c>
      <c r="E2048" s="27" t="s">
        <v>2232</v>
      </c>
      <c r="F2048" s="27" t="str">
        <f>"51.26"</f>
        <v>51.26</v>
      </c>
      <c r="G2048" s="27" t="s">
        <v>5193</v>
      </c>
      <c r="H2048" s="65" t="str">
        <f t="shared" si="93"/>
        <v>No Change</v>
      </c>
      <c r="I2048" s="65" t="str">
        <f t="shared" si="94"/>
        <v/>
      </c>
      <c r="J2048" s="65" t="str">
        <f t="shared" si="95"/>
        <v/>
      </c>
    </row>
    <row r="2049" spans="1:10" x14ac:dyDescent="0.3">
      <c r="A2049" s="27" t="s">
        <v>5194</v>
      </c>
      <c r="B2049" s="27" t="str">
        <f>"51.2601"</f>
        <v>51.2601</v>
      </c>
      <c r="C2049" s="64" t="s">
        <v>5195</v>
      </c>
      <c r="D2049" s="27" t="s">
        <v>2229</v>
      </c>
      <c r="E2049" s="27" t="s">
        <v>2232</v>
      </c>
      <c r="F2049" s="27" t="str">
        <f>"51.2601"</f>
        <v>51.2601</v>
      </c>
      <c r="G2049" s="27" t="s">
        <v>5195</v>
      </c>
      <c r="H2049" s="65" t="str">
        <f t="shared" si="93"/>
        <v>No Change</v>
      </c>
      <c r="I2049" s="65" t="str">
        <f t="shared" si="94"/>
        <v>512601</v>
      </c>
      <c r="J2049" s="65" t="str">
        <f t="shared" si="95"/>
        <v>512601</v>
      </c>
    </row>
    <row r="2050" spans="1:10" x14ac:dyDescent="0.3">
      <c r="A2050" s="27" t="s">
        <v>1329</v>
      </c>
      <c r="B2050" s="27" t="str">
        <f>"51.2602"</f>
        <v>51.2602</v>
      </c>
      <c r="C2050" s="64" t="s">
        <v>1330</v>
      </c>
      <c r="D2050" s="27" t="s">
        <v>2229</v>
      </c>
      <c r="E2050" s="27" t="s">
        <v>2232</v>
      </c>
      <c r="F2050" s="27" t="str">
        <f>"51.2602"</f>
        <v>51.2602</v>
      </c>
      <c r="G2050" s="27" t="s">
        <v>1330</v>
      </c>
      <c r="H2050" s="65" t="str">
        <f t="shared" si="93"/>
        <v>No Change</v>
      </c>
      <c r="I2050" s="65" t="str">
        <f t="shared" si="94"/>
        <v>512602</v>
      </c>
      <c r="J2050" s="65" t="str">
        <f t="shared" si="95"/>
        <v>512602</v>
      </c>
    </row>
    <row r="2051" spans="1:10" x14ac:dyDescent="0.3">
      <c r="A2051" s="27" t="s">
        <v>5196</v>
      </c>
      <c r="B2051" s="27" t="str">
        <f>"51.2603"</f>
        <v>51.2603</v>
      </c>
      <c r="C2051" s="64" t="s">
        <v>5197</v>
      </c>
      <c r="D2051" s="27" t="s">
        <v>2229</v>
      </c>
      <c r="E2051" s="27" t="s">
        <v>2232</v>
      </c>
      <c r="F2051" s="27" t="str">
        <f>"51.2603"</f>
        <v>51.2603</v>
      </c>
      <c r="G2051" s="27" t="s">
        <v>5197</v>
      </c>
      <c r="H2051" s="65" t="str">
        <f t="shared" ref="H2051:H2114" si="96">IF(I2051=J2051,"No Change","Other")</f>
        <v>No Change</v>
      </c>
      <c r="I2051" s="65" t="str">
        <f t="shared" ref="I2051:I2114" si="97">SUBSTITUTE(IF(SUM(LEN(B2051))&lt;7,"",B2051),".","")</f>
        <v>512603</v>
      </c>
      <c r="J2051" s="65" t="str">
        <f t="shared" ref="J2051:J2114" si="98">SUBSTITUTE(IF(SUM(LEN(F2051))&lt;7,"",F2051),".","")</f>
        <v>512603</v>
      </c>
    </row>
    <row r="2052" spans="1:10" x14ac:dyDescent="0.3">
      <c r="A2052" s="27" t="s">
        <v>5198</v>
      </c>
      <c r="B2052" s="27" t="str">
        <f>"51.2604"</f>
        <v>51.2604</v>
      </c>
      <c r="C2052" s="64" t="s">
        <v>5199</v>
      </c>
      <c r="D2052" s="27" t="s">
        <v>2229</v>
      </c>
      <c r="E2052" s="27" t="s">
        <v>2230</v>
      </c>
      <c r="F2052" s="27" t="str">
        <f>"51.2604"</f>
        <v>51.2604</v>
      </c>
      <c r="G2052" s="27" t="s">
        <v>5199</v>
      </c>
      <c r="H2052" s="65" t="str">
        <f t="shared" si="96"/>
        <v>No Change</v>
      </c>
      <c r="I2052" s="65" t="str">
        <f t="shared" si="97"/>
        <v>512604</v>
      </c>
      <c r="J2052" s="65" t="str">
        <f t="shared" si="98"/>
        <v>512604</v>
      </c>
    </row>
    <row r="2053" spans="1:10" x14ac:dyDescent="0.3">
      <c r="A2053" s="27" t="s">
        <v>1869</v>
      </c>
      <c r="D2053" s="27" t="s">
        <v>2255</v>
      </c>
      <c r="E2053" s="27" t="s">
        <v>2232</v>
      </c>
      <c r="F2053" s="27" t="str">
        <f>"51.2605"</f>
        <v>51.2605</v>
      </c>
      <c r="G2053" s="27" t="s">
        <v>5200</v>
      </c>
      <c r="H2053" s="65" t="str">
        <f t="shared" si="96"/>
        <v>Other</v>
      </c>
      <c r="I2053" s="65" t="str">
        <f t="shared" si="97"/>
        <v/>
      </c>
      <c r="J2053" s="65" t="str">
        <f t="shared" si="98"/>
        <v>512605</v>
      </c>
    </row>
    <row r="2054" spans="1:10" x14ac:dyDescent="0.3">
      <c r="A2054" s="27" t="s">
        <v>5201</v>
      </c>
      <c r="B2054" s="27" t="str">
        <f>"51.2699"</f>
        <v>51.2699</v>
      </c>
      <c r="C2054" s="64" t="s">
        <v>5202</v>
      </c>
      <c r="D2054" s="27" t="s">
        <v>2229</v>
      </c>
      <c r="E2054" s="27" t="s">
        <v>2232</v>
      </c>
      <c r="F2054" s="27" t="str">
        <f>"51.2699"</f>
        <v>51.2699</v>
      </c>
      <c r="G2054" s="27" t="s">
        <v>5202</v>
      </c>
      <c r="H2054" s="65" t="str">
        <f t="shared" si="96"/>
        <v>No Change</v>
      </c>
      <c r="I2054" s="65" t="str">
        <f t="shared" si="97"/>
        <v>512699</v>
      </c>
      <c r="J2054" s="65" t="str">
        <f t="shared" si="98"/>
        <v>512699</v>
      </c>
    </row>
    <row r="2055" spans="1:10" x14ac:dyDescent="0.3">
      <c r="A2055" s="27" t="s">
        <v>1869</v>
      </c>
      <c r="B2055" s="27" t="str">
        <f>"51.27"</f>
        <v>51.27</v>
      </c>
      <c r="C2055" s="64" t="s">
        <v>5203</v>
      </c>
      <c r="D2055" s="27" t="s">
        <v>2229</v>
      </c>
      <c r="E2055" s="27" t="s">
        <v>2232</v>
      </c>
      <c r="F2055" s="27" t="str">
        <f>"51.27"</f>
        <v>51.27</v>
      </c>
      <c r="G2055" s="27" t="s">
        <v>5203</v>
      </c>
      <c r="H2055" s="65" t="str">
        <f t="shared" si="96"/>
        <v>No Change</v>
      </c>
      <c r="I2055" s="65" t="str">
        <f t="shared" si="97"/>
        <v/>
      </c>
      <c r="J2055" s="65" t="str">
        <f t="shared" si="98"/>
        <v/>
      </c>
    </row>
    <row r="2056" spans="1:10" x14ac:dyDescent="0.3">
      <c r="A2056" s="27" t="s">
        <v>5204</v>
      </c>
      <c r="B2056" s="27" t="str">
        <f>"51.2703"</f>
        <v>51.2703</v>
      </c>
      <c r="C2056" s="64" t="s">
        <v>5205</v>
      </c>
      <c r="D2056" s="27" t="s">
        <v>2229</v>
      </c>
      <c r="E2056" s="27" t="s">
        <v>2232</v>
      </c>
      <c r="F2056" s="27" t="str">
        <f>"51.2703"</f>
        <v>51.2703</v>
      </c>
      <c r="G2056" s="27" t="s">
        <v>5205</v>
      </c>
      <c r="H2056" s="65" t="str">
        <f t="shared" si="96"/>
        <v>No Change</v>
      </c>
      <c r="I2056" s="65" t="str">
        <f t="shared" si="97"/>
        <v>512703</v>
      </c>
      <c r="J2056" s="65" t="str">
        <f t="shared" si="98"/>
        <v>512703</v>
      </c>
    </row>
    <row r="2057" spans="1:10" x14ac:dyDescent="0.3">
      <c r="A2057" s="27" t="s">
        <v>5206</v>
      </c>
      <c r="B2057" s="27" t="str">
        <f>"51.2706"</f>
        <v>51.2706</v>
      </c>
      <c r="C2057" s="64" t="s">
        <v>5207</v>
      </c>
      <c r="D2057" s="27" t="s">
        <v>2229</v>
      </c>
      <c r="E2057" s="27" t="s">
        <v>2232</v>
      </c>
      <c r="F2057" s="27" t="str">
        <f>"51.2706"</f>
        <v>51.2706</v>
      </c>
      <c r="G2057" s="27" t="s">
        <v>5207</v>
      </c>
      <c r="H2057" s="65" t="str">
        <f t="shared" si="96"/>
        <v>No Change</v>
      </c>
      <c r="I2057" s="65" t="str">
        <f t="shared" si="97"/>
        <v>512706</v>
      </c>
      <c r="J2057" s="65" t="str">
        <f t="shared" si="98"/>
        <v>512706</v>
      </c>
    </row>
    <row r="2058" spans="1:10" x14ac:dyDescent="0.3">
      <c r="A2058" s="27" t="s">
        <v>5208</v>
      </c>
      <c r="B2058" s="27" t="str">
        <f>"51.2799"</f>
        <v>51.2799</v>
      </c>
      <c r="C2058" s="64" t="s">
        <v>5209</v>
      </c>
      <c r="D2058" s="27" t="s">
        <v>2229</v>
      </c>
      <c r="E2058" s="27" t="s">
        <v>2232</v>
      </c>
      <c r="F2058" s="27" t="str">
        <f>"51.2799"</f>
        <v>51.2799</v>
      </c>
      <c r="G2058" s="27" t="s">
        <v>5209</v>
      </c>
      <c r="H2058" s="65" t="str">
        <f t="shared" si="96"/>
        <v>No Change</v>
      </c>
      <c r="I2058" s="65" t="str">
        <f t="shared" si="97"/>
        <v>512799</v>
      </c>
      <c r="J2058" s="65" t="str">
        <f t="shared" si="98"/>
        <v>512799</v>
      </c>
    </row>
    <row r="2059" spans="1:10" x14ac:dyDescent="0.3">
      <c r="A2059" s="27" t="s">
        <v>1869</v>
      </c>
      <c r="B2059" s="27" t="str">
        <f>"51.31"</f>
        <v>51.31</v>
      </c>
      <c r="C2059" s="64" t="s">
        <v>5210</v>
      </c>
      <c r="D2059" s="27" t="s">
        <v>2229</v>
      </c>
      <c r="E2059" s="27" t="s">
        <v>2232</v>
      </c>
      <c r="F2059" s="27" t="str">
        <f>"51.31"</f>
        <v>51.31</v>
      </c>
      <c r="G2059" s="27" t="s">
        <v>5210</v>
      </c>
      <c r="H2059" s="65" t="str">
        <f t="shared" si="96"/>
        <v>No Change</v>
      </c>
      <c r="I2059" s="65" t="str">
        <f t="shared" si="97"/>
        <v/>
      </c>
      <c r="J2059" s="65" t="str">
        <f t="shared" si="98"/>
        <v/>
      </c>
    </row>
    <row r="2060" spans="1:10" x14ac:dyDescent="0.3">
      <c r="A2060" s="27" t="s">
        <v>5211</v>
      </c>
      <c r="B2060" s="27" t="str">
        <f>"51.3101"</f>
        <v>51.3101</v>
      </c>
      <c r="C2060" s="64" t="s">
        <v>5212</v>
      </c>
      <c r="D2060" s="27" t="s">
        <v>2229</v>
      </c>
      <c r="E2060" s="27" t="s">
        <v>2232</v>
      </c>
      <c r="F2060" s="27" t="str">
        <f>"51.3101"</f>
        <v>51.3101</v>
      </c>
      <c r="G2060" s="27" t="s">
        <v>5212</v>
      </c>
      <c r="H2060" s="65" t="str">
        <f t="shared" si="96"/>
        <v>No Change</v>
      </c>
      <c r="I2060" s="65" t="str">
        <f t="shared" si="97"/>
        <v>513101</v>
      </c>
      <c r="J2060" s="65" t="str">
        <f t="shared" si="98"/>
        <v>513101</v>
      </c>
    </row>
    <row r="2061" spans="1:10" x14ac:dyDescent="0.3">
      <c r="A2061" s="27" t="s">
        <v>5213</v>
      </c>
      <c r="B2061" s="27" t="str">
        <f>"51.3102"</f>
        <v>51.3102</v>
      </c>
      <c r="C2061" s="64" t="s">
        <v>5214</v>
      </c>
      <c r="D2061" s="27" t="s">
        <v>2229</v>
      </c>
      <c r="E2061" s="27" t="s">
        <v>2232</v>
      </c>
      <c r="F2061" s="27" t="str">
        <f>"51.3102"</f>
        <v>51.3102</v>
      </c>
      <c r="G2061" s="27" t="s">
        <v>5214</v>
      </c>
      <c r="H2061" s="65" t="str">
        <f t="shared" si="96"/>
        <v>No Change</v>
      </c>
      <c r="I2061" s="65" t="str">
        <f t="shared" si="97"/>
        <v>513102</v>
      </c>
      <c r="J2061" s="65" t="str">
        <f t="shared" si="98"/>
        <v>513102</v>
      </c>
    </row>
    <row r="2062" spans="1:10" x14ac:dyDescent="0.3">
      <c r="A2062" s="27" t="s">
        <v>909</v>
      </c>
      <c r="B2062" s="27" t="str">
        <f>"51.3103"</f>
        <v>51.3103</v>
      </c>
      <c r="C2062" s="64" t="s">
        <v>910</v>
      </c>
      <c r="D2062" s="27" t="s">
        <v>2229</v>
      </c>
      <c r="E2062" s="27" t="s">
        <v>2232</v>
      </c>
      <c r="F2062" s="27" t="str">
        <f>"51.3103"</f>
        <v>51.3103</v>
      </c>
      <c r="G2062" s="27" t="s">
        <v>910</v>
      </c>
      <c r="H2062" s="65" t="str">
        <f t="shared" si="96"/>
        <v>No Change</v>
      </c>
      <c r="I2062" s="65" t="str">
        <f t="shared" si="97"/>
        <v>513103</v>
      </c>
      <c r="J2062" s="65" t="str">
        <f t="shared" si="98"/>
        <v>513103</v>
      </c>
    </row>
    <row r="2063" spans="1:10" x14ac:dyDescent="0.3">
      <c r="A2063" s="27" t="s">
        <v>1395</v>
      </c>
      <c r="B2063" s="27" t="str">
        <f>"51.3104"</f>
        <v>51.3104</v>
      </c>
      <c r="C2063" s="64" t="s">
        <v>1396</v>
      </c>
      <c r="D2063" s="27" t="s">
        <v>2229</v>
      </c>
      <c r="E2063" s="27" t="s">
        <v>2232</v>
      </c>
      <c r="F2063" s="27" t="str">
        <f>"51.3104"</f>
        <v>51.3104</v>
      </c>
      <c r="G2063" s="27" t="s">
        <v>1396</v>
      </c>
      <c r="H2063" s="65" t="str">
        <f t="shared" si="96"/>
        <v>No Change</v>
      </c>
      <c r="I2063" s="65" t="str">
        <f t="shared" si="97"/>
        <v>513104</v>
      </c>
      <c r="J2063" s="65" t="str">
        <f t="shared" si="98"/>
        <v>513104</v>
      </c>
    </row>
    <row r="2064" spans="1:10" x14ac:dyDescent="0.3">
      <c r="A2064" s="27" t="s">
        <v>5215</v>
      </c>
      <c r="B2064" s="27" t="str">
        <f>"51.3199"</f>
        <v>51.3199</v>
      </c>
      <c r="C2064" s="64" t="s">
        <v>5216</v>
      </c>
      <c r="D2064" s="27" t="s">
        <v>2229</v>
      </c>
      <c r="E2064" s="27" t="s">
        <v>2232</v>
      </c>
      <c r="F2064" s="27" t="str">
        <f>"51.3199"</f>
        <v>51.3199</v>
      </c>
      <c r="G2064" s="27" t="s">
        <v>5216</v>
      </c>
      <c r="H2064" s="65" t="str">
        <f t="shared" si="96"/>
        <v>No Change</v>
      </c>
      <c r="I2064" s="65" t="str">
        <f t="shared" si="97"/>
        <v>513199</v>
      </c>
      <c r="J2064" s="65" t="str">
        <f t="shared" si="98"/>
        <v>513199</v>
      </c>
    </row>
    <row r="2065" spans="1:10" x14ac:dyDescent="0.3">
      <c r="A2065" s="27" t="s">
        <v>1869</v>
      </c>
      <c r="B2065" s="27" t="str">
        <f>"51.32"</f>
        <v>51.32</v>
      </c>
      <c r="C2065" s="64" t="s">
        <v>5217</v>
      </c>
      <c r="D2065" s="27" t="s">
        <v>2229</v>
      </c>
      <c r="E2065" s="27" t="s">
        <v>2230</v>
      </c>
      <c r="F2065" s="27" t="str">
        <f>"51.32"</f>
        <v>51.32</v>
      </c>
      <c r="G2065" s="27" t="s">
        <v>5218</v>
      </c>
      <c r="H2065" s="65" t="str">
        <f t="shared" si="96"/>
        <v>No Change</v>
      </c>
      <c r="I2065" s="65" t="str">
        <f t="shared" si="97"/>
        <v/>
      </c>
      <c r="J2065" s="65" t="str">
        <f t="shared" si="98"/>
        <v/>
      </c>
    </row>
    <row r="2066" spans="1:10" x14ac:dyDescent="0.3">
      <c r="A2066" s="27" t="s">
        <v>5219</v>
      </c>
      <c r="B2066" s="27" t="str">
        <f>"51.3201"</f>
        <v>51.3201</v>
      </c>
      <c r="C2066" s="64" t="s">
        <v>5217</v>
      </c>
      <c r="D2066" s="27" t="s">
        <v>2229</v>
      </c>
      <c r="E2066" s="27" t="s">
        <v>2232</v>
      </c>
      <c r="F2066" s="27" t="str">
        <f>"51.3201"</f>
        <v>51.3201</v>
      </c>
      <c r="G2066" s="27" t="s">
        <v>5217</v>
      </c>
      <c r="H2066" s="65" t="str">
        <f t="shared" si="96"/>
        <v>No Change</v>
      </c>
      <c r="I2066" s="65" t="str">
        <f t="shared" si="97"/>
        <v>513201</v>
      </c>
      <c r="J2066" s="65" t="str">
        <f t="shared" si="98"/>
        <v>513201</v>
      </c>
    </row>
    <row r="2067" spans="1:10" x14ac:dyDescent="0.3">
      <c r="A2067" s="27" t="s">
        <v>1869</v>
      </c>
      <c r="D2067" s="27" t="s">
        <v>2255</v>
      </c>
      <c r="E2067" s="27" t="s">
        <v>2232</v>
      </c>
      <c r="F2067" s="27" t="str">
        <f>"51.3202"</f>
        <v>51.3202</v>
      </c>
      <c r="G2067" s="27" t="s">
        <v>5220</v>
      </c>
      <c r="H2067" s="65" t="str">
        <f t="shared" si="96"/>
        <v>Other</v>
      </c>
      <c r="I2067" s="65" t="str">
        <f t="shared" si="97"/>
        <v/>
      </c>
      <c r="J2067" s="65" t="str">
        <f t="shared" si="98"/>
        <v>513202</v>
      </c>
    </row>
    <row r="2068" spans="1:10" x14ac:dyDescent="0.3">
      <c r="A2068" s="27" t="s">
        <v>1869</v>
      </c>
      <c r="D2068" s="27" t="s">
        <v>2255</v>
      </c>
      <c r="E2068" s="27" t="s">
        <v>2232</v>
      </c>
      <c r="F2068" s="27" t="str">
        <f>"51.3204"</f>
        <v>51.3204</v>
      </c>
      <c r="G2068" s="27" t="s">
        <v>5221</v>
      </c>
      <c r="H2068" s="65" t="str">
        <f t="shared" si="96"/>
        <v>Other</v>
      </c>
      <c r="I2068" s="65" t="str">
        <f t="shared" si="97"/>
        <v/>
      </c>
      <c r="J2068" s="65" t="str">
        <f t="shared" si="98"/>
        <v>513204</v>
      </c>
    </row>
    <row r="2069" spans="1:10" x14ac:dyDescent="0.3">
      <c r="A2069" s="27" t="s">
        <v>1869</v>
      </c>
      <c r="D2069" s="27" t="s">
        <v>2255</v>
      </c>
      <c r="E2069" s="27" t="s">
        <v>2232</v>
      </c>
      <c r="F2069" s="27" t="str">
        <f>"51.3205"</f>
        <v>51.3205</v>
      </c>
      <c r="G2069" s="27" t="s">
        <v>5222</v>
      </c>
      <c r="H2069" s="65" t="str">
        <f t="shared" si="96"/>
        <v>Other</v>
      </c>
      <c r="I2069" s="65" t="str">
        <f t="shared" si="97"/>
        <v/>
      </c>
      <c r="J2069" s="65" t="str">
        <f t="shared" si="98"/>
        <v>513205</v>
      </c>
    </row>
    <row r="2070" spans="1:10" x14ac:dyDescent="0.3">
      <c r="A2070" s="27" t="s">
        <v>1869</v>
      </c>
      <c r="D2070" s="27" t="s">
        <v>2255</v>
      </c>
      <c r="E2070" s="27" t="s">
        <v>2232</v>
      </c>
      <c r="F2070" s="27" t="str">
        <f>"51.3206"</f>
        <v>51.3206</v>
      </c>
      <c r="G2070" s="27" t="s">
        <v>5223</v>
      </c>
      <c r="H2070" s="65" t="str">
        <f t="shared" si="96"/>
        <v>Other</v>
      </c>
      <c r="I2070" s="65" t="str">
        <f t="shared" si="97"/>
        <v/>
      </c>
      <c r="J2070" s="65" t="str">
        <f t="shared" si="98"/>
        <v>513206</v>
      </c>
    </row>
    <row r="2071" spans="1:10" x14ac:dyDescent="0.3">
      <c r="A2071" s="27" t="s">
        <v>1869</v>
      </c>
      <c r="D2071" s="27" t="s">
        <v>2255</v>
      </c>
      <c r="E2071" s="27" t="s">
        <v>2232</v>
      </c>
      <c r="F2071" s="27" t="str">
        <f>"51.3299"</f>
        <v>51.3299</v>
      </c>
      <c r="G2071" s="27" t="s">
        <v>5224</v>
      </c>
      <c r="H2071" s="65" t="str">
        <f t="shared" si="96"/>
        <v>Other</v>
      </c>
      <c r="I2071" s="65" t="str">
        <f t="shared" si="97"/>
        <v/>
      </c>
      <c r="J2071" s="65" t="str">
        <f t="shared" si="98"/>
        <v>513299</v>
      </c>
    </row>
    <row r="2072" spans="1:10" ht="28.8" x14ac:dyDescent="0.3">
      <c r="A2072" s="27" t="s">
        <v>1869</v>
      </c>
      <c r="B2072" s="27" t="str">
        <f>"51.33"</f>
        <v>51.33</v>
      </c>
      <c r="C2072" s="64" t="s">
        <v>5225</v>
      </c>
      <c r="D2072" s="27" t="s">
        <v>2229</v>
      </c>
      <c r="E2072" s="27" t="s">
        <v>2232</v>
      </c>
      <c r="F2072" s="27" t="str">
        <f>"51.33"</f>
        <v>51.33</v>
      </c>
      <c r="G2072" s="27" t="s">
        <v>5225</v>
      </c>
      <c r="H2072" s="65" t="str">
        <f t="shared" si="96"/>
        <v>No Change</v>
      </c>
      <c r="I2072" s="65" t="str">
        <f t="shared" si="97"/>
        <v/>
      </c>
      <c r="J2072" s="65" t="str">
        <f t="shared" si="98"/>
        <v/>
      </c>
    </row>
    <row r="2073" spans="1:10" ht="28.8" x14ac:dyDescent="0.3">
      <c r="A2073" s="27" t="s">
        <v>5226</v>
      </c>
      <c r="B2073" s="27" t="str">
        <f>"51.3300"</f>
        <v>51.3300</v>
      </c>
      <c r="C2073" s="64" t="s">
        <v>5227</v>
      </c>
      <c r="D2073" s="27" t="s">
        <v>2229</v>
      </c>
      <c r="E2073" s="27" t="s">
        <v>2232</v>
      </c>
      <c r="F2073" s="27" t="str">
        <f>"51.3300"</f>
        <v>51.3300</v>
      </c>
      <c r="G2073" s="27" t="s">
        <v>5227</v>
      </c>
      <c r="H2073" s="65" t="str">
        <f t="shared" si="96"/>
        <v>No Change</v>
      </c>
      <c r="I2073" s="65" t="str">
        <f t="shared" si="97"/>
        <v>513300</v>
      </c>
      <c r="J2073" s="65" t="str">
        <f t="shared" si="98"/>
        <v>513300</v>
      </c>
    </row>
    <row r="2074" spans="1:10" x14ac:dyDescent="0.3">
      <c r="A2074" s="27" t="s">
        <v>5228</v>
      </c>
      <c r="B2074" s="27" t="str">
        <f>"51.3301"</f>
        <v>51.3301</v>
      </c>
      <c r="C2074" s="64" t="s">
        <v>5229</v>
      </c>
      <c r="D2074" s="27" t="s">
        <v>2229</v>
      </c>
      <c r="E2074" s="27" t="s">
        <v>2232</v>
      </c>
      <c r="F2074" s="27" t="str">
        <f>"51.3301"</f>
        <v>51.3301</v>
      </c>
      <c r="G2074" s="27" t="s">
        <v>5229</v>
      </c>
      <c r="H2074" s="65" t="str">
        <f t="shared" si="96"/>
        <v>No Change</v>
      </c>
      <c r="I2074" s="65" t="str">
        <f t="shared" si="97"/>
        <v>513301</v>
      </c>
      <c r="J2074" s="65" t="str">
        <f t="shared" si="98"/>
        <v>513301</v>
      </c>
    </row>
    <row r="2075" spans="1:10" x14ac:dyDescent="0.3">
      <c r="A2075" s="27" t="s">
        <v>5230</v>
      </c>
      <c r="B2075" s="27" t="str">
        <f>"51.3302"</f>
        <v>51.3302</v>
      </c>
      <c r="C2075" s="64" t="s">
        <v>5231</v>
      </c>
      <c r="D2075" s="27" t="s">
        <v>2229</v>
      </c>
      <c r="E2075" s="27" t="s">
        <v>2232</v>
      </c>
      <c r="F2075" s="27" t="str">
        <f>"51.3302"</f>
        <v>51.3302</v>
      </c>
      <c r="G2075" s="27" t="s">
        <v>5231</v>
      </c>
      <c r="H2075" s="65" t="str">
        <f t="shared" si="96"/>
        <v>No Change</v>
      </c>
      <c r="I2075" s="65" t="str">
        <f t="shared" si="97"/>
        <v>513302</v>
      </c>
      <c r="J2075" s="65" t="str">
        <f t="shared" si="98"/>
        <v>513302</v>
      </c>
    </row>
    <row r="2076" spans="1:10" x14ac:dyDescent="0.3">
      <c r="A2076" s="27" t="s">
        <v>5232</v>
      </c>
      <c r="B2076" s="27" t="str">
        <f>"51.3303"</f>
        <v>51.3303</v>
      </c>
      <c r="C2076" s="64" t="s">
        <v>5233</v>
      </c>
      <c r="D2076" s="27" t="s">
        <v>2229</v>
      </c>
      <c r="E2076" s="27" t="s">
        <v>2232</v>
      </c>
      <c r="F2076" s="27" t="str">
        <f>"51.3303"</f>
        <v>51.3303</v>
      </c>
      <c r="G2076" s="27" t="s">
        <v>5233</v>
      </c>
      <c r="H2076" s="65" t="str">
        <f t="shared" si="96"/>
        <v>No Change</v>
      </c>
      <c r="I2076" s="65" t="str">
        <f t="shared" si="97"/>
        <v>513303</v>
      </c>
      <c r="J2076" s="65" t="str">
        <f t="shared" si="98"/>
        <v>513303</v>
      </c>
    </row>
    <row r="2077" spans="1:10" x14ac:dyDescent="0.3">
      <c r="A2077" s="27" t="s">
        <v>5234</v>
      </c>
      <c r="B2077" s="27" t="str">
        <f>"51.3304"</f>
        <v>51.3304</v>
      </c>
      <c r="C2077" s="64" t="s">
        <v>5235</v>
      </c>
      <c r="D2077" s="27" t="s">
        <v>2229</v>
      </c>
      <c r="E2077" s="27" t="s">
        <v>2232</v>
      </c>
      <c r="F2077" s="27" t="str">
        <f>"51.3304"</f>
        <v>51.3304</v>
      </c>
      <c r="G2077" s="27" t="s">
        <v>5235</v>
      </c>
      <c r="H2077" s="65" t="str">
        <f t="shared" si="96"/>
        <v>No Change</v>
      </c>
      <c r="I2077" s="65" t="str">
        <f t="shared" si="97"/>
        <v>513304</v>
      </c>
      <c r="J2077" s="65" t="str">
        <f t="shared" si="98"/>
        <v>513304</v>
      </c>
    </row>
    <row r="2078" spans="1:10" x14ac:dyDescent="0.3">
      <c r="A2078" s="27" t="s">
        <v>5236</v>
      </c>
      <c r="B2078" s="27" t="str">
        <f>"51.3305"</f>
        <v>51.3305</v>
      </c>
      <c r="C2078" s="64" t="s">
        <v>5237</v>
      </c>
      <c r="D2078" s="27" t="s">
        <v>2229</v>
      </c>
      <c r="E2078" s="27" t="s">
        <v>2232</v>
      </c>
      <c r="F2078" s="27" t="str">
        <f>"51.3305"</f>
        <v>51.3305</v>
      </c>
      <c r="G2078" s="27" t="s">
        <v>5237</v>
      </c>
      <c r="H2078" s="65" t="str">
        <f t="shared" si="96"/>
        <v>No Change</v>
      </c>
      <c r="I2078" s="65" t="str">
        <f t="shared" si="97"/>
        <v>513305</v>
      </c>
      <c r="J2078" s="65" t="str">
        <f t="shared" si="98"/>
        <v>513305</v>
      </c>
    </row>
    <row r="2079" spans="1:10" x14ac:dyDescent="0.3">
      <c r="A2079" s="27" t="s">
        <v>5238</v>
      </c>
      <c r="B2079" s="27" t="str">
        <f>"51.3306"</f>
        <v>51.3306</v>
      </c>
      <c r="C2079" s="64" t="s">
        <v>5239</v>
      </c>
      <c r="D2079" s="27" t="s">
        <v>2229</v>
      </c>
      <c r="E2079" s="27" t="s">
        <v>2230</v>
      </c>
      <c r="F2079" s="27" t="str">
        <f>"51.3306"</f>
        <v>51.3306</v>
      </c>
      <c r="G2079" s="27" t="s">
        <v>5240</v>
      </c>
      <c r="H2079" s="65" t="str">
        <f t="shared" si="96"/>
        <v>No Change</v>
      </c>
      <c r="I2079" s="65" t="str">
        <f t="shared" si="97"/>
        <v>513306</v>
      </c>
      <c r="J2079" s="65" t="str">
        <f t="shared" si="98"/>
        <v>513306</v>
      </c>
    </row>
    <row r="2080" spans="1:10" ht="28.8" x14ac:dyDescent="0.3">
      <c r="A2080" s="27" t="s">
        <v>5241</v>
      </c>
      <c r="B2080" s="27" t="str">
        <f>"51.3399"</f>
        <v>51.3399</v>
      </c>
      <c r="C2080" s="64" t="s">
        <v>5242</v>
      </c>
      <c r="D2080" s="27" t="s">
        <v>2229</v>
      </c>
      <c r="E2080" s="27" t="s">
        <v>2232</v>
      </c>
      <c r="F2080" s="27" t="str">
        <f>"51.3399"</f>
        <v>51.3399</v>
      </c>
      <c r="G2080" s="27" t="s">
        <v>5242</v>
      </c>
      <c r="H2080" s="65" t="str">
        <f t="shared" si="96"/>
        <v>No Change</v>
      </c>
      <c r="I2080" s="65" t="str">
        <f t="shared" si="97"/>
        <v>513399</v>
      </c>
      <c r="J2080" s="65" t="str">
        <f t="shared" si="98"/>
        <v>513399</v>
      </c>
    </row>
    <row r="2081" spans="1:10" x14ac:dyDescent="0.3">
      <c r="A2081" s="27" t="s">
        <v>1869</v>
      </c>
      <c r="B2081" s="27" t="str">
        <f>"51.34"</f>
        <v>51.34</v>
      </c>
      <c r="C2081" s="64" t="s">
        <v>5243</v>
      </c>
      <c r="D2081" s="27" t="s">
        <v>2229</v>
      </c>
      <c r="E2081" s="27" t="s">
        <v>2232</v>
      </c>
      <c r="F2081" s="27" t="str">
        <f>"51.34"</f>
        <v>51.34</v>
      </c>
      <c r="G2081" s="27" t="s">
        <v>5243</v>
      </c>
      <c r="H2081" s="65" t="str">
        <f t="shared" si="96"/>
        <v>No Change</v>
      </c>
      <c r="I2081" s="65" t="str">
        <f t="shared" si="97"/>
        <v/>
      </c>
      <c r="J2081" s="65" t="str">
        <f t="shared" si="98"/>
        <v/>
      </c>
    </row>
    <row r="2082" spans="1:10" x14ac:dyDescent="0.3">
      <c r="A2082" s="27" t="s">
        <v>5244</v>
      </c>
      <c r="B2082" s="27" t="str">
        <f>"51.3401"</f>
        <v>51.3401</v>
      </c>
      <c r="C2082" s="64" t="s">
        <v>5245</v>
      </c>
      <c r="D2082" s="27" t="s">
        <v>2229</v>
      </c>
      <c r="E2082" s="27" t="s">
        <v>2232</v>
      </c>
      <c r="F2082" s="27" t="str">
        <f>"51.3401"</f>
        <v>51.3401</v>
      </c>
      <c r="G2082" s="27" t="s">
        <v>5245</v>
      </c>
      <c r="H2082" s="65" t="str">
        <f t="shared" si="96"/>
        <v>No Change</v>
      </c>
      <c r="I2082" s="65" t="str">
        <f t="shared" si="97"/>
        <v>513401</v>
      </c>
      <c r="J2082" s="65" t="str">
        <f t="shared" si="98"/>
        <v>513401</v>
      </c>
    </row>
    <row r="2083" spans="1:10" ht="28.8" x14ac:dyDescent="0.3">
      <c r="A2083" s="27" t="s">
        <v>5246</v>
      </c>
      <c r="B2083" s="27" t="str">
        <f>"51.3499"</f>
        <v>51.3499</v>
      </c>
      <c r="C2083" s="64" t="s">
        <v>5247</v>
      </c>
      <c r="D2083" s="27" t="s">
        <v>2229</v>
      </c>
      <c r="E2083" s="27" t="s">
        <v>2232</v>
      </c>
      <c r="F2083" s="27" t="str">
        <f>"51.3499"</f>
        <v>51.3499</v>
      </c>
      <c r="G2083" s="27" t="s">
        <v>5247</v>
      </c>
      <c r="H2083" s="65" t="str">
        <f t="shared" si="96"/>
        <v>No Change</v>
      </c>
      <c r="I2083" s="65" t="str">
        <f t="shared" si="97"/>
        <v>513499</v>
      </c>
      <c r="J2083" s="65" t="str">
        <f t="shared" si="98"/>
        <v>513499</v>
      </c>
    </row>
    <row r="2084" spans="1:10" x14ac:dyDescent="0.3">
      <c r="A2084" s="27" t="s">
        <v>1869</v>
      </c>
      <c r="B2084" s="27" t="str">
        <f>"51.35"</f>
        <v>51.35</v>
      </c>
      <c r="C2084" s="64" t="s">
        <v>5248</v>
      </c>
      <c r="D2084" s="27" t="s">
        <v>2229</v>
      </c>
      <c r="E2084" s="27" t="s">
        <v>2232</v>
      </c>
      <c r="F2084" s="27" t="str">
        <f>"51.35"</f>
        <v>51.35</v>
      </c>
      <c r="G2084" s="27" t="s">
        <v>5248</v>
      </c>
      <c r="H2084" s="65" t="str">
        <f t="shared" si="96"/>
        <v>No Change</v>
      </c>
      <c r="I2084" s="65" t="str">
        <f t="shared" si="97"/>
        <v/>
      </c>
      <c r="J2084" s="65" t="str">
        <f t="shared" si="98"/>
        <v/>
      </c>
    </row>
    <row r="2085" spans="1:10" x14ac:dyDescent="0.3">
      <c r="A2085" s="27" t="s">
        <v>212</v>
      </c>
      <c r="B2085" s="27" t="str">
        <f>"51.3501"</f>
        <v>51.3501</v>
      </c>
      <c r="C2085" s="64" t="s">
        <v>213</v>
      </c>
      <c r="D2085" s="27" t="s">
        <v>2229</v>
      </c>
      <c r="E2085" s="27" t="s">
        <v>2232</v>
      </c>
      <c r="F2085" s="27" t="str">
        <f>"51.3501"</f>
        <v>51.3501</v>
      </c>
      <c r="G2085" s="27" t="s">
        <v>213</v>
      </c>
      <c r="H2085" s="65" t="str">
        <f t="shared" si="96"/>
        <v>No Change</v>
      </c>
      <c r="I2085" s="65" t="str">
        <f t="shared" si="97"/>
        <v>513501</v>
      </c>
      <c r="J2085" s="65" t="str">
        <f t="shared" si="98"/>
        <v>513501</v>
      </c>
    </row>
    <row r="2086" spans="1:10" x14ac:dyDescent="0.3">
      <c r="A2086" s="27" t="s">
        <v>5249</v>
      </c>
      <c r="B2086" s="27" t="str">
        <f>"51.3502"</f>
        <v>51.3502</v>
      </c>
      <c r="C2086" s="64" t="s">
        <v>5250</v>
      </c>
      <c r="D2086" s="27" t="s">
        <v>2229</v>
      </c>
      <c r="E2086" s="27" t="s">
        <v>2232</v>
      </c>
      <c r="F2086" s="27" t="str">
        <f>"51.3502"</f>
        <v>51.3502</v>
      </c>
      <c r="G2086" s="27" t="s">
        <v>5250</v>
      </c>
      <c r="H2086" s="65" t="str">
        <f t="shared" si="96"/>
        <v>No Change</v>
      </c>
      <c r="I2086" s="65" t="str">
        <f t="shared" si="97"/>
        <v>513502</v>
      </c>
      <c r="J2086" s="65" t="str">
        <f t="shared" si="98"/>
        <v>513502</v>
      </c>
    </row>
    <row r="2087" spans="1:10" x14ac:dyDescent="0.3">
      <c r="A2087" s="27" t="s">
        <v>5251</v>
      </c>
      <c r="B2087" s="27" t="str">
        <f>"51.3503"</f>
        <v>51.3503</v>
      </c>
      <c r="C2087" s="64" t="s">
        <v>5252</v>
      </c>
      <c r="D2087" s="27" t="s">
        <v>2229</v>
      </c>
      <c r="E2087" s="27" t="s">
        <v>2232</v>
      </c>
      <c r="F2087" s="27" t="str">
        <f>"51.3503"</f>
        <v>51.3503</v>
      </c>
      <c r="G2087" s="27" t="s">
        <v>5252</v>
      </c>
      <c r="H2087" s="65" t="str">
        <f t="shared" si="96"/>
        <v>No Change</v>
      </c>
      <c r="I2087" s="65" t="str">
        <f t="shared" si="97"/>
        <v>513503</v>
      </c>
      <c r="J2087" s="65" t="str">
        <f t="shared" si="98"/>
        <v>513503</v>
      </c>
    </row>
    <row r="2088" spans="1:10" x14ac:dyDescent="0.3">
      <c r="A2088" s="27" t="s">
        <v>5253</v>
      </c>
      <c r="B2088" s="27" t="str">
        <f>"51.3599"</f>
        <v>51.3599</v>
      </c>
      <c r="C2088" s="64" t="s">
        <v>5254</v>
      </c>
      <c r="D2088" s="27" t="s">
        <v>2229</v>
      </c>
      <c r="E2088" s="27" t="s">
        <v>2232</v>
      </c>
      <c r="F2088" s="27" t="str">
        <f>"51.3599"</f>
        <v>51.3599</v>
      </c>
      <c r="G2088" s="27" t="s">
        <v>5254</v>
      </c>
      <c r="H2088" s="65" t="str">
        <f t="shared" si="96"/>
        <v>No Change</v>
      </c>
      <c r="I2088" s="65" t="str">
        <f t="shared" si="97"/>
        <v>513599</v>
      </c>
      <c r="J2088" s="65" t="str">
        <f t="shared" si="98"/>
        <v>513599</v>
      </c>
    </row>
    <row r="2089" spans="1:10" x14ac:dyDescent="0.3">
      <c r="A2089" s="27" t="s">
        <v>1869</v>
      </c>
      <c r="B2089" s="27" t="str">
        <f>"51.36"</f>
        <v>51.36</v>
      </c>
      <c r="C2089" s="64" t="s">
        <v>5255</v>
      </c>
      <c r="D2089" s="27" t="s">
        <v>2229</v>
      </c>
      <c r="E2089" s="27" t="s">
        <v>2232</v>
      </c>
      <c r="F2089" s="27" t="str">
        <f>"51.36"</f>
        <v>51.36</v>
      </c>
      <c r="G2089" s="27" t="s">
        <v>5255</v>
      </c>
      <c r="H2089" s="65" t="str">
        <f t="shared" si="96"/>
        <v>No Change</v>
      </c>
      <c r="I2089" s="65" t="str">
        <f t="shared" si="97"/>
        <v/>
      </c>
      <c r="J2089" s="65" t="str">
        <f t="shared" si="98"/>
        <v/>
      </c>
    </row>
    <row r="2090" spans="1:10" x14ac:dyDescent="0.3">
      <c r="A2090" s="27" t="s">
        <v>5256</v>
      </c>
      <c r="B2090" s="27" t="str">
        <f>"51.3601"</f>
        <v>51.3601</v>
      </c>
      <c r="C2090" s="64" t="s">
        <v>5257</v>
      </c>
      <c r="D2090" s="27" t="s">
        <v>2229</v>
      </c>
      <c r="E2090" s="27" t="s">
        <v>2232</v>
      </c>
      <c r="F2090" s="27" t="str">
        <f>"51.3601"</f>
        <v>51.3601</v>
      </c>
      <c r="G2090" s="27" t="s">
        <v>5257</v>
      </c>
      <c r="H2090" s="65" t="str">
        <f t="shared" si="96"/>
        <v>No Change</v>
      </c>
      <c r="I2090" s="65" t="str">
        <f t="shared" si="97"/>
        <v>513601</v>
      </c>
      <c r="J2090" s="65" t="str">
        <f t="shared" si="98"/>
        <v>513601</v>
      </c>
    </row>
    <row r="2091" spans="1:10" x14ac:dyDescent="0.3">
      <c r="A2091" s="27" t="s">
        <v>5258</v>
      </c>
      <c r="B2091" s="27" t="str">
        <f>"51.3602"</f>
        <v>51.3602</v>
      </c>
      <c r="C2091" s="64" t="s">
        <v>5259</v>
      </c>
      <c r="D2091" s="27" t="s">
        <v>2229</v>
      </c>
      <c r="E2091" s="27" t="s">
        <v>2232</v>
      </c>
      <c r="F2091" s="27" t="str">
        <f>"51.3602"</f>
        <v>51.3602</v>
      </c>
      <c r="G2091" s="27" t="s">
        <v>5259</v>
      </c>
      <c r="H2091" s="65" t="str">
        <f t="shared" si="96"/>
        <v>No Change</v>
      </c>
      <c r="I2091" s="65" t="str">
        <f t="shared" si="97"/>
        <v>513602</v>
      </c>
      <c r="J2091" s="65" t="str">
        <f t="shared" si="98"/>
        <v>513602</v>
      </c>
    </row>
    <row r="2092" spans="1:10" x14ac:dyDescent="0.3">
      <c r="A2092" s="27" t="s">
        <v>5260</v>
      </c>
      <c r="B2092" s="27" t="str">
        <f>"51.3603"</f>
        <v>51.3603</v>
      </c>
      <c r="C2092" s="64" t="s">
        <v>5261</v>
      </c>
      <c r="D2092" s="27" t="s">
        <v>2229</v>
      </c>
      <c r="E2092" s="27" t="s">
        <v>2232</v>
      </c>
      <c r="F2092" s="27" t="str">
        <f>"51.3603"</f>
        <v>51.3603</v>
      </c>
      <c r="G2092" s="27" t="s">
        <v>5261</v>
      </c>
      <c r="H2092" s="65" t="str">
        <f t="shared" si="96"/>
        <v>No Change</v>
      </c>
      <c r="I2092" s="65" t="str">
        <f t="shared" si="97"/>
        <v>513603</v>
      </c>
      <c r="J2092" s="65" t="str">
        <f t="shared" si="98"/>
        <v>513603</v>
      </c>
    </row>
    <row r="2093" spans="1:10" x14ac:dyDescent="0.3">
      <c r="A2093" s="27" t="s">
        <v>5262</v>
      </c>
      <c r="B2093" s="27" t="str">
        <f>"51.3699"</f>
        <v>51.3699</v>
      </c>
      <c r="C2093" s="64" t="s">
        <v>5263</v>
      </c>
      <c r="D2093" s="27" t="s">
        <v>2229</v>
      </c>
      <c r="E2093" s="27" t="s">
        <v>2232</v>
      </c>
      <c r="F2093" s="27" t="str">
        <f>"51.3699"</f>
        <v>51.3699</v>
      </c>
      <c r="G2093" s="27" t="s">
        <v>5263</v>
      </c>
      <c r="H2093" s="65" t="str">
        <f t="shared" si="96"/>
        <v>No Change</v>
      </c>
      <c r="I2093" s="65" t="str">
        <f t="shared" si="97"/>
        <v>513699</v>
      </c>
      <c r="J2093" s="65" t="str">
        <f t="shared" si="98"/>
        <v>513699</v>
      </c>
    </row>
    <row r="2094" spans="1:10" x14ac:dyDescent="0.3">
      <c r="A2094" s="27" t="s">
        <v>1869</v>
      </c>
      <c r="B2094" s="27" t="str">
        <f>"51.37"</f>
        <v>51.37</v>
      </c>
      <c r="C2094" s="64" t="s">
        <v>5264</v>
      </c>
      <c r="D2094" s="27" t="s">
        <v>2229</v>
      </c>
      <c r="E2094" s="27" t="s">
        <v>2232</v>
      </c>
      <c r="F2094" s="27" t="str">
        <f>"51.37"</f>
        <v>51.37</v>
      </c>
      <c r="G2094" s="27" t="s">
        <v>5264</v>
      </c>
      <c r="H2094" s="65" t="str">
        <f t="shared" si="96"/>
        <v>No Change</v>
      </c>
      <c r="I2094" s="65" t="str">
        <f t="shared" si="97"/>
        <v/>
      </c>
      <c r="J2094" s="65" t="str">
        <f t="shared" si="98"/>
        <v/>
      </c>
    </row>
    <row r="2095" spans="1:10" x14ac:dyDescent="0.3">
      <c r="A2095" s="27" t="s">
        <v>5265</v>
      </c>
      <c r="B2095" s="27" t="str">
        <f>"51.3701"</f>
        <v>51.3701</v>
      </c>
      <c r="C2095" s="64" t="s">
        <v>5266</v>
      </c>
      <c r="D2095" s="27" t="s">
        <v>2229</v>
      </c>
      <c r="E2095" s="27" t="s">
        <v>2232</v>
      </c>
      <c r="F2095" s="27" t="str">
        <f>"51.3701"</f>
        <v>51.3701</v>
      </c>
      <c r="G2095" s="27" t="s">
        <v>5266</v>
      </c>
      <c r="H2095" s="65" t="str">
        <f t="shared" si="96"/>
        <v>No Change</v>
      </c>
      <c r="I2095" s="65" t="str">
        <f t="shared" si="97"/>
        <v>513701</v>
      </c>
      <c r="J2095" s="65" t="str">
        <f t="shared" si="98"/>
        <v>513701</v>
      </c>
    </row>
    <row r="2096" spans="1:10" x14ac:dyDescent="0.3">
      <c r="A2096" s="27" t="s">
        <v>5267</v>
      </c>
      <c r="B2096" s="27" t="str">
        <f>"51.3702"</f>
        <v>51.3702</v>
      </c>
      <c r="C2096" s="64" t="s">
        <v>5268</v>
      </c>
      <c r="D2096" s="27" t="s">
        <v>2229</v>
      </c>
      <c r="E2096" s="27" t="s">
        <v>2232</v>
      </c>
      <c r="F2096" s="27" t="str">
        <f>"51.3702"</f>
        <v>51.3702</v>
      </c>
      <c r="G2096" s="27" t="s">
        <v>5268</v>
      </c>
      <c r="H2096" s="65" t="str">
        <f t="shared" si="96"/>
        <v>No Change</v>
      </c>
      <c r="I2096" s="65" t="str">
        <f t="shared" si="97"/>
        <v>513702</v>
      </c>
      <c r="J2096" s="65" t="str">
        <f t="shared" si="98"/>
        <v>513702</v>
      </c>
    </row>
    <row r="2097" spans="1:10" x14ac:dyDescent="0.3">
      <c r="A2097" s="27" t="s">
        <v>5269</v>
      </c>
      <c r="B2097" s="27" t="str">
        <f>"51.3703"</f>
        <v>51.3703</v>
      </c>
      <c r="C2097" s="64" t="s">
        <v>5270</v>
      </c>
      <c r="D2097" s="27" t="s">
        <v>2229</v>
      </c>
      <c r="E2097" s="27" t="s">
        <v>2232</v>
      </c>
      <c r="F2097" s="27" t="str">
        <f>"51.3703"</f>
        <v>51.3703</v>
      </c>
      <c r="G2097" s="27" t="s">
        <v>5270</v>
      </c>
      <c r="H2097" s="65" t="str">
        <f t="shared" si="96"/>
        <v>No Change</v>
      </c>
      <c r="I2097" s="65" t="str">
        <f t="shared" si="97"/>
        <v>513703</v>
      </c>
      <c r="J2097" s="65" t="str">
        <f t="shared" si="98"/>
        <v>513703</v>
      </c>
    </row>
    <row r="2098" spans="1:10" x14ac:dyDescent="0.3">
      <c r="A2098" s="27" t="s">
        <v>5271</v>
      </c>
      <c r="B2098" s="27" t="str">
        <f>"51.3704"</f>
        <v>51.3704</v>
      </c>
      <c r="C2098" s="64" t="s">
        <v>5272</v>
      </c>
      <c r="D2098" s="27" t="s">
        <v>2229</v>
      </c>
      <c r="E2098" s="27" t="s">
        <v>2232</v>
      </c>
      <c r="F2098" s="27" t="str">
        <f>"51.3704"</f>
        <v>51.3704</v>
      </c>
      <c r="G2098" s="27" t="s">
        <v>5272</v>
      </c>
      <c r="H2098" s="65" t="str">
        <f t="shared" si="96"/>
        <v>No Change</v>
      </c>
      <c r="I2098" s="65" t="str">
        <f t="shared" si="97"/>
        <v>513704</v>
      </c>
      <c r="J2098" s="65" t="str">
        <f t="shared" si="98"/>
        <v>513704</v>
      </c>
    </row>
    <row r="2099" spans="1:10" x14ac:dyDescent="0.3">
      <c r="A2099" s="27" t="s">
        <v>5273</v>
      </c>
      <c r="B2099" s="27" t="str">
        <f>"51.3799"</f>
        <v>51.3799</v>
      </c>
      <c r="C2099" s="64" t="s">
        <v>5274</v>
      </c>
      <c r="D2099" s="27" t="s">
        <v>2229</v>
      </c>
      <c r="E2099" s="27" t="s">
        <v>2232</v>
      </c>
      <c r="F2099" s="27" t="str">
        <f>"51.3799"</f>
        <v>51.3799</v>
      </c>
      <c r="G2099" s="27" t="s">
        <v>5274</v>
      </c>
      <c r="H2099" s="65" t="str">
        <f t="shared" si="96"/>
        <v>No Change</v>
      </c>
      <c r="I2099" s="65" t="str">
        <f t="shared" si="97"/>
        <v>513799</v>
      </c>
      <c r="J2099" s="65" t="str">
        <f t="shared" si="98"/>
        <v>513799</v>
      </c>
    </row>
    <row r="2100" spans="1:10" ht="28.8" x14ac:dyDescent="0.3">
      <c r="A2100" s="27" t="s">
        <v>1869</v>
      </c>
      <c r="B2100" s="27" t="str">
        <f>"51.38"</f>
        <v>51.38</v>
      </c>
      <c r="C2100" s="64" t="s">
        <v>5275</v>
      </c>
      <c r="D2100" s="27" t="s">
        <v>2229</v>
      </c>
      <c r="E2100" s="27" t="s">
        <v>2232</v>
      </c>
      <c r="F2100" s="27" t="str">
        <f>"51.38"</f>
        <v>51.38</v>
      </c>
      <c r="G2100" s="27" t="s">
        <v>5275</v>
      </c>
      <c r="H2100" s="65" t="str">
        <f t="shared" si="96"/>
        <v>No Change</v>
      </c>
      <c r="I2100" s="65" t="str">
        <f t="shared" si="97"/>
        <v/>
      </c>
      <c r="J2100" s="65" t="str">
        <f t="shared" si="98"/>
        <v/>
      </c>
    </row>
    <row r="2101" spans="1:10" x14ac:dyDescent="0.3">
      <c r="A2101" s="27" t="s">
        <v>102</v>
      </c>
      <c r="B2101" s="27" t="str">
        <f>"51.3801"</f>
        <v>51.3801</v>
      </c>
      <c r="C2101" s="64" t="s">
        <v>103</v>
      </c>
      <c r="D2101" s="27" t="s">
        <v>2229</v>
      </c>
      <c r="E2101" s="27" t="s">
        <v>2232</v>
      </c>
      <c r="F2101" s="27" t="str">
        <f>"51.3801"</f>
        <v>51.3801</v>
      </c>
      <c r="G2101" s="27" t="s">
        <v>103</v>
      </c>
      <c r="H2101" s="65" t="str">
        <f t="shared" si="96"/>
        <v>No Change</v>
      </c>
      <c r="I2101" s="65" t="str">
        <f t="shared" si="97"/>
        <v>513801</v>
      </c>
      <c r="J2101" s="65" t="str">
        <f t="shared" si="98"/>
        <v>513801</v>
      </c>
    </row>
    <row r="2102" spans="1:10" x14ac:dyDescent="0.3">
      <c r="A2102" s="27" t="s">
        <v>5276</v>
      </c>
      <c r="B2102" s="27" t="str">
        <f>"51.3802"</f>
        <v>51.3802</v>
      </c>
      <c r="C2102" s="64" t="s">
        <v>5277</v>
      </c>
      <c r="D2102" s="27" t="s">
        <v>2229</v>
      </c>
      <c r="E2102" s="27" t="s">
        <v>2232</v>
      </c>
      <c r="F2102" s="27" t="str">
        <f>"51.3802"</f>
        <v>51.3802</v>
      </c>
      <c r="G2102" s="27" t="s">
        <v>5277</v>
      </c>
      <c r="H2102" s="65" t="str">
        <f t="shared" si="96"/>
        <v>No Change</v>
      </c>
      <c r="I2102" s="65" t="str">
        <f t="shared" si="97"/>
        <v>513802</v>
      </c>
      <c r="J2102" s="65" t="str">
        <f t="shared" si="98"/>
        <v>513802</v>
      </c>
    </row>
    <row r="2103" spans="1:10" x14ac:dyDescent="0.3">
      <c r="A2103" s="27" t="s">
        <v>5278</v>
      </c>
      <c r="B2103" s="27" t="str">
        <f>"51.3803"</f>
        <v>51.3803</v>
      </c>
      <c r="C2103" s="64" t="s">
        <v>5279</v>
      </c>
      <c r="D2103" s="27" t="s">
        <v>2229</v>
      </c>
      <c r="E2103" s="27" t="s">
        <v>2232</v>
      </c>
      <c r="F2103" s="27" t="str">
        <f>"51.3803"</f>
        <v>51.3803</v>
      </c>
      <c r="G2103" s="27" t="s">
        <v>5279</v>
      </c>
      <c r="H2103" s="65" t="str">
        <f t="shared" si="96"/>
        <v>No Change</v>
      </c>
      <c r="I2103" s="65" t="str">
        <f t="shared" si="97"/>
        <v>513803</v>
      </c>
      <c r="J2103" s="65" t="str">
        <f t="shared" si="98"/>
        <v>513803</v>
      </c>
    </row>
    <row r="2104" spans="1:10" x14ac:dyDescent="0.3">
      <c r="A2104" s="27" t="s">
        <v>5280</v>
      </c>
      <c r="B2104" s="27" t="str">
        <f>"51.3804"</f>
        <v>51.3804</v>
      </c>
      <c r="C2104" s="64" t="s">
        <v>5281</v>
      </c>
      <c r="D2104" s="27" t="s">
        <v>2229</v>
      </c>
      <c r="E2104" s="27" t="s">
        <v>2232</v>
      </c>
      <c r="F2104" s="27" t="str">
        <f>"51.3804"</f>
        <v>51.3804</v>
      </c>
      <c r="G2104" s="27" t="s">
        <v>5281</v>
      </c>
      <c r="H2104" s="65" t="str">
        <f t="shared" si="96"/>
        <v>No Change</v>
      </c>
      <c r="I2104" s="65" t="str">
        <f t="shared" si="97"/>
        <v>513804</v>
      </c>
      <c r="J2104" s="65" t="str">
        <f t="shared" si="98"/>
        <v>513804</v>
      </c>
    </row>
    <row r="2105" spans="1:10" x14ac:dyDescent="0.3">
      <c r="A2105" s="27" t="s">
        <v>5282</v>
      </c>
      <c r="B2105" s="27" t="str">
        <f>"51.3805"</f>
        <v>51.3805</v>
      </c>
      <c r="C2105" s="64" t="s">
        <v>5283</v>
      </c>
      <c r="D2105" s="27" t="s">
        <v>2229</v>
      </c>
      <c r="E2105" s="27" t="s">
        <v>2232</v>
      </c>
      <c r="F2105" s="27" t="str">
        <f>"51.3805"</f>
        <v>51.3805</v>
      </c>
      <c r="G2105" s="27" t="s">
        <v>5283</v>
      </c>
      <c r="H2105" s="65" t="str">
        <f t="shared" si="96"/>
        <v>No Change</v>
      </c>
      <c r="I2105" s="65" t="str">
        <f t="shared" si="97"/>
        <v>513805</v>
      </c>
      <c r="J2105" s="65" t="str">
        <f t="shared" si="98"/>
        <v>513805</v>
      </c>
    </row>
    <row r="2106" spans="1:10" x14ac:dyDescent="0.3">
      <c r="A2106" s="27" t="s">
        <v>5284</v>
      </c>
      <c r="B2106" s="27" t="str">
        <f>"51.3806"</f>
        <v>51.3806</v>
      </c>
      <c r="C2106" s="64" t="s">
        <v>5285</v>
      </c>
      <c r="D2106" s="27" t="s">
        <v>2229</v>
      </c>
      <c r="E2106" s="27" t="s">
        <v>2232</v>
      </c>
      <c r="F2106" s="27" t="str">
        <f>"51.3806"</f>
        <v>51.3806</v>
      </c>
      <c r="G2106" s="27" t="s">
        <v>5285</v>
      </c>
      <c r="H2106" s="65" t="str">
        <f t="shared" si="96"/>
        <v>No Change</v>
      </c>
      <c r="I2106" s="65" t="str">
        <f t="shared" si="97"/>
        <v>513806</v>
      </c>
      <c r="J2106" s="65" t="str">
        <f t="shared" si="98"/>
        <v>513806</v>
      </c>
    </row>
    <row r="2107" spans="1:10" x14ac:dyDescent="0.3">
      <c r="A2107" s="27" t="s">
        <v>5286</v>
      </c>
      <c r="B2107" s="27" t="str">
        <f>"51.3807"</f>
        <v>51.3807</v>
      </c>
      <c r="C2107" s="64" t="s">
        <v>5287</v>
      </c>
      <c r="D2107" s="27" t="s">
        <v>2229</v>
      </c>
      <c r="E2107" s="27" t="s">
        <v>2232</v>
      </c>
      <c r="F2107" s="27" t="str">
        <f>"51.3807"</f>
        <v>51.3807</v>
      </c>
      <c r="G2107" s="27" t="s">
        <v>5287</v>
      </c>
      <c r="H2107" s="65" t="str">
        <f t="shared" si="96"/>
        <v>No Change</v>
      </c>
      <c r="I2107" s="65" t="str">
        <f t="shared" si="97"/>
        <v>513807</v>
      </c>
      <c r="J2107" s="65" t="str">
        <f t="shared" si="98"/>
        <v>513807</v>
      </c>
    </row>
    <row r="2108" spans="1:10" x14ac:dyDescent="0.3">
      <c r="A2108" s="27" t="s">
        <v>5288</v>
      </c>
      <c r="B2108" s="27" t="str">
        <f>"51.3808"</f>
        <v>51.3808</v>
      </c>
      <c r="C2108" s="64" t="s">
        <v>5289</v>
      </c>
      <c r="D2108" s="27" t="s">
        <v>2229</v>
      </c>
      <c r="E2108" s="27" t="s">
        <v>2232</v>
      </c>
      <c r="F2108" s="27" t="str">
        <f>"51.3808"</f>
        <v>51.3808</v>
      </c>
      <c r="G2108" s="27" t="s">
        <v>5289</v>
      </c>
      <c r="H2108" s="65" t="str">
        <f t="shared" si="96"/>
        <v>No Change</v>
      </c>
      <c r="I2108" s="65" t="str">
        <f t="shared" si="97"/>
        <v>513808</v>
      </c>
      <c r="J2108" s="65" t="str">
        <f t="shared" si="98"/>
        <v>513808</v>
      </c>
    </row>
    <row r="2109" spans="1:10" x14ac:dyDescent="0.3">
      <c r="A2109" s="27" t="s">
        <v>5290</v>
      </c>
      <c r="B2109" s="27" t="str">
        <f>"51.3809"</f>
        <v>51.3809</v>
      </c>
      <c r="C2109" s="64" t="s">
        <v>5291</v>
      </c>
      <c r="D2109" s="27" t="s">
        <v>2229</v>
      </c>
      <c r="E2109" s="27" t="s">
        <v>2232</v>
      </c>
      <c r="F2109" s="27" t="str">
        <f>"51.3809"</f>
        <v>51.3809</v>
      </c>
      <c r="G2109" s="27" t="s">
        <v>5291</v>
      </c>
      <c r="H2109" s="65" t="str">
        <f t="shared" si="96"/>
        <v>No Change</v>
      </c>
      <c r="I2109" s="65" t="str">
        <f t="shared" si="97"/>
        <v>513809</v>
      </c>
      <c r="J2109" s="65" t="str">
        <f t="shared" si="98"/>
        <v>513809</v>
      </c>
    </row>
    <row r="2110" spans="1:10" x14ac:dyDescent="0.3">
      <c r="A2110" s="27" t="s">
        <v>5292</v>
      </c>
      <c r="B2110" s="27" t="str">
        <f>"51.3810"</f>
        <v>51.3810</v>
      </c>
      <c r="C2110" s="64" t="s">
        <v>5293</v>
      </c>
      <c r="D2110" s="27" t="s">
        <v>2229</v>
      </c>
      <c r="E2110" s="27" t="s">
        <v>2232</v>
      </c>
      <c r="F2110" s="27" t="str">
        <f>"51.3810"</f>
        <v>51.3810</v>
      </c>
      <c r="G2110" s="27" t="s">
        <v>5293</v>
      </c>
      <c r="H2110" s="65" t="str">
        <f t="shared" si="96"/>
        <v>No Change</v>
      </c>
      <c r="I2110" s="65" t="str">
        <f t="shared" si="97"/>
        <v>513810</v>
      </c>
      <c r="J2110" s="65" t="str">
        <f t="shared" si="98"/>
        <v>513810</v>
      </c>
    </row>
    <row r="2111" spans="1:10" x14ac:dyDescent="0.3">
      <c r="A2111" s="27" t="s">
        <v>5294</v>
      </c>
      <c r="B2111" s="27" t="str">
        <f>"51.3811"</f>
        <v>51.3811</v>
      </c>
      <c r="C2111" s="64" t="s">
        <v>5295</v>
      </c>
      <c r="D2111" s="27" t="s">
        <v>2229</v>
      </c>
      <c r="E2111" s="27" t="s">
        <v>2232</v>
      </c>
      <c r="F2111" s="27" t="str">
        <f>"51.3811"</f>
        <v>51.3811</v>
      </c>
      <c r="G2111" s="27" t="s">
        <v>5295</v>
      </c>
      <c r="H2111" s="65" t="str">
        <f t="shared" si="96"/>
        <v>No Change</v>
      </c>
      <c r="I2111" s="65" t="str">
        <f t="shared" si="97"/>
        <v>513811</v>
      </c>
      <c r="J2111" s="65" t="str">
        <f t="shared" si="98"/>
        <v>513811</v>
      </c>
    </row>
    <row r="2112" spans="1:10" x14ac:dyDescent="0.3">
      <c r="A2112" s="27" t="s">
        <v>5296</v>
      </c>
      <c r="B2112" s="27" t="str">
        <f>"51.3812"</f>
        <v>51.3812</v>
      </c>
      <c r="C2112" s="64" t="s">
        <v>5297</v>
      </c>
      <c r="D2112" s="27" t="s">
        <v>2229</v>
      </c>
      <c r="E2112" s="27" t="s">
        <v>2232</v>
      </c>
      <c r="F2112" s="27" t="str">
        <f>"51.3812"</f>
        <v>51.3812</v>
      </c>
      <c r="G2112" s="27" t="s">
        <v>5297</v>
      </c>
      <c r="H2112" s="65" t="str">
        <f t="shared" si="96"/>
        <v>No Change</v>
      </c>
      <c r="I2112" s="65" t="str">
        <f t="shared" si="97"/>
        <v>513812</v>
      </c>
      <c r="J2112" s="65" t="str">
        <f t="shared" si="98"/>
        <v>513812</v>
      </c>
    </row>
    <row r="2113" spans="1:10" x14ac:dyDescent="0.3">
      <c r="A2113" s="27" t="s">
        <v>5298</v>
      </c>
      <c r="B2113" s="27" t="str">
        <f>"51.3813"</f>
        <v>51.3813</v>
      </c>
      <c r="C2113" s="64" t="s">
        <v>5299</v>
      </c>
      <c r="D2113" s="27" t="s">
        <v>2229</v>
      </c>
      <c r="E2113" s="27" t="s">
        <v>2232</v>
      </c>
      <c r="F2113" s="27" t="str">
        <f>"51.3813"</f>
        <v>51.3813</v>
      </c>
      <c r="G2113" s="27" t="s">
        <v>5299</v>
      </c>
      <c r="H2113" s="65" t="str">
        <f t="shared" si="96"/>
        <v>No Change</v>
      </c>
      <c r="I2113" s="65" t="str">
        <f t="shared" si="97"/>
        <v>513813</v>
      </c>
      <c r="J2113" s="65" t="str">
        <f t="shared" si="98"/>
        <v>513813</v>
      </c>
    </row>
    <row r="2114" spans="1:10" x14ac:dyDescent="0.3">
      <c r="A2114" s="27" t="s">
        <v>5300</v>
      </c>
      <c r="B2114" s="27" t="str">
        <f>"51.3814"</f>
        <v>51.3814</v>
      </c>
      <c r="C2114" s="64" t="s">
        <v>5301</v>
      </c>
      <c r="D2114" s="27" t="s">
        <v>2229</v>
      </c>
      <c r="E2114" s="27" t="s">
        <v>2232</v>
      </c>
      <c r="F2114" s="27" t="str">
        <f>"51.3814"</f>
        <v>51.3814</v>
      </c>
      <c r="G2114" s="27" t="s">
        <v>5301</v>
      </c>
      <c r="H2114" s="65" t="str">
        <f t="shared" si="96"/>
        <v>No Change</v>
      </c>
      <c r="I2114" s="65" t="str">
        <f t="shared" si="97"/>
        <v>513814</v>
      </c>
      <c r="J2114" s="65" t="str">
        <f t="shared" si="98"/>
        <v>513814</v>
      </c>
    </row>
    <row r="2115" spans="1:10" x14ac:dyDescent="0.3">
      <c r="A2115" s="27" t="s">
        <v>5302</v>
      </c>
      <c r="B2115" s="27" t="str">
        <f>"51.3815"</f>
        <v>51.3815</v>
      </c>
      <c r="C2115" s="64" t="s">
        <v>5303</v>
      </c>
      <c r="D2115" s="27" t="s">
        <v>2229</v>
      </c>
      <c r="E2115" s="27" t="s">
        <v>2232</v>
      </c>
      <c r="F2115" s="27" t="str">
        <f>"51.3815"</f>
        <v>51.3815</v>
      </c>
      <c r="G2115" s="27" t="s">
        <v>5303</v>
      </c>
      <c r="H2115" s="65" t="str">
        <f t="shared" ref="H2115:H2178" si="99">IF(I2115=J2115,"No Change","Other")</f>
        <v>No Change</v>
      </c>
      <c r="I2115" s="65" t="str">
        <f t="shared" ref="I2115:I2178" si="100">SUBSTITUTE(IF(SUM(LEN(B2115))&lt;7,"",B2115),".","")</f>
        <v>513815</v>
      </c>
      <c r="J2115" s="65" t="str">
        <f t="shared" ref="J2115:J2178" si="101">SUBSTITUTE(IF(SUM(LEN(F2115))&lt;7,"",F2115),".","")</f>
        <v>513815</v>
      </c>
    </row>
    <row r="2116" spans="1:10" x14ac:dyDescent="0.3">
      <c r="A2116" s="27" t="s">
        <v>5304</v>
      </c>
      <c r="B2116" s="27" t="str">
        <f>"51.3816"</f>
        <v>51.3816</v>
      </c>
      <c r="C2116" s="64" t="s">
        <v>5305</v>
      </c>
      <c r="D2116" s="27" t="s">
        <v>2229</v>
      </c>
      <c r="E2116" s="27" t="s">
        <v>2232</v>
      </c>
      <c r="F2116" s="27" t="str">
        <f>"51.3816"</f>
        <v>51.3816</v>
      </c>
      <c r="G2116" s="27" t="s">
        <v>5305</v>
      </c>
      <c r="H2116" s="65" t="str">
        <f t="shared" si="99"/>
        <v>No Change</v>
      </c>
      <c r="I2116" s="65" t="str">
        <f t="shared" si="100"/>
        <v>513816</v>
      </c>
      <c r="J2116" s="65" t="str">
        <f t="shared" si="101"/>
        <v>513816</v>
      </c>
    </row>
    <row r="2117" spans="1:10" x14ac:dyDescent="0.3">
      <c r="A2117" s="27" t="s">
        <v>5306</v>
      </c>
      <c r="B2117" s="27" t="str">
        <f>"51.3817"</f>
        <v>51.3817</v>
      </c>
      <c r="C2117" s="64" t="s">
        <v>5307</v>
      </c>
      <c r="D2117" s="27" t="s">
        <v>2274</v>
      </c>
      <c r="E2117" s="27" t="s">
        <v>2232</v>
      </c>
      <c r="F2117" s="27" t="str">
        <f>"51.3203"</f>
        <v>51.3203</v>
      </c>
      <c r="G2117" s="27" t="s">
        <v>5307</v>
      </c>
      <c r="H2117" s="65" t="str">
        <f t="shared" si="99"/>
        <v>Other</v>
      </c>
      <c r="I2117" s="65" t="str">
        <f t="shared" si="100"/>
        <v>513817</v>
      </c>
      <c r="J2117" s="65" t="str">
        <f t="shared" si="101"/>
        <v>513203</v>
      </c>
    </row>
    <row r="2118" spans="1:10" x14ac:dyDescent="0.3">
      <c r="A2118" s="27" t="s">
        <v>5308</v>
      </c>
      <c r="B2118" s="27" t="str">
        <f>"51.3818"</f>
        <v>51.3818</v>
      </c>
      <c r="C2118" s="64" t="s">
        <v>5309</v>
      </c>
      <c r="D2118" s="27" t="s">
        <v>2229</v>
      </c>
      <c r="E2118" s="27" t="s">
        <v>2232</v>
      </c>
      <c r="F2118" s="27" t="str">
        <f>"51.3818"</f>
        <v>51.3818</v>
      </c>
      <c r="G2118" s="27" t="s">
        <v>5309</v>
      </c>
      <c r="H2118" s="65" t="str">
        <f t="shared" si="99"/>
        <v>No Change</v>
      </c>
      <c r="I2118" s="65" t="str">
        <f t="shared" si="100"/>
        <v>513818</v>
      </c>
      <c r="J2118" s="65" t="str">
        <f t="shared" si="101"/>
        <v>513818</v>
      </c>
    </row>
    <row r="2119" spans="1:10" x14ac:dyDescent="0.3">
      <c r="A2119" s="27" t="s">
        <v>5310</v>
      </c>
      <c r="B2119" s="27" t="str">
        <f>"51.3819"</f>
        <v>51.3819</v>
      </c>
      <c r="C2119" s="64" t="s">
        <v>5311</v>
      </c>
      <c r="D2119" s="27" t="s">
        <v>2229</v>
      </c>
      <c r="E2119" s="27" t="s">
        <v>2232</v>
      </c>
      <c r="F2119" s="27" t="str">
        <f>"51.3819"</f>
        <v>51.3819</v>
      </c>
      <c r="G2119" s="27" t="s">
        <v>5311</v>
      </c>
      <c r="H2119" s="65" t="str">
        <f t="shared" si="99"/>
        <v>No Change</v>
      </c>
      <c r="I2119" s="65" t="str">
        <f t="shared" si="100"/>
        <v>513819</v>
      </c>
      <c r="J2119" s="65" t="str">
        <f t="shared" si="101"/>
        <v>513819</v>
      </c>
    </row>
    <row r="2120" spans="1:10" x14ac:dyDescent="0.3">
      <c r="A2120" s="27" t="s">
        <v>5312</v>
      </c>
      <c r="B2120" s="27" t="str">
        <f>"51.3820"</f>
        <v>51.3820</v>
      </c>
      <c r="C2120" s="64" t="s">
        <v>5313</v>
      </c>
      <c r="D2120" s="27" t="s">
        <v>2229</v>
      </c>
      <c r="E2120" s="27" t="s">
        <v>2232</v>
      </c>
      <c r="F2120" s="27" t="str">
        <f>"51.3820"</f>
        <v>51.3820</v>
      </c>
      <c r="G2120" s="27" t="s">
        <v>5313</v>
      </c>
      <c r="H2120" s="65" t="str">
        <f t="shared" si="99"/>
        <v>No Change</v>
      </c>
      <c r="I2120" s="65" t="str">
        <f t="shared" si="100"/>
        <v>513820</v>
      </c>
      <c r="J2120" s="65" t="str">
        <f t="shared" si="101"/>
        <v>513820</v>
      </c>
    </row>
    <row r="2121" spans="1:10" x14ac:dyDescent="0.3">
      <c r="A2121" s="27" t="s">
        <v>5314</v>
      </c>
      <c r="B2121" s="27" t="str">
        <f>"51.3821"</f>
        <v>51.3821</v>
      </c>
      <c r="C2121" s="64" t="s">
        <v>5315</v>
      </c>
      <c r="D2121" s="27" t="s">
        <v>2229</v>
      </c>
      <c r="E2121" s="27" t="s">
        <v>2232</v>
      </c>
      <c r="F2121" s="27" t="str">
        <f>"51.3821"</f>
        <v>51.3821</v>
      </c>
      <c r="G2121" s="27" t="s">
        <v>5315</v>
      </c>
      <c r="H2121" s="65" t="str">
        <f t="shared" si="99"/>
        <v>No Change</v>
      </c>
      <c r="I2121" s="65" t="str">
        <f t="shared" si="100"/>
        <v>513821</v>
      </c>
      <c r="J2121" s="65" t="str">
        <f t="shared" si="101"/>
        <v>513821</v>
      </c>
    </row>
    <row r="2122" spans="1:10" x14ac:dyDescent="0.3">
      <c r="A2122" s="27" t="s">
        <v>5316</v>
      </c>
      <c r="B2122" s="27" t="str">
        <f>"51.3822"</f>
        <v>51.3822</v>
      </c>
      <c r="C2122" s="64" t="s">
        <v>5317</v>
      </c>
      <c r="D2122" s="27" t="s">
        <v>2229</v>
      </c>
      <c r="E2122" s="27" t="s">
        <v>2232</v>
      </c>
      <c r="F2122" s="27" t="str">
        <f>"51.3822"</f>
        <v>51.3822</v>
      </c>
      <c r="G2122" s="27" t="s">
        <v>5317</v>
      </c>
      <c r="H2122" s="65" t="str">
        <f t="shared" si="99"/>
        <v>No Change</v>
      </c>
      <c r="I2122" s="65" t="str">
        <f t="shared" si="100"/>
        <v>513822</v>
      </c>
      <c r="J2122" s="65" t="str">
        <f t="shared" si="101"/>
        <v>513822</v>
      </c>
    </row>
    <row r="2123" spans="1:10" x14ac:dyDescent="0.3">
      <c r="A2123" s="27" t="s">
        <v>1869</v>
      </c>
      <c r="D2123" s="27" t="s">
        <v>2255</v>
      </c>
      <c r="E2123" s="27" t="s">
        <v>2232</v>
      </c>
      <c r="F2123" s="27" t="str">
        <f>"51.3824"</f>
        <v>51.3824</v>
      </c>
      <c r="G2123" s="27" t="s">
        <v>5318</v>
      </c>
      <c r="H2123" s="65" t="str">
        <f t="shared" si="99"/>
        <v>Other</v>
      </c>
      <c r="I2123" s="65" t="str">
        <f t="shared" si="100"/>
        <v/>
      </c>
      <c r="J2123" s="65" t="str">
        <f t="shared" si="101"/>
        <v>513824</v>
      </c>
    </row>
    <row r="2124" spans="1:10" ht="28.8" x14ac:dyDescent="0.3">
      <c r="A2124" s="27" t="s">
        <v>5319</v>
      </c>
      <c r="B2124" s="27" t="str">
        <f>"51.3899"</f>
        <v>51.3899</v>
      </c>
      <c r="C2124" s="64" t="s">
        <v>5320</v>
      </c>
      <c r="D2124" s="27" t="s">
        <v>2229</v>
      </c>
      <c r="E2124" s="27" t="s">
        <v>2232</v>
      </c>
      <c r="F2124" s="27" t="str">
        <f>"51.3899"</f>
        <v>51.3899</v>
      </c>
      <c r="G2124" s="27" t="s">
        <v>5320</v>
      </c>
      <c r="H2124" s="65" t="str">
        <f t="shared" si="99"/>
        <v>No Change</v>
      </c>
      <c r="I2124" s="65" t="str">
        <f t="shared" si="100"/>
        <v>513899</v>
      </c>
      <c r="J2124" s="65" t="str">
        <f t="shared" si="101"/>
        <v>513899</v>
      </c>
    </row>
    <row r="2125" spans="1:10" x14ac:dyDescent="0.3">
      <c r="A2125" s="27" t="s">
        <v>1869</v>
      </c>
      <c r="B2125" s="27" t="str">
        <f>"51.39"</f>
        <v>51.39</v>
      </c>
      <c r="C2125" s="64" t="s">
        <v>5321</v>
      </c>
      <c r="D2125" s="27" t="s">
        <v>2229</v>
      </c>
      <c r="E2125" s="27" t="s">
        <v>2232</v>
      </c>
      <c r="F2125" s="27" t="str">
        <f>"51.39"</f>
        <v>51.39</v>
      </c>
      <c r="G2125" s="27" t="s">
        <v>5321</v>
      </c>
      <c r="H2125" s="65" t="str">
        <f t="shared" si="99"/>
        <v>No Change</v>
      </c>
      <c r="I2125" s="65" t="str">
        <f t="shared" si="100"/>
        <v/>
      </c>
      <c r="J2125" s="65" t="str">
        <f t="shared" si="101"/>
        <v/>
      </c>
    </row>
    <row r="2126" spans="1:10" x14ac:dyDescent="0.3">
      <c r="A2126" s="27" t="s">
        <v>414</v>
      </c>
      <c r="B2126" s="27" t="str">
        <f>"51.3901"</f>
        <v>51.3901</v>
      </c>
      <c r="C2126" s="64" t="s">
        <v>415</v>
      </c>
      <c r="D2126" s="27" t="s">
        <v>2229</v>
      </c>
      <c r="E2126" s="27" t="s">
        <v>2232</v>
      </c>
      <c r="F2126" s="27" t="str">
        <f>"51.3901"</f>
        <v>51.3901</v>
      </c>
      <c r="G2126" s="27" t="s">
        <v>415</v>
      </c>
      <c r="H2126" s="65" t="str">
        <f t="shared" si="99"/>
        <v>No Change</v>
      </c>
      <c r="I2126" s="65" t="str">
        <f t="shared" si="100"/>
        <v>513901</v>
      </c>
      <c r="J2126" s="65" t="str">
        <f t="shared" si="101"/>
        <v>513901</v>
      </c>
    </row>
    <row r="2127" spans="1:10" x14ac:dyDescent="0.3">
      <c r="A2127" s="27" t="s">
        <v>26</v>
      </c>
      <c r="B2127" s="27" t="str">
        <f>"51.3902"</f>
        <v>51.3902</v>
      </c>
      <c r="C2127" s="64" t="s">
        <v>27</v>
      </c>
      <c r="D2127" s="27" t="s">
        <v>2229</v>
      </c>
      <c r="E2127" s="27" t="s">
        <v>2232</v>
      </c>
      <c r="F2127" s="27" t="str">
        <f>"51.3902"</f>
        <v>51.3902</v>
      </c>
      <c r="G2127" s="27" t="s">
        <v>27</v>
      </c>
      <c r="H2127" s="65" t="str">
        <f t="shared" si="99"/>
        <v>No Change</v>
      </c>
      <c r="I2127" s="65" t="str">
        <f t="shared" si="100"/>
        <v>513902</v>
      </c>
      <c r="J2127" s="65" t="str">
        <f t="shared" si="101"/>
        <v>513902</v>
      </c>
    </row>
    <row r="2128" spans="1:10" ht="28.8" x14ac:dyDescent="0.3">
      <c r="A2128" s="27" t="s">
        <v>5322</v>
      </c>
      <c r="B2128" s="27" t="str">
        <f>"51.3999"</f>
        <v>51.3999</v>
      </c>
      <c r="C2128" s="64" t="s">
        <v>5323</v>
      </c>
      <c r="D2128" s="27" t="s">
        <v>2229</v>
      </c>
      <c r="E2128" s="27" t="s">
        <v>2232</v>
      </c>
      <c r="F2128" s="27" t="str">
        <f>"51.3999"</f>
        <v>51.3999</v>
      </c>
      <c r="G2128" s="27" t="s">
        <v>5323</v>
      </c>
      <c r="H2128" s="65" t="str">
        <f t="shared" si="99"/>
        <v>No Change</v>
      </c>
      <c r="I2128" s="65" t="str">
        <f t="shared" si="100"/>
        <v>513999</v>
      </c>
      <c r="J2128" s="65" t="str">
        <f t="shared" si="101"/>
        <v>513999</v>
      </c>
    </row>
    <row r="2129" spans="1:10" x14ac:dyDescent="0.3">
      <c r="A2129" s="27" t="s">
        <v>1869</v>
      </c>
      <c r="B2129" s="27" t="str">
        <f>"51.99"</f>
        <v>51.99</v>
      </c>
      <c r="C2129" s="64" t="s">
        <v>5324</v>
      </c>
      <c r="D2129" s="27" t="s">
        <v>2229</v>
      </c>
      <c r="E2129" s="27" t="s">
        <v>2232</v>
      </c>
      <c r="F2129" s="27" t="str">
        <f>"51.99"</f>
        <v>51.99</v>
      </c>
      <c r="G2129" s="27" t="s">
        <v>5324</v>
      </c>
      <c r="H2129" s="65" t="str">
        <f t="shared" si="99"/>
        <v>No Change</v>
      </c>
      <c r="I2129" s="65" t="str">
        <f t="shared" si="100"/>
        <v/>
      </c>
      <c r="J2129" s="65" t="str">
        <f t="shared" si="101"/>
        <v/>
      </c>
    </row>
    <row r="2130" spans="1:10" x14ac:dyDescent="0.3">
      <c r="A2130" s="27" t="s">
        <v>5325</v>
      </c>
      <c r="B2130" s="27" t="str">
        <f>"51.9999"</f>
        <v>51.9999</v>
      </c>
      <c r="C2130" s="64" t="s">
        <v>5324</v>
      </c>
      <c r="D2130" s="27" t="s">
        <v>2229</v>
      </c>
      <c r="E2130" s="27" t="s">
        <v>2232</v>
      </c>
      <c r="F2130" s="27" t="str">
        <f>"51.9999"</f>
        <v>51.9999</v>
      </c>
      <c r="G2130" s="27" t="s">
        <v>5324</v>
      </c>
      <c r="H2130" s="65" t="str">
        <f t="shared" si="99"/>
        <v>No Change</v>
      </c>
      <c r="I2130" s="65" t="str">
        <f t="shared" si="100"/>
        <v>519999</v>
      </c>
      <c r="J2130" s="65" t="str">
        <f t="shared" si="101"/>
        <v>519999</v>
      </c>
    </row>
    <row r="2131" spans="1:10" ht="28.8" x14ac:dyDescent="0.3">
      <c r="A2131" s="27" t="s">
        <v>1869</v>
      </c>
      <c r="B2131" s="27" t="str">
        <f>"52"</f>
        <v>52</v>
      </c>
      <c r="C2131" s="64" t="s">
        <v>5326</v>
      </c>
      <c r="D2131" s="27" t="s">
        <v>2229</v>
      </c>
      <c r="E2131" s="27" t="s">
        <v>2232</v>
      </c>
      <c r="F2131" s="27" t="str">
        <f>"52"</f>
        <v>52</v>
      </c>
      <c r="G2131" s="27" t="s">
        <v>5326</v>
      </c>
      <c r="H2131" s="65" t="str">
        <f t="shared" si="99"/>
        <v>No Change</v>
      </c>
      <c r="I2131" s="65" t="str">
        <f t="shared" si="100"/>
        <v/>
      </c>
      <c r="J2131" s="65" t="str">
        <f t="shared" si="101"/>
        <v/>
      </c>
    </row>
    <row r="2132" spans="1:10" x14ac:dyDescent="0.3">
      <c r="A2132" s="27" t="s">
        <v>1869</v>
      </c>
      <c r="B2132" s="27" t="str">
        <f>"52.01"</f>
        <v>52.01</v>
      </c>
      <c r="C2132" s="64" t="s">
        <v>5327</v>
      </c>
      <c r="D2132" s="27" t="s">
        <v>2229</v>
      </c>
      <c r="E2132" s="27" t="s">
        <v>2232</v>
      </c>
      <c r="F2132" s="27" t="str">
        <f>"52.01"</f>
        <v>52.01</v>
      </c>
      <c r="G2132" s="27" t="s">
        <v>5327</v>
      </c>
      <c r="H2132" s="65" t="str">
        <f t="shared" si="99"/>
        <v>No Change</v>
      </c>
      <c r="I2132" s="65" t="str">
        <f t="shared" si="100"/>
        <v/>
      </c>
      <c r="J2132" s="65" t="str">
        <f t="shared" si="101"/>
        <v/>
      </c>
    </row>
    <row r="2133" spans="1:10" x14ac:dyDescent="0.3">
      <c r="A2133" s="27" t="s">
        <v>5328</v>
      </c>
      <c r="B2133" s="27" t="str">
        <f>"52.0101"</f>
        <v>52.0101</v>
      </c>
      <c r="C2133" s="64" t="s">
        <v>5327</v>
      </c>
      <c r="D2133" s="27" t="s">
        <v>2229</v>
      </c>
      <c r="E2133" s="27" t="s">
        <v>2232</v>
      </c>
      <c r="F2133" s="27" t="str">
        <f>"52.0101"</f>
        <v>52.0101</v>
      </c>
      <c r="G2133" s="27" t="s">
        <v>5327</v>
      </c>
      <c r="H2133" s="65" t="str">
        <f t="shared" si="99"/>
        <v>No Change</v>
      </c>
      <c r="I2133" s="65" t="str">
        <f t="shared" si="100"/>
        <v>520101</v>
      </c>
      <c r="J2133" s="65" t="str">
        <f t="shared" si="101"/>
        <v>520101</v>
      </c>
    </row>
    <row r="2134" spans="1:10" x14ac:dyDescent="0.3">
      <c r="A2134" s="27" t="s">
        <v>1869</v>
      </c>
      <c r="B2134" s="27" t="str">
        <f>"52.02"</f>
        <v>52.02</v>
      </c>
      <c r="C2134" s="64" t="s">
        <v>5329</v>
      </c>
      <c r="D2134" s="27" t="s">
        <v>2229</v>
      </c>
      <c r="E2134" s="27" t="s">
        <v>2232</v>
      </c>
      <c r="F2134" s="27" t="str">
        <f>"52.02"</f>
        <v>52.02</v>
      </c>
      <c r="G2134" s="27" t="s">
        <v>5329</v>
      </c>
      <c r="H2134" s="65" t="str">
        <f t="shared" si="99"/>
        <v>No Change</v>
      </c>
      <c r="I2134" s="65" t="str">
        <f t="shared" si="100"/>
        <v/>
      </c>
      <c r="J2134" s="65" t="str">
        <f t="shared" si="101"/>
        <v/>
      </c>
    </row>
    <row r="2135" spans="1:10" x14ac:dyDescent="0.3">
      <c r="A2135" s="27" t="s">
        <v>108</v>
      </c>
      <c r="B2135" s="27" t="str">
        <f>"52.0201"</f>
        <v>52.0201</v>
      </c>
      <c r="C2135" s="64" t="s">
        <v>109</v>
      </c>
      <c r="D2135" s="27" t="s">
        <v>2229</v>
      </c>
      <c r="E2135" s="27" t="s">
        <v>2232</v>
      </c>
      <c r="F2135" s="27" t="str">
        <f>"52.0201"</f>
        <v>52.0201</v>
      </c>
      <c r="G2135" s="27" t="s">
        <v>109</v>
      </c>
      <c r="H2135" s="65" t="str">
        <f t="shared" si="99"/>
        <v>No Change</v>
      </c>
      <c r="I2135" s="65" t="str">
        <f t="shared" si="100"/>
        <v>520201</v>
      </c>
      <c r="J2135" s="65" t="str">
        <f t="shared" si="101"/>
        <v>520201</v>
      </c>
    </row>
    <row r="2136" spans="1:10" ht="28.8" x14ac:dyDescent="0.3">
      <c r="A2136" s="27" t="s">
        <v>5330</v>
      </c>
      <c r="B2136" s="27" t="str">
        <f>"52.0202"</f>
        <v>52.0202</v>
      </c>
      <c r="C2136" s="64" t="s">
        <v>5331</v>
      </c>
      <c r="D2136" s="27" t="s">
        <v>2229</v>
      </c>
      <c r="E2136" s="27" t="s">
        <v>2232</v>
      </c>
      <c r="F2136" s="27" t="str">
        <f>"52.0202"</f>
        <v>52.0202</v>
      </c>
      <c r="G2136" s="27" t="s">
        <v>5331</v>
      </c>
      <c r="H2136" s="65" t="str">
        <f t="shared" si="99"/>
        <v>No Change</v>
      </c>
      <c r="I2136" s="65" t="str">
        <f t="shared" si="100"/>
        <v>520202</v>
      </c>
      <c r="J2136" s="65" t="str">
        <f t="shared" si="101"/>
        <v>520202</v>
      </c>
    </row>
    <row r="2137" spans="1:10" x14ac:dyDescent="0.3">
      <c r="A2137" s="27" t="s">
        <v>309</v>
      </c>
      <c r="B2137" s="27" t="str">
        <f>"52.0203"</f>
        <v>52.0203</v>
      </c>
      <c r="C2137" s="64" t="s">
        <v>310</v>
      </c>
      <c r="D2137" s="27" t="s">
        <v>2229</v>
      </c>
      <c r="E2137" s="27" t="s">
        <v>2232</v>
      </c>
      <c r="F2137" s="27" t="str">
        <f>"52.0203"</f>
        <v>52.0203</v>
      </c>
      <c r="G2137" s="27" t="s">
        <v>310</v>
      </c>
      <c r="H2137" s="65" t="str">
        <f t="shared" si="99"/>
        <v>No Change</v>
      </c>
      <c r="I2137" s="65" t="str">
        <f t="shared" si="100"/>
        <v>520203</v>
      </c>
      <c r="J2137" s="65" t="str">
        <f t="shared" si="101"/>
        <v>520203</v>
      </c>
    </row>
    <row r="2138" spans="1:10" x14ac:dyDescent="0.3">
      <c r="A2138" s="27" t="s">
        <v>38</v>
      </c>
      <c r="B2138" s="27" t="str">
        <f>"52.0204"</f>
        <v>52.0204</v>
      </c>
      <c r="C2138" s="64" t="s">
        <v>39</v>
      </c>
      <c r="D2138" s="27" t="s">
        <v>2229</v>
      </c>
      <c r="E2138" s="27" t="s">
        <v>2232</v>
      </c>
      <c r="F2138" s="27" t="str">
        <f>"52.0204"</f>
        <v>52.0204</v>
      </c>
      <c r="G2138" s="27" t="s">
        <v>39</v>
      </c>
      <c r="H2138" s="65" t="str">
        <f t="shared" si="99"/>
        <v>No Change</v>
      </c>
      <c r="I2138" s="65" t="str">
        <f t="shared" si="100"/>
        <v>520204</v>
      </c>
      <c r="J2138" s="65" t="str">
        <f t="shared" si="101"/>
        <v>520204</v>
      </c>
    </row>
    <row r="2139" spans="1:10" x14ac:dyDescent="0.3">
      <c r="A2139" s="27" t="s">
        <v>368</v>
      </c>
      <c r="B2139" s="27" t="str">
        <f>"52.0205"</f>
        <v>52.0205</v>
      </c>
      <c r="C2139" s="64" t="s">
        <v>369</v>
      </c>
      <c r="D2139" s="27" t="s">
        <v>2229</v>
      </c>
      <c r="E2139" s="27" t="s">
        <v>2232</v>
      </c>
      <c r="F2139" s="27" t="str">
        <f>"52.0205"</f>
        <v>52.0205</v>
      </c>
      <c r="G2139" s="27" t="s">
        <v>369</v>
      </c>
      <c r="H2139" s="65" t="str">
        <f t="shared" si="99"/>
        <v>No Change</v>
      </c>
      <c r="I2139" s="65" t="str">
        <f t="shared" si="100"/>
        <v>520205</v>
      </c>
      <c r="J2139" s="65" t="str">
        <f t="shared" si="101"/>
        <v>520205</v>
      </c>
    </row>
    <row r="2140" spans="1:10" x14ac:dyDescent="0.3">
      <c r="A2140" s="27" t="s">
        <v>5332</v>
      </c>
      <c r="B2140" s="27" t="str">
        <f>"52.0206"</f>
        <v>52.0206</v>
      </c>
      <c r="C2140" s="64" t="s">
        <v>5333</v>
      </c>
      <c r="D2140" s="27" t="s">
        <v>2229</v>
      </c>
      <c r="E2140" s="27" t="s">
        <v>2232</v>
      </c>
      <c r="F2140" s="27" t="str">
        <f>"52.0206"</f>
        <v>52.0206</v>
      </c>
      <c r="G2140" s="27" t="s">
        <v>5333</v>
      </c>
      <c r="H2140" s="65" t="str">
        <f t="shared" si="99"/>
        <v>No Change</v>
      </c>
      <c r="I2140" s="65" t="str">
        <f t="shared" si="100"/>
        <v>520206</v>
      </c>
      <c r="J2140" s="65" t="str">
        <f t="shared" si="101"/>
        <v>520206</v>
      </c>
    </row>
    <row r="2141" spans="1:10" x14ac:dyDescent="0.3">
      <c r="A2141" s="27" t="s">
        <v>1852</v>
      </c>
      <c r="B2141" s="27" t="str">
        <f>"52.0207"</f>
        <v>52.0207</v>
      </c>
      <c r="C2141" s="64" t="s">
        <v>5334</v>
      </c>
      <c r="D2141" s="27" t="s">
        <v>2229</v>
      </c>
      <c r="E2141" s="27" t="s">
        <v>2232</v>
      </c>
      <c r="F2141" s="27" t="str">
        <f>"52.0207"</f>
        <v>52.0207</v>
      </c>
      <c r="G2141" s="27" t="s">
        <v>5334</v>
      </c>
      <c r="H2141" s="65" t="str">
        <f t="shared" si="99"/>
        <v>No Change</v>
      </c>
      <c r="I2141" s="65" t="str">
        <f t="shared" si="100"/>
        <v>520207</v>
      </c>
      <c r="J2141" s="65" t="str">
        <f t="shared" si="101"/>
        <v>520207</v>
      </c>
    </row>
    <row r="2142" spans="1:10" x14ac:dyDescent="0.3">
      <c r="A2142" s="27" t="s">
        <v>5335</v>
      </c>
      <c r="B2142" s="27" t="str">
        <f>"52.0208"</f>
        <v>52.0208</v>
      </c>
      <c r="C2142" s="64" t="s">
        <v>5336</v>
      </c>
      <c r="D2142" s="27" t="s">
        <v>2229</v>
      </c>
      <c r="E2142" s="27" t="s">
        <v>2232</v>
      </c>
      <c r="F2142" s="27" t="str">
        <f>"52.0208"</f>
        <v>52.0208</v>
      </c>
      <c r="G2142" s="27" t="s">
        <v>5336</v>
      </c>
      <c r="H2142" s="65" t="str">
        <f t="shared" si="99"/>
        <v>No Change</v>
      </c>
      <c r="I2142" s="65" t="str">
        <f t="shared" si="100"/>
        <v>520208</v>
      </c>
      <c r="J2142" s="65" t="str">
        <f t="shared" si="101"/>
        <v>520208</v>
      </c>
    </row>
    <row r="2143" spans="1:10" x14ac:dyDescent="0.3">
      <c r="A2143" s="27" t="s">
        <v>66</v>
      </c>
      <c r="B2143" s="27" t="str">
        <f>"52.0209"</f>
        <v>52.0209</v>
      </c>
      <c r="C2143" s="64" t="s">
        <v>67</v>
      </c>
      <c r="D2143" s="27" t="s">
        <v>2229</v>
      </c>
      <c r="E2143" s="27" t="s">
        <v>2230</v>
      </c>
      <c r="F2143" s="27" t="str">
        <f>"52.0209"</f>
        <v>52.0209</v>
      </c>
      <c r="G2143" s="27" t="s">
        <v>67</v>
      </c>
      <c r="H2143" s="65" t="str">
        <f t="shared" si="99"/>
        <v>No Change</v>
      </c>
      <c r="I2143" s="65" t="str">
        <f t="shared" si="100"/>
        <v>520209</v>
      </c>
      <c r="J2143" s="65" t="str">
        <f t="shared" si="101"/>
        <v>520209</v>
      </c>
    </row>
    <row r="2144" spans="1:10" x14ac:dyDescent="0.3">
      <c r="A2144" s="27" t="s">
        <v>5337</v>
      </c>
      <c r="B2144" s="27" t="str">
        <f>"52.0210"</f>
        <v>52.0210</v>
      </c>
      <c r="C2144" s="64" t="s">
        <v>5338</v>
      </c>
      <c r="D2144" s="27" t="s">
        <v>2229</v>
      </c>
      <c r="E2144" s="27" t="s">
        <v>2232</v>
      </c>
      <c r="F2144" s="27" t="str">
        <f>"52.0210"</f>
        <v>52.0210</v>
      </c>
      <c r="G2144" s="27" t="s">
        <v>5338</v>
      </c>
      <c r="H2144" s="65" t="str">
        <f t="shared" si="99"/>
        <v>No Change</v>
      </c>
      <c r="I2144" s="65" t="str">
        <f t="shared" si="100"/>
        <v>520210</v>
      </c>
      <c r="J2144" s="65" t="str">
        <f t="shared" si="101"/>
        <v>520210</v>
      </c>
    </row>
    <row r="2145" spans="1:10" x14ac:dyDescent="0.3">
      <c r="A2145" s="27" t="s">
        <v>5339</v>
      </c>
      <c r="B2145" s="27" t="str">
        <f>"52.0211"</f>
        <v>52.0211</v>
      </c>
      <c r="C2145" s="64" t="s">
        <v>5340</v>
      </c>
      <c r="D2145" s="27" t="s">
        <v>2229</v>
      </c>
      <c r="E2145" s="27" t="s">
        <v>2232</v>
      </c>
      <c r="F2145" s="27" t="str">
        <f>"52.0211"</f>
        <v>52.0211</v>
      </c>
      <c r="G2145" s="27" t="s">
        <v>5340</v>
      </c>
      <c r="H2145" s="65" t="str">
        <f t="shared" si="99"/>
        <v>No Change</v>
      </c>
      <c r="I2145" s="65" t="str">
        <f t="shared" si="100"/>
        <v>520211</v>
      </c>
      <c r="J2145" s="65" t="str">
        <f t="shared" si="101"/>
        <v>520211</v>
      </c>
    </row>
    <row r="2146" spans="1:10" x14ac:dyDescent="0.3">
      <c r="A2146" s="27" t="s">
        <v>1847</v>
      </c>
      <c r="B2146" s="27" t="str">
        <f>"52.0212"</f>
        <v>52.0212</v>
      </c>
      <c r="C2146" s="64" t="s">
        <v>5341</v>
      </c>
      <c r="D2146" s="27" t="s">
        <v>2229</v>
      </c>
      <c r="E2146" s="27" t="s">
        <v>2232</v>
      </c>
      <c r="F2146" s="27" t="str">
        <f>"52.0212"</f>
        <v>52.0212</v>
      </c>
      <c r="G2146" s="27" t="s">
        <v>5341</v>
      </c>
      <c r="H2146" s="65" t="str">
        <f t="shared" si="99"/>
        <v>No Change</v>
      </c>
      <c r="I2146" s="65" t="str">
        <f t="shared" si="100"/>
        <v>520212</v>
      </c>
      <c r="J2146" s="65" t="str">
        <f t="shared" si="101"/>
        <v>520212</v>
      </c>
    </row>
    <row r="2147" spans="1:10" x14ac:dyDescent="0.3">
      <c r="A2147" s="27" t="s">
        <v>5342</v>
      </c>
      <c r="B2147" s="27" t="str">
        <f>"52.0213"</f>
        <v>52.0213</v>
      </c>
      <c r="C2147" s="64" t="s">
        <v>5343</v>
      </c>
      <c r="D2147" s="27" t="s">
        <v>2229</v>
      </c>
      <c r="E2147" s="27" t="s">
        <v>2232</v>
      </c>
      <c r="F2147" s="27" t="str">
        <f>"52.0213"</f>
        <v>52.0213</v>
      </c>
      <c r="G2147" s="27" t="s">
        <v>5343</v>
      </c>
      <c r="H2147" s="65" t="str">
        <f t="shared" si="99"/>
        <v>No Change</v>
      </c>
      <c r="I2147" s="65" t="str">
        <f t="shared" si="100"/>
        <v>520213</v>
      </c>
      <c r="J2147" s="65" t="str">
        <f t="shared" si="101"/>
        <v>520213</v>
      </c>
    </row>
    <row r="2148" spans="1:10" x14ac:dyDescent="0.3">
      <c r="A2148" s="27" t="s">
        <v>1869</v>
      </c>
      <c r="D2148" s="27" t="s">
        <v>2255</v>
      </c>
      <c r="E2148" s="27" t="s">
        <v>2232</v>
      </c>
      <c r="F2148" s="27" t="str">
        <f>"52.0214"</f>
        <v>52.0214</v>
      </c>
      <c r="G2148" s="27" t="s">
        <v>5344</v>
      </c>
      <c r="H2148" s="65" t="str">
        <f t="shared" si="99"/>
        <v>Other</v>
      </c>
      <c r="I2148" s="65" t="str">
        <f t="shared" si="100"/>
        <v/>
      </c>
      <c r="J2148" s="65" t="str">
        <f t="shared" si="101"/>
        <v>520214</v>
      </c>
    </row>
    <row r="2149" spans="1:10" x14ac:dyDescent="0.3">
      <c r="A2149" s="27" t="s">
        <v>1869</v>
      </c>
      <c r="D2149" s="27" t="s">
        <v>2255</v>
      </c>
      <c r="E2149" s="27" t="s">
        <v>2232</v>
      </c>
      <c r="F2149" s="27" t="str">
        <f>"52.0215"</f>
        <v>52.0215</v>
      </c>
      <c r="G2149" s="27" t="s">
        <v>5345</v>
      </c>
      <c r="H2149" s="65" t="str">
        <f t="shared" si="99"/>
        <v>Other</v>
      </c>
      <c r="I2149" s="65" t="str">
        <f t="shared" si="100"/>
        <v/>
      </c>
      <c r="J2149" s="65" t="str">
        <f t="shared" si="101"/>
        <v>520215</v>
      </c>
    </row>
    <row r="2150" spans="1:10" x14ac:dyDescent="0.3">
      <c r="A2150" s="27" t="s">
        <v>1869</v>
      </c>
      <c r="D2150" s="27" t="s">
        <v>2255</v>
      </c>
      <c r="E2150" s="27" t="s">
        <v>2232</v>
      </c>
      <c r="F2150" s="27" t="str">
        <f>"52.0216"</f>
        <v>52.0216</v>
      </c>
      <c r="G2150" s="27" t="s">
        <v>5346</v>
      </c>
      <c r="H2150" s="65" t="str">
        <f t="shared" si="99"/>
        <v>Other</v>
      </c>
      <c r="I2150" s="65" t="str">
        <f t="shared" si="100"/>
        <v/>
      </c>
      <c r="J2150" s="65" t="str">
        <f t="shared" si="101"/>
        <v>520216</v>
      </c>
    </row>
    <row r="2151" spans="1:10" x14ac:dyDescent="0.3">
      <c r="A2151" s="27" t="s">
        <v>5347</v>
      </c>
      <c r="B2151" s="27" t="str">
        <f>"52.0299"</f>
        <v>52.0299</v>
      </c>
      <c r="C2151" s="64" t="s">
        <v>5348</v>
      </c>
      <c r="D2151" s="27" t="s">
        <v>2229</v>
      </c>
      <c r="E2151" s="27" t="s">
        <v>2232</v>
      </c>
      <c r="F2151" s="27" t="str">
        <f>"52.0299"</f>
        <v>52.0299</v>
      </c>
      <c r="G2151" s="27" t="s">
        <v>5348</v>
      </c>
      <c r="H2151" s="65" t="str">
        <f t="shared" si="99"/>
        <v>No Change</v>
      </c>
      <c r="I2151" s="65" t="str">
        <f t="shared" si="100"/>
        <v>520299</v>
      </c>
      <c r="J2151" s="65" t="str">
        <f t="shared" si="101"/>
        <v>520299</v>
      </c>
    </row>
    <row r="2152" spans="1:10" x14ac:dyDescent="0.3">
      <c r="A2152" s="27" t="s">
        <v>1869</v>
      </c>
      <c r="B2152" s="27" t="str">
        <f>"52.03"</f>
        <v>52.03</v>
      </c>
      <c r="C2152" s="64" t="s">
        <v>5349</v>
      </c>
      <c r="D2152" s="27" t="s">
        <v>2229</v>
      </c>
      <c r="E2152" s="27" t="s">
        <v>2232</v>
      </c>
      <c r="F2152" s="27" t="str">
        <f>"52.03"</f>
        <v>52.03</v>
      </c>
      <c r="G2152" s="27" t="s">
        <v>5349</v>
      </c>
      <c r="H2152" s="65" t="str">
        <f t="shared" si="99"/>
        <v>No Change</v>
      </c>
      <c r="I2152" s="65" t="str">
        <f t="shared" si="100"/>
        <v/>
      </c>
      <c r="J2152" s="65" t="str">
        <f t="shared" si="101"/>
        <v/>
      </c>
    </row>
    <row r="2153" spans="1:10" x14ac:dyDescent="0.3">
      <c r="A2153" s="27" t="s">
        <v>5350</v>
      </c>
      <c r="B2153" s="27" t="str">
        <f>"52.0301"</f>
        <v>52.0301</v>
      </c>
      <c r="C2153" s="64" t="s">
        <v>5351</v>
      </c>
      <c r="D2153" s="27" t="s">
        <v>2229</v>
      </c>
      <c r="E2153" s="27" t="s">
        <v>2232</v>
      </c>
      <c r="F2153" s="27" t="str">
        <f>"52.0301"</f>
        <v>52.0301</v>
      </c>
      <c r="G2153" s="27" t="s">
        <v>5351</v>
      </c>
      <c r="H2153" s="65" t="str">
        <f t="shared" si="99"/>
        <v>No Change</v>
      </c>
      <c r="I2153" s="65" t="str">
        <f t="shared" si="100"/>
        <v>520301</v>
      </c>
      <c r="J2153" s="65" t="str">
        <f t="shared" si="101"/>
        <v>520301</v>
      </c>
    </row>
    <row r="2154" spans="1:10" x14ac:dyDescent="0.3">
      <c r="A2154" s="27" t="s">
        <v>41</v>
      </c>
      <c r="B2154" s="27" t="str">
        <f>"52.0302"</f>
        <v>52.0302</v>
      </c>
      <c r="C2154" s="64" t="s">
        <v>42</v>
      </c>
      <c r="D2154" s="27" t="s">
        <v>2229</v>
      </c>
      <c r="E2154" s="27" t="s">
        <v>2232</v>
      </c>
      <c r="F2154" s="27" t="str">
        <f>"52.0302"</f>
        <v>52.0302</v>
      </c>
      <c r="G2154" s="27" t="s">
        <v>42</v>
      </c>
      <c r="H2154" s="65" t="str">
        <f t="shared" si="99"/>
        <v>No Change</v>
      </c>
      <c r="I2154" s="65" t="str">
        <f t="shared" si="100"/>
        <v>520302</v>
      </c>
      <c r="J2154" s="65" t="str">
        <f t="shared" si="101"/>
        <v>520302</v>
      </c>
    </row>
    <row r="2155" spans="1:10" x14ac:dyDescent="0.3">
      <c r="A2155" s="27" t="s">
        <v>5352</v>
      </c>
      <c r="B2155" s="27" t="str">
        <f>"52.0303"</f>
        <v>52.0303</v>
      </c>
      <c r="C2155" s="64" t="s">
        <v>5353</v>
      </c>
      <c r="D2155" s="27" t="s">
        <v>2229</v>
      </c>
      <c r="E2155" s="27" t="s">
        <v>2232</v>
      </c>
      <c r="F2155" s="27" t="str">
        <f>"52.0303"</f>
        <v>52.0303</v>
      </c>
      <c r="G2155" s="27" t="s">
        <v>5353</v>
      </c>
      <c r="H2155" s="65" t="str">
        <f t="shared" si="99"/>
        <v>No Change</v>
      </c>
      <c r="I2155" s="65" t="str">
        <f t="shared" si="100"/>
        <v>520303</v>
      </c>
      <c r="J2155" s="65" t="str">
        <f t="shared" si="101"/>
        <v>520303</v>
      </c>
    </row>
    <row r="2156" spans="1:10" x14ac:dyDescent="0.3">
      <c r="A2156" s="27" t="s">
        <v>5354</v>
      </c>
      <c r="B2156" s="27" t="str">
        <f>"52.0304"</f>
        <v>52.0304</v>
      </c>
      <c r="C2156" s="64" t="s">
        <v>5355</v>
      </c>
      <c r="D2156" s="27" t="s">
        <v>2229</v>
      </c>
      <c r="E2156" s="27" t="s">
        <v>2232</v>
      </c>
      <c r="F2156" s="27" t="str">
        <f>"52.0304"</f>
        <v>52.0304</v>
      </c>
      <c r="G2156" s="27" t="s">
        <v>5355</v>
      </c>
      <c r="H2156" s="65" t="str">
        <f t="shared" si="99"/>
        <v>No Change</v>
      </c>
      <c r="I2156" s="65" t="str">
        <f t="shared" si="100"/>
        <v>520304</v>
      </c>
      <c r="J2156" s="65" t="str">
        <f t="shared" si="101"/>
        <v>520304</v>
      </c>
    </row>
    <row r="2157" spans="1:10" x14ac:dyDescent="0.3">
      <c r="A2157" s="27" t="s">
        <v>5356</v>
      </c>
      <c r="B2157" s="27" t="str">
        <f>"52.0305"</f>
        <v>52.0305</v>
      </c>
      <c r="C2157" s="64" t="s">
        <v>5357</v>
      </c>
      <c r="D2157" s="27" t="s">
        <v>2229</v>
      </c>
      <c r="E2157" s="27" t="s">
        <v>2232</v>
      </c>
      <c r="F2157" s="27" t="str">
        <f>"52.0305"</f>
        <v>52.0305</v>
      </c>
      <c r="G2157" s="27" t="s">
        <v>5357</v>
      </c>
      <c r="H2157" s="65" t="str">
        <f t="shared" si="99"/>
        <v>No Change</v>
      </c>
      <c r="I2157" s="65" t="str">
        <f t="shared" si="100"/>
        <v>520305</v>
      </c>
      <c r="J2157" s="65" t="str">
        <f t="shared" si="101"/>
        <v>520305</v>
      </c>
    </row>
    <row r="2158" spans="1:10" x14ac:dyDescent="0.3">
      <c r="A2158" s="27" t="s">
        <v>5358</v>
      </c>
      <c r="B2158" s="27" t="str">
        <f>"52.0399"</f>
        <v>52.0399</v>
      </c>
      <c r="C2158" s="64" t="s">
        <v>5359</v>
      </c>
      <c r="D2158" s="27" t="s">
        <v>2229</v>
      </c>
      <c r="E2158" s="27" t="s">
        <v>2232</v>
      </c>
      <c r="F2158" s="27" t="str">
        <f>"52.0399"</f>
        <v>52.0399</v>
      </c>
      <c r="G2158" s="27" t="s">
        <v>5359</v>
      </c>
      <c r="H2158" s="65" t="str">
        <f t="shared" si="99"/>
        <v>No Change</v>
      </c>
      <c r="I2158" s="65" t="str">
        <f t="shared" si="100"/>
        <v>520399</v>
      </c>
      <c r="J2158" s="65" t="str">
        <f t="shared" si="101"/>
        <v>520399</v>
      </c>
    </row>
    <row r="2159" spans="1:10" x14ac:dyDescent="0.3">
      <c r="A2159" s="27" t="s">
        <v>1869</v>
      </c>
      <c r="B2159" s="27" t="str">
        <f>"52.04"</f>
        <v>52.04</v>
      </c>
      <c r="C2159" s="64" t="s">
        <v>5360</v>
      </c>
      <c r="D2159" s="27" t="s">
        <v>2229</v>
      </c>
      <c r="E2159" s="27" t="s">
        <v>2232</v>
      </c>
      <c r="F2159" s="27" t="str">
        <f>"52.04"</f>
        <v>52.04</v>
      </c>
      <c r="G2159" s="27" t="s">
        <v>5360</v>
      </c>
      <c r="H2159" s="65" t="str">
        <f t="shared" si="99"/>
        <v>No Change</v>
      </c>
      <c r="I2159" s="65" t="str">
        <f t="shared" si="100"/>
        <v/>
      </c>
      <c r="J2159" s="65" t="str">
        <f t="shared" si="101"/>
        <v/>
      </c>
    </row>
    <row r="2160" spans="1:10" x14ac:dyDescent="0.3">
      <c r="A2160" s="27" t="s">
        <v>805</v>
      </c>
      <c r="B2160" s="27" t="str">
        <f>"52.0401"</f>
        <v>52.0401</v>
      </c>
      <c r="C2160" s="64" t="s">
        <v>806</v>
      </c>
      <c r="D2160" s="27" t="s">
        <v>2229</v>
      </c>
      <c r="E2160" s="27" t="s">
        <v>2232</v>
      </c>
      <c r="F2160" s="27" t="str">
        <f>"52.0401"</f>
        <v>52.0401</v>
      </c>
      <c r="G2160" s="27" t="s">
        <v>806</v>
      </c>
      <c r="H2160" s="65" t="str">
        <f t="shared" si="99"/>
        <v>No Change</v>
      </c>
      <c r="I2160" s="65" t="str">
        <f t="shared" si="100"/>
        <v>520401</v>
      </c>
      <c r="J2160" s="65" t="str">
        <f t="shared" si="101"/>
        <v>520401</v>
      </c>
    </row>
    <row r="2161" spans="1:10" x14ac:dyDescent="0.3">
      <c r="A2161" s="27" t="s">
        <v>5361</v>
      </c>
      <c r="B2161" s="27" t="str">
        <f>"52.0402"</f>
        <v>52.0402</v>
      </c>
      <c r="C2161" s="64" t="s">
        <v>5362</v>
      </c>
      <c r="D2161" s="27" t="s">
        <v>2229</v>
      </c>
      <c r="E2161" s="27" t="s">
        <v>2232</v>
      </c>
      <c r="F2161" s="27" t="str">
        <f>"52.0402"</f>
        <v>52.0402</v>
      </c>
      <c r="G2161" s="27" t="s">
        <v>5362</v>
      </c>
      <c r="H2161" s="65" t="str">
        <f t="shared" si="99"/>
        <v>No Change</v>
      </c>
      <c r="I2161" s="65" t="str">
        <f t="shared" si="100"/>
        <v>520402</v>
      </c>
      <c r="J2161" s="65" t="str">
        <f t="shared" si="101"/>
        <v>520402</v>
      </c>
    </row>
    <row r="2162" spans="1:10" x14ac:dyDescent="0.3">
      <c r="A2162" s="27" t="s">
        <v>5363</v>
      </c>
      <c r="B2162" s="27" t="str">
        <f>"52.0406"</f>
        <v>52.0406</v>
      </c>
      <c r="C2162" s="64" t="s">
        <v>5364</v>
      </c>
      <c r="D2162" s="27" t="s">
        <v>2229</v>
      </c>
      <c r="E2162" s="27" t="s">
        <v>2232</v>
      </c>
      <c r="F2162" s="27" t="str">
        <f>"52.0406"</f>
        <v>52.0406</v>
      </c>
      <c r="G2162" s="27" t="s">
        <v>5364</v>
      </c>
      <c r="H2162" s="65" t="str">
        <f t="shared" si="99"/>
        <v>No Change</v>
      </c>
      <c r="I2162" s="65" t="str">
        <f t="shared" si="100"/>
        <v>520406</v>
      </c>
      <c r="J2162" s="65" t="str">
        <f t="shared" si="101"/>
        <v>520406</v>
      </c>
    </row>
    <row r="2163" spans="1:10" x14ac:dyDescent="0.3">
      <c r="A2163" s="27" t="s">
        <v>230</v>
      </c>
      <c r="B2163" s="27" t="str">
        <f>"52.0407"</f>
        <v>52.0407</v>
      </c>
      <c r="C2163" s="64" t="s">
        <v>231</v>
      </c>
      <c r="D2163" s="27" t="s">
        <v>2229</v>
      </c>
      <c r="E2163" s="27" t="s">
        <v>2232</v>
      </c>
      <c r="F2163" s="27" t="str">
        <f>"52.0407"</f>
        <v>52.0407</v>
      </c>
      <c r="G2163" s="27" t="s">
        <v>231</v>
      </c>
      <c r="H2163" s="65" t="str">
        <f t="shared" si="99"/>
        <v>No Change</v>
      </c>
      <c r="I2163" s="65" t="str">
        <f t="shared" si="100"/>
        <v>520407</v>
      </c>
      <c r="J2163" s="65" t="str">
        <f t="shared" si="101"/>
        <v>520407</v>
      </c>
    </row>
    <row r="2164" spans="1:10" x14ac:dyDescent="0.3">
      <c r="A2164" s="27" t="s">
        <v>5365</v>
      </c>
      <c r="B2164" s="27" t="str">
        <f>"52.0408"</f>
        <v>52.0408</v>
      </c>
      <c r="C2164" s="64" t="s">
        <v>5366</v>
      </c>
      <c r="D2164" s="27" t="s">
        <v>2229</v>
      </c>
      <c r="E2164" s="27" t="s">
        <v>2232</v>
      </c>
      <c r="F2164" s="27" t="str">
        <f>"52.0408"</f>
        <v>52.0408</v>
      </c>
      <c r="G2164" s="27" t="s">
        <v>5366</v>
      </c>
      <c r="H2164" s="65" t="str">
        <f t="shared" si="99"/>
        <v>No Change</v>
      </c>
      <c r="I2164" s="65" t="str">
        <f t="shared" si="100"/>
        <v>520408</v>
      </c>
      <c r="J2164" s="65" t="str">
        <f t="shared" si="101"/>
        <v>520408</v>
      </c>
    </row>
    <row r="2165" spans="1:10" x14ac:dyDescent="0.3">
      <c r="A2165" s="27" t="s">
        <v>1692</v>
      </c>
      <c r="B2165" s="27" t="str">
        <f>"52.0409"</f>
        <v>52.0409</v>
      </c>
      <c r="C2165" s="64" t="s">
        <v>1693</v>
      </c>
      <c r="D2165" s="27" t="s">
        <v>2229</v>
      </c>
      <c r="E2165" s="27" t="s">
        <v>2232</v>
      </c>
      <c r="F2165" s="27" t="str">
        <f>"52.0409"</f>
        <v>52.0409</v>
      </c>
      <c r="G2165" s="27" t="s">
        <v>1693</v>
      </c>
      <c r="H2165" s="65" t="str">
        <f t="shared" si="99"/>
        <v>No Change</v>
      </c>
      <c r="I2165" s="65" t="str">
        <f t="shared" si="100"/>
        <v>520409</v>
      </c>
      <c r="J2165" s="65" t="str">
        <f t="shared" si="101"/>
        <v>520409</v>
      </c>
    </row>
    <row r="2166" spans="1:10" x14ac:dyDescent="0.3">
      <c r="A2166" s="27" t="s">
        <v>5367</v>
      </c>
      <c r="B2166" s="27" t="str">
        <f>"52.0410"</f>
        <v>52.0410</v>
      </c>
      <c r="C2166" s="64" t="s">
        <v>5368</v>
      </c>
      <c r="D2166" s="27" t="s">
        <v>2229</v>
      </c>
      <c r="E2166" s="27" t="s">
        <v>2232</v>
      </c>
      <c r="F2166" s="27" t="str">
        <f>"52.0410"</f>
        <v>52.0410</v>
      </c>
      <c r="G2166" s="27" t="s">
        <v>5368</v>
      </c>
      <c r="H2166" s="65" t="str">
        <f t="shared" si="99"/>
        <v>No Change</v>
      </c>
      <c r="I2166" s="65" t="str">
        <f t="shared" si="100"/>
        <v>520410</v>
      </c>
      <c r="J2166" s="65" t="str">
        <f t="shared" si="101"/>
        <v>520410</v>
      </c>
    </row>
    <row r="2167" spans="1:10" x14ac:dyDescent="0.3">
      <c r="A2167" s="27" t="s">
        <v>1162</v>
      </c>
      <c r="B2167" s="27" t="str">
        <f>"52.0411"</f>
        <v>52.0411</v>
      </c>
      <c r="C2167" s="64" t="s">
        <v>1163</v>
      </c>
      <c r="D2167" s="27" t="s">
        <v>2229</v>
      </c>
      <c r="E2167" s="27" t="s">
        <v>2232</v>
      </c>
      <c r="F2167" s="27" t="str">
        <f>"52.0411"</f>
        <v>52.0411</v>
      </c>
      <c r="G2167" s="27" t="s">
        <v>1163</v>
      </c>
      <c r="H2167" s="65" t="str">
        <f t="shared" si="99"/>
        <v>No Change</v>
      </c>
      <c r="I2167" s="65" t="str">
        <f t="shared" si="100"/>
        <v>520411</v>
      </c>
      <c r="J2167" s="65" t="str">
        <f t="shared" si="101"/>
        <v>520411</v>
      </c>
    </row>
    <row r="2168" spans="1:10" x14ac:dyDescent="0.3">
      <c r="A2168" s="27" t="s">
        <v>5369</v>
      </c>
      <c r="B2168" s="27" t="str">
        <f>"52.0499"</f>
        <v>52.0499</v>
      </c>
      <c r="C2168" s="64" t="s">
        <v>5370</v>
      </c>
      <c r="D2168" s="27" t="s">
        <v>2229</v>
      </c>
      <c r="E2168" s="27" t="s">
        <v>2232</v>
      </c>
      <c r="F2168" s="27" t="str">
        <f>"52.0499"</f>
        <v>52.0499</v>
      </c>
      <c r="G2168" s="27" t="s">
        <v>5370</v>
      </c>
      <c r="H2168" s="65" t="str">
        <f t="shared" si="99"/>
        <v>No Change</v>
      </c>
      <c r="I2168" s="65" t="str">
        <f t="shared" si="100"/>
        <v>520499</v>
      </c>
      <c r="J2168" s="65" t="str">
        <f t="shared" si="101"/>
        <v>520499</v>
      </c>
    </row>
    <row r="2169" spans="1:10" x14ac:dyDescent="0.3">
      <c r="A2169" s="27" t="s">
        <v>1869</v>
      </c>
      <c r="B2169" s="27" t="str">
        <f>"52.05"</f>
        <v>52.05</v>
      </c>
      <c r="C2169" s="64" t="s">
        <v>5371</v>
      </c>
      <c r="D2169" s="27" t="s">
        <v>2229</v>
      </c>
      <c r="E2169" s="27" t="s">
        <v>2232</v>
      </c>
      <c r="F2169" s="27" t="str">
        <f>"52.05"</f>
        <v>52.05</v>
      </c>
      <c r="G2169" s="27" t="s">
        <v>5371</v>
      </c>
      <c r="H2169" s="65" t="str">
        <f t="shared" si="99"/>
        <v>No Change</v>
      </c>
      <c r="I2169" s="65" t="str">
        <f t="shared" si="100"/>
        <v/>
      </c>
      <c r="J2169" s="65" t="str">
        <f t="shared" si="101"/>
        <v/>
      </c>
    </row>
    <row r="2170" spans="1:10" x14ac:dyDescent="0.3">
      <c r="A2170" s="27" t="s">
        <v>5372</v>
      </c>
      <c r="B2170" s="27" t="str">
        <f>"52.0501"</f>
        <v>52.0501</v>
      </c>
      <c r="C2170" s="64" t="s">
        <v>5371</v>
      </c>
      <c r="D2170" s="27" t="s">
        <v>2229</v>
      </c>
      <c r="E2170" s="27" t="s">
        <v>2230</v>
      </c>
      <c r="F2170" s="27" t="str">
        <f>"52.0501"</f>
        <v>52.0501</v>
      </c>
      <c r="G2170" s="27" t="s">
        <v>5373</v>
      </c>
      <c r="H2170" s="65" t="str">
        <f t="shared" si="99"/>
        <v>No Change</v>
      </c>
      <c r="I2170" s="65" t="str">
        <f t="shared" si="100"/>
        <v>520501</v>
      </c>
      <c r="J2170" s="65" t="str">
        <f t="shared" si="101"/>
        <v>520501</v>
      </c>
    </row>
    <row r="2171" spans="1:10" x14ac:dyDescent="0.3">
      <c r="A2171" s="27" t="s">
        <v>1869</v>
      </c>
      <c r="D2171" s="27" t="s">
        <v>2255</v>
      </c>
      <c r="E2171" s="27" t="s">
        <v>2232</v>
      </c>
      <c r="F2171" s="27" t="str">
        <f>"52.0502"</f>
        <v>52.0502</v>
      </c>
      <c r="G2171" s="27" t="s">
        <v>5374</v>
      </c>
      <c r="H2171" s="65" t="str">
        <f t="shared" si="99"/>
        <v>Other</v>
      </c>
      <c r="I2171" s="65" t="str">
        <f t="shared" si="100"/>
        <v/>
      </c>
      <c r="J2171" s="65" t="str">
        <f t="shared" si="101"/>
        <v>520502</v>
      </c>
    </row>
    <row r="2172" spans="1:10" x14ac:dyDescent="0.3">
      <c r="A2172" s="27" t="s">
        <v>1869</v>
      </c>
      <c r="D2172" s="27" t="s">
        <v>2255</v>
      </c>
      <c r="E2172" s="27" t="s">
        <v>2232</v>
      </c>
      <c r="F2172" s="27" t="str">
        <f>"52.0599"</f>
        <v>52.0599</v>
      </c>
      <c r="G2172" s="27" t="s">
        <v>5375</v>
      </c>
      <c r="H2172" s="65" t="str">
        <f t="shared" si="99"/>
        <v>Other</v>
      </c>
      <c r="I2172" s="65" t="str">
        <f t="shared" si="100"/>
        <v/>
      </c>
      <c r="J2172" s="65" t="str">
        <f t="shared" si="101"/>
        <v>520599</v>
      </c>
    </row>
    <row r="2173" spans="1:10" x14ac:dyDescent="0.3">
      <c r="A2173" s="27" t="s">
        <v>1869</v>
      </c>
      <c r="B2173" s="27" t="str">
        <f>"52.06"</f>
        <v>52.06</v>
      </c>
      <c r="C2173" s="64" t="s">
        <v>5376</v>
      </c>
      <c r="D2173" s="27" t="s">
        <v>2229</v>
      </c>
      <c r="E2173" s="27" t="s">
        <v>2232</v>
      </c>
      <c r="F2173" s="27" t="str">
        <f>"52.06"</f>
        <v>52.06</v>
      </c>
      <c r="G2173" s="27" t="s">
        <v>5376</v>
      </c>
      <c r="H2173" s="65" t="str">
        <f t="shared" si="99"/>
        <v>No Change</v>
      </c>
      <c r="I2173" s="65" t="str">
        <f t="shared" si="100"/>
        <v/>
      </c>
      <c r="J2173" s="65" t="str">
        <f t="shared" si="101"/>
        <v/>
      </c>
    </row>
    <row r="2174" spans="1:10" x14ac:dyDescent="0.3">
      <c r="A2174" s="27" t="s">
        <v>5377</v>
      </c>
      <c r="B2174" s="27" t="str">
        <f>"52.0601"</f>
        <v>52.0601</v>
      </c>
      <c r="C2174" s="64" t="s">
        <v>5376</v>
      </c>
      <c r="D2174" s="27" t="s">
        <v>2229</v>
      </c>
      <c r="E2174" s="27" t="s">
        <v>2232</v>
      </c>
      <c r="F2174" s="27" t="str">
        <f>"52.0601"</f>
        <v>52.0601</v>
      </c>
      <c r="G2174" s="27" t="s">
        <v>5376</v>
      </c>
      <c r="H2174" s="65" t="str">
        <f t="shared" si="99"/>
        <v>No Change</v>
      </c>
      <c r="I2174" s="65" t="str">
        <f t="shared" si="100"/>
        <v>520601</v>
      </c>
      <c r="J2174" s="65" t="str">
        <f t="shared" si="101"/>
        <v>520601</v>
      </c>
    </row>
    <row r="2175" spans="1:10" x14ac:dyDescent="0.3">
      <c r="A2175" s="27" t="s">
        <v>1869</v>
      </c>
      <c r="B2175" s="27" t="str">
        <f>"52.07"</f>
        <v>52.07</v>
      </c>
      <c r="C2175" s="64" t="s">
        <v>5378</v>
      </c>
      <c r="D2175" s="27" t="s">
        <v>2229</v>
      </c>
      <c r="E2175" s="27" t="s">
        <v>2232</v>
      </c>
      <c r="F2175" s="27" t="str">
        <f>"52.07"</f>
        <v>52.07</v>
      </c>
      <c r="G2175" s="27" t="s">
        <v>5378</v>
      </c>
      <c r="H2175" s="65" t="str">
        <f t="shared" si="99"/>
        <v>No Change</v>
      </c>
      <c r="I2175" s="65" t="str">
        <f t="shared" si="100"/>
        <v/>
      </c>
      <c r="J2175" s="65" t="str">
        <f t="shared" si="101"/>
        <v/>
      </c>
    </row>
    <row r="2176" spans="1:10" x14ac:dyDescent="0.3">
      <c r="A2176" s="27" t="s">
        <v>144</v>
      </c>
      <c r="B2176" s="27" t="str">
        <f>"52.0701"</f>
        <v>52.0701</v>
      </c>
      <c r="C2176" s="64" t="s">
        <v>145</v>
      </c>
      <c r="D2176" s="27" t="s">
        <v>2229</v>
      </c>
      <c r="E2176" s="27" t="s">
        <v>2232</v>
      </c>
      <c r="F2176" s="27" t="str">
        <f>"52.0701"</f>
        <v>52.0701</v>
      </c>
      <c r="G2176" s="27" t="s">
        <v>145</v>
      </c>
      <c r="H2176" s="65" t="str">
        <f t="shared" si="99"/>
        <v>No Change</v>
      </c>
      <c r="I2176" s="65" t="str">
        <f t="shared" si="100"/>
        <v>520701</v>
      </c>
      <c r="J2176" s="65" t="str">
        <f t="shared" si="101"/>
        <v>520701</v>
      </c>
    </row>
    <row r="2177" spans="1:10" x14ac:dyDescent="0.3">
      <c r="A2177" s="27" t="s">
        <v>5379</v>
      </c>
      <c r="B2177" s="27" t="str">
        <f>"52.0702"</f>
        <v>52.0702</v>
      </c>
      <c r="C2177" s="64" t="s">
        <v>5380</v>
      </c>
      <c r="D2177" s="27" t="s">
        <v>2229</v>
      </c>
      <c r="E2177" s="27" t="s">
        <v>2232</v>
      </c>
      <c r="F2177" s="27" t="str">
        <f>"52.0702"</f>
        <v>52.0702</v>
      </c>
      <c r="G2177" s="27" t="s">
        <v>5380</v>
      </c>
      <c r="H2177" s="65" t="str">
        <f t="shared" si="99"/>
        <v>No Change</v>
      </c>
      <c r="I2177" s="65" t="str">
        <f t="shared" si="100"/>
        <v>520702</v>
      </c>
      <c r="J2177" s="65" t="str">
        <f t="shared" si="101"/>
        <v>520702</v>
      </c>
    </row>
    <row r="2178" spans="1:10" x14ac:dyDescent="0.3">
      <c r="A2178" s="27" t="s">
        <v>112</v>
      </c>
      <c r="B2178" s="27" t="str">
        <f>"52.0703"</f>
        <v>52.0703</v>
      </c>
      <c r="C2178" s="64" t="s">
        <v>113</v>
      </c>
      <c r="D2178" s="27" t="s">
        <v>2229</v>
      </c>
      <c r="E2178" s="27" t="s">
        <v>2232</v>
      </c>
      <c r="F2178" s="27" t="str">
        <f>"52.0703"</f>
        <v>52.0703</v>
      </c>
      <c r="G2178" s="27" t="s">
        <v>113</v>
      </c>
      <c r="H2178" s="65" t="str">
        <f t="shared" si="99"/>
        <v>No Change</v>
      </c>
      <c r="I2178" s="65" t="str">
        <f t="shared" si="100"/>
        <v>520703</v>
      </c>
      <c r="J2178" s="65" t="str">
        <f t="shared" si="101"/>
        <v>520703</v>
      </c>
    </row>
    <row r="2179" spans="1:10" x14ac:dyDescent="0.3">
      <c r="A2179" s="27" t="s">
        <v>1869</v>
      </c>
      <c r="D2179" s="27" t="s">
        <v>2255</v>
      </c>
      <c r="E2179" s="27" t="s">
        <v>2232</v>
      </c>
      <c r="F2179" s="27" t="str">
        <f>"52.0704"</f>
        <v>52.0704</v>
      </c>
      <c r="G2179" s="27" t="s">
        <v>5381</v>
      </c>
      <c r="H2179" s="65" t="str">
        <f t="shared" ref="H2179:H2242" si="102">IF(I2179=J2179,"No Change","Other")</f>
        <v>Other</v>
      </c>
      <c r="I2179" s="65" t="str">
        <f t="shared" ref="I2179:I2242" si="103">SUBSTITUTE(IF(SUM(LEN(B2179))&lt;7,"",B2179),".","")</f>
        <v/>
      </c>
      <c r="J2179" s="65" t="str">
        <f t="shared" ref="J2179:J2242" si="104">SUBSTITUTE(IF(SUM(LEN(F2179))&lt;7,"",F2179),".","")</f>
        <v>520704</v>
      </c>
    </row>
    <row r="2180" spans="1:10" x14ac:dyDescent="0.3">
      <c r="A2180" s="27" t="s">
        <v>5382</v>
      </c>
      <c r="B2180" s="27" t="str">
        <f>"52.0799"</f>
        <v>52.0799</v>
      </c>
      <c r="C2180" s="64" t="s">
        <v>5383</v>
      </c>
      <c r="D2180" s="27" t="s">
        <v>2229</v>
      </c>
      <c r="E2180" s="27" t="s">
        <v>2232</v>
      </c>
      <c r="F2180" s="27" t="str">
        <f>"52.0799"</f>
        <v>52.0799</v>
      </c>
      <c r="G2180" s="27" t="s">
        <v>5383</v>
      </c>
      <c r="H2180" s="65" t="str">
        <f t="shared" si="102"/>
        <v>No Change</v>
      </c>
      <c r="I2180" s="65" t="str">
        <f t="shared" si="103"/>
        <v>520799</v>
      </c>
      <c r="J2180" s="65" t="str">
        <f t="shared" si="104"/>
        <v>520799</v>
      </c>
    </row>
    <row r="2181" spans="1:10" x14ac:dyDescent="0.3">
      <c r="A2181" s="27" t="s">
        <v>1869</v>
      </c>
      <c r="B2181" s="27" t="str">
        <f>"52.08"</f>
        <v>52.08</v>
      </c>
      <c r="C2181" s="64" t="s">
        <v>5384</v>
      </c>
      <c r="D2181" s="27" t="s">
        <v>2229</v>
      </c>
      <c r="E2181" s="27" t="s">
        <v>2232</v>
      </c>
      <c r="F2181" s="27" t="str">
        <f>"52.08"</f>
        <v>52.08</v>
      </c>
      <c r="G2181" s="27" t="s">
        <v>5384</v>
      </c>
      <c r="H2181" s="65" t="str">
        <f t="shared" si="102"/>
        <v>No Change</v>
      </c>
      <c r="I2181" s="65" t="str">
        <f t="shared" si="103"/>
        <v/>
      </c>
      <c r="J2181" s="65" t="str">
        <f t="shared" si="104"/>
        <v/>
      </c>
    </row>
    <row r="2182" spans="1:10" x14ac:dyDescent="0.3">
      <c r="A2182" s="27" t="s">
        <v>758</v>
      </c>
      <c r="B2182" s="27" t="str">
        <f>"52.0801"</f>
        <v>52.0801</v>
      </c>
      <c r="C2182" s="64" t="s">
        <v>759</v>
      </c>
      <c r="D2182" s="27" t="s">
        <v>2229</v>
      </c>
      <c r="E2182" s="27" t="s">
        <v>2232</v>
      </c>
      <c r="F2182" s="27" t="str">
        <f>"52.0801"</f>
        <v>52.0801</v>
      </c>
      <c r="G2182" s="27" t="s">
        <v>759</v>
      </c>
      <c r="H2182" s="65" t="str">
        <f t="shared" si="102"/>
        <v>No Change</v>
      </c>
      <c r="I2182" s="65" t="str">
        <f t="shared" si="103"/>
        <v>520801</v>
      </c>
      <c r="J2182" s="65" t="str">
        <f t="shared" si="104"/>
        <v>520801</v>
      </c>
    </row>
    <row r="2183" spans="1:10" x14ac:dyDescent="0.3">
      <c r="A2183" s="27" t="s">
        <v>382</v>
      </c>
      <c r="B2183" s="27" t="str">
        <f>"52.0803"</f>
        <v>52.0803</v>
      </c>
      <c r="C2183" s="64" t="s">
        <v>383</v>
      </c>
      <c r="D2183" s="27" t="s">
        <v>2229</v>
      </c>
      <c r="E2183" s="27" t="s">
        <v>2232</v>
      </c>
      <c r="F2183" s="27" t="str">
        <f>"52.0803"</f>
        <v>52.0803</v>
      </c>
      <c r="G2183" s="27" t="s">
        <v>383</v>
      </c>
      <c r="H2183" s="65" t="str">
        <f t="shared" si="102"/>
        <v>No Change</v>
      </c>
      <c r="I2183" s="65" t="str">
        <f t="shared" si="103"/>
        <v>520803</v>
      </c>
      <c r="J2183" s="65" t="str">
        <f t="shared" si="104"/>
        <v>520803</v>
      </c>
    </row>
    <row r="2184" spans="1:10" x14ac:dyDescent="0.3">
      <c r="A2184" s="27" t="s">
        <v>1222</v>
      </c>
      <c r="B2184" s="27" t="str">
        <f>"52.0804"</f>
        <v>52.0804</v>
      </c>
      <c r="C2184" s="64" t="s">
        <v>1223</v>
      </c>
      <c r="D2184" s="27" t="s">
        <v>2229</v>
      </c>
      <c r="E2184" s="27" t="s">
        <v>2232</v>
      </c>
      <c r="F2184" s="27" t="str">
        <f>"52.0804"</f>
        <v>52.0804</v>
      </c>
      <c r="G2184" s="27" t="s">
        <v>1223</v>
      </c>
      <c r="H2184" s="65" t="str">
        <f t="shared" si="102"/>
        <v>No Change</v>
      </c>
      <c r="I2184" s="65" t="str">
        <f t="shared" si="103"/>
        <v>520804</v>
      </c>
      <c r="J2184" s="65" t="str">
        <f t="shared" si="104"/>
        <v>520804</v>
      </c>
    </row>
    <row r="2185" spans="1:10" x14ac:dyDescent="0.3">
      <c r="A2185" s="27" t="s">
        <v>5385</v>
      </c>
      <c r="B2185" s="27" t="str">
        <f>"52.0806"</f>
        <v>52.0806</v>
      </c>
      <c r="C2185" s="64" t="s">
        <v>5386</v>
      </c>
      <c r="D2185" s="27" t="s">
        <v>2229</v>
      </c>
      <c r="E2185" s="27" t="s">
        <v>2232</v>
      </c>
      <c r="F2185" s="27" t="str">
        <f>"52.0806"</f>
        <v>52.0806</v>
      </c>
      <c r="G2185" s="27" t="s">
        <v>5386</v>
      </c>
      <c r="H2185" s="65" t="str">
        <f t="shared" si="102"/>
        <v>No Change</v>
      </c>
      <c r="I2185" s="65" t="str">
        <f t="shared" si="103"/>
        <v>520806</v>
      </c>
      <c r="J2185" s="65" t="str">
        <f t="shared" si="104"/>
        <v>520806</v>
      </c>
    </row>
    <row r="2186" spans="1:10" x14ac:dyDescent="0.3">
      <c r="A2186" s="27" t="s">
        <v>5387</v>
      </c>
      <c r="B2186" s="27" t="str">
        <f>"52.0807"</f>
        <v>52.0807</v>
      </c>
      <c r="C2186" s="64" t="s">
        <v>5388</v>
      </c>
      <c r="D2186" s="27" t="s">
        <v>2229</v>
      </c>
      <c r="E2186" s="27" t="s">
        <v>2232</v>
      </c>
      <c r="F2186" s="27" t="str">
        <f>"52.0807"</f>
        <v>52.0807</v>
      </c>
      <c r="G2186" s="27" t="s">
        <v>5388</v>
      </c>
      <c r="H2186" s="65" t="str">
        <f t="shared" si="102"/>
        <v>No Change</v>
      </c>
      <c r="I2186" s="65" t="str">
        <f t="shared" si="103"/>
        <v>520807</v>
      </c>
      <c r="J2186" s="65" t="str">
        <f t="shared" si="104"/>
        <v>520807</v>
      </c>
    </row>
    <row r="2187" spans="1:10" x14ac:dyDescent="0.3">
      <c r="A2187" s="27" t="s">
        <v>5389</v>
      </c>
      <c r="B2187" s="27" t="str">
        <f>"52.0808"</f>
        <v>52.0808</v>
      </c>
      <c r="C2187" s="64" t="s">
        <v>5390</v>
      </c>
      <c r="D2187" s="27" t="s">
        <v>2229</v>
      </c>
      <c r="E2187" s="27" t="s">
        <v>2232</v>
      </c>
      <c r="F2187" s="27" t="str">
        <f>"52.0808"</f>
        <v>52.0808</v>
      </c>
      <c r="G2187" s="27" t="s">
        <v>5390</v>
      </c>
      <c r="H2187" s="65" t="str">
        <f t="shared" si="102"/>
        <v>No Change</v>
      </c>
      <c r="I2187" s="65" t="str">
        <f t="shared" si="103"/>
        <v>520808</v>
      </c>
      <c r="J2187" s="65" t="str">
        <f t="shared" si="104"/>
        <v>520808</v>
      </c>
    </row>
    <row r="2188" spans="1:10" x14ac:dyDescent="0.3">
      <c r="A2188" s="27" t="s">
        <v>5391</v>
      </c>
      <c r="B2188" s="27" t="str">
        <f>"52.0809"</f>
        <v>52.0809</v>
      </c>
      <c r="C2188" s="64" t="s">
        <v>5392</v>
      </c>
      <c r="D2188" s="27" t="s">
        <v>2229</v>
      </c>
      <c r="E2188" s="27" t="s">
        <v>2232</v>
      </c>
      <c r="F2188" s="27" t="str">
        <f>"52.0809"</f>
        <v>52.0809</v>
      </c>
      <c r="G2188" s="27" t="s">
        <v>5392</v>
      </c>
      <c r="H2188" s="65" t="str">
        <f t="shared" si="102"/>
        <v>No Change</v>
      </c>
      <c r="I2188" s="65" t="str">
        <f t="shared" si="103"/>
        <v>520809</v>
      </c>
      <c r="J2188" s="65" t="str">
        <f t="shared" si="104"/>
        <v>520809</v>
      </c>
    </row>
    <row r="2189" spans="1:10" x14ac:dyDescent="0.3">
      <c r="A2189" s="27" t="s">
        <v>1869</v>
      </c>
      <c r="D2189" s="27" t="s">
        <v>2255</v>
      </c>
      <c r="E2189" s="27" t="s">
        <v>2232</v>
      </c>
      <c r="F2189" s="27" t="str">
        <f>"52.0810"</f>
        <v>52.0810</v>
      </c>
      <c r="G2189" s="27" t="s">
        <v>5393</v>
      </c>
      <c r="H2189" s="65" t="str">
        <f t="shared" si="102"/>
        <v>Other</v>
      </c>
      <c r="I2189" s="65" t="str">
        <f t="shared" si="103"/>
        <v/>
      </c>
      <c r="J2189" s="65" t="str">
        <f t="shared" si="104"/>
        <v>520810</v>
      </c>
    </row>
    <row r="2190" spans="1:10" x14ac:dyDescent="0.3">
      <c r="A2190" s="27" t="s">
        <v>5394</v>
      </c>
      <c r="B2190" s="27" t="str">
        <f>"52.0899"</f>
        <v>52.0899</v>
      </c>
      <c r="C2190" s="64" t="s">
        <v>5395</v>
      </c>
      <c r="D2190" s="27" t="s">
        <v>2229</v>
      </c>
      <c r="E2190" s="27" t="s">
        <v>2232</v>
      </c>
      <c r="F2190" s="27" t="str">
        <f>"52.0899"</f>
        <v>52.0899</v>
      </c>
      <c r="G2190" s="27" t="s">
        <v>5395</v>
      </c>
      <c r="H2190" s="65" t="str">
        <f t="shared" si="102"/>
        <v>No Change</v>
      </c>
      <c r="I2190" s="65" t="str">
        <f t="shared" si="103"/>
        <v>520899</v>
      </c>
      <c r="J2190" s="65" t="str">
        <f t="shared" si="104"/>
        <v>520899</v>
      </c>
    </row>
    <row r="2191" spans="1:10" x14ac:dyDescent="0.3">
      <c r="A2191" s="27" t="s">
        <v>1869</v>
      </c>
      <c r="B2191" s="27" t="str">
        <f>"52.09"</f>
        <v>52.09</v>
      </c>
      <c r="C2191" s="64" t="s">
        <v>5396</v>
      </c>
      <c r="D2191" s="27" t="s">
        <v>2229</v>
      </c>
      <c r="E2191" s="27" t="s">
        <v>2232</v>
      </c>
      <c r="F2191" s="27" t="str">
        <f>"52.09"</f>
        <v>52.09</v>
      </c>
      <c r="G2191" s="27" t="s">
        <v>5396</v>
      </c>
      <c r="H2191" s="65" t="str">
        <f t="shared" si="102"/>
        <v>No Change</v>
      </c>
      <c r="I2191" s="65" t="str">
        <f t="shared" si="103"/>
        <v/>
      </c>
      <c r="J2191" s="65" t="str">
        <f t="shared" si="104"/>
        <v/>
      </c>
    </row>
    <row r="2192" spans="1:10" x14ac:dyDescent="0.3">
      <c r="A2192" s="27" t="s">
        <v>80</v>
      </c>
      <c r="B2192" s="27" t="str">
        <f>"52.0901"</f>
        <v>52.0901</v>
      </c>
      <c r="C2192" s="64" t="s">
        <v>81</v>
      </c>
      <c r="D2192" s="27" t="s">
        <v>2229</v>
      </c>
      <c r="E2192" s="27" t="s">
        <v>2232</v>
      </c>
      <c r="F2192" s="27" t="str">
        <f>"52.0901"</f>
        <v>52.0901</v>
      </c>
      <c r="G2192" s="27" t="s">
        <v>81</v>
      </c>
      <c r="H2192" s="65" t="str">
        <f t="shared" si="102"/>
        <v>No Change</v>
      </c>
      <c r="I2192" s="65" t="str">
        <f t="shared" si="103"/>
        <v>520901</v>
      </c>
      <c r="J2192" s="65" t="str">
        <f t="shared" si="104"/>
        <v>520901</v>
      </c>
    </row>
    <row r="2193" spans="1:10" x14ac:dyDescent="0.3">
      <c r="A2193" s="27" t="s">
        <v>5397</v>
      </c>
      <c r="B2193" s="27" t="str">
        <f>"52.0903"</f>
        <v>52.0903</v>
      </c>
      <c r="C2193" s="64" t="s">
        <v>5398</v>
      </c>
      <c r="D2193" s="27" t="s">
        <v>2229</v>
      </c>
      <c r="E2193" s="27" t="s">
        <v>2232</v>
      </c>
      <c r="F2193" s="27" t="str">
        <f>"52.0903"</f>
        <v>52.0903</v>
      </c>
      <c r="G2193" s="27" t="s">
        <v>5398</v>
      </c>
      <c r="H2193" s="65" t="str">
        <f t="shared" si="102"/>
        <v>No Change</v>
      </c>
      <c r="I2193" s="65" t="str">
        <f t="shared" si="103"/>
        <v>520903</v>
      </c>
      <c r="J2193" s="65" t="str">
        <f t="shared" si="104"/>
        <v>520903</v>
      </c>
    </row>
    <row r="2194" spans="1:10" x14ac:dyDescent="0.3">
      <c r="A2194" s="27" t="s">
        <v>147</v>
      </c>
      <c r="B2194" s="27" t="str">
        <f>"52.0904"</f>
        <v>52.0904</v>
      </c>
      <c r="C2194" s="64" t="s">
        <v>148</v>
      </c>
      <c r="D2194" s="27" t="s">
        <v>2229</v>
      </c>
      <c r="E2194" s="27" t="s">
        <v>2232</v>
      </c>
      <c r="F2194" s="27" t="str">
        <f>"52.0904"</f>
        <v>52.0904</v>
      </c>
      <c r="G2194" s="27" t="s">
        <v>148</v>
      </c>
      <c r="H2194" s="65" t="str">
        <f t="shared" si="102"/>
        <v>No Change</v>
      </c>
      <c r="I2194" s="65" t="str">
        <f t="shared" si="103"/>
        <v>520904</v>
      </c>
      <c r="J2194" s="65" t="str">
        <f t="shared" si="104"/>
        <v>520904</v>
      </c>
    </row>
    <row r="2195" spans="1:10" x14ac:dyDescent="0.3">
      <c r="A2195" s="27" t="s">
        <v>177</v>
      </c>
      <c r="B2195" s="27" t="str">
        <f>"52.0905"</f>
        <v>52.0905</v>
      </c>
      <c r="C2195" s="64" t="s">
        <v>178</v>
      </c>
      <c r="D2195" s="27" t="s">
        <v>2229</v>
      </c>
      <c r="E2195" s="27" t="s">
        <v>2232</v>
      </c>
      <c r="F2195" s="27" t="str">
        <f>"52.0905"</f>
        <v>52.0905</v>
      </c>
      <c r="G2195" s="27" t="s">
        <v>178</v>
      </c>
      <c r="H2195" s="65" t="str">
        <f t="shared" si="102"/>
        <v>No Change</v>
      </c>
      <c r="I2195" s="65" t="str">
        <f t="shared" si="103"/>
        <v>520905</v>
      </c>
      <c r="J2195" s="65" t="str">
        <f t="shared" si="104"/>
        <v>520905</v>
      </c>
    </row>
    <row r="2196" spans="1:10" x14ac:dyDescent="0.3">
      <c r="A2196" s="27" t="s">
        <v>5399</v>
      </c>
      <c r="B2196" s="27" t="str">
        <f>"52.0906"</f>
        <v>52.0906</v>
      </c>
      <c r="C2196" s="64" t="s">
        <v>5400</v>
      </c>
      <c r="D2196" s="27" t="s">
        <v>2229</v>
      </c>
      <c r="E2196" s="27" t="s">
        <v>2232</v>
      </c>
      <c r="F2196" s="27" t="str">
        <f>"52.0906"</f>
        <v>52.0906</v>
      </c>
      <c r="G2196" s="27" t="s">
        <v>5400</v>
      </c>
      <c r="H2196" s="65" t="str">
        <f t="shared" si="102"/>
        <v>No Change</v>
      </c>
      <c r="I2196" s="65" t="str">
        <f t="shared" si="103"/>
        <v>520906</v>
      </c>
      <c r="J2196" s="65" t="str">
        <f t="shared" si="104"/>
        <v>520906</v>
      </c>
    </row>
    <row r="2197" spans="1:10" x14ac:dyDescent="0.3">
      <c r="A2197" s="27" t="s">
        <v>5401</v>
      </c>
      <c r="B2197" s="27" t="str">
        <f>"52.0907"</f>
        <v>52.0907</v>
      </c>
      <c r="C2197" s="64" t="s">
        <v>5402</v>
      </c>
      <c r="D2197" s="27" t="s">
        <v>2229</v>
      </c>
      <c r="E2197" s="27" t="s">
        <v>2232</v>
      </c>
      <c r="F2197" s="27" t="str">
        <f>"52.0907"</f>
        <v>52.0907</v>
      </c>
      <c r="G2197" s="27" t="s">
        <v>5402</v>
      </c>
      <c r="H2197" s="65" t="str">
        <f t="shared" si="102"/>
        <v>No Change</v>
      </c>
      <c r="I2197" s="65" t="str">
        <f t="shared" si="103"/>
        <v>520907</v>
      </c>
      <c r="J2197" s="65" t="str">
        <f t="shared" si="104"/>
        <v>520907</v>
      </c>
    </row>
    <row r="2198" spans="1:10" x14ac:dyDescent="0.3">
      <c r="A2198" s="27" t="s">
        <v>5403</v>
      </c>
      <c r="B2198" s="27" t="str">
        <f>"52.0908"</f>
        <v>52.0908</v>
      </c>
      <c r="C2198" s="64" t="s">
        <v>5404</v>
      </c>
      <c r="D2198" s="27" t="s">
        <v>2229</v>
      </c>
      <c r="E2198" s="27" t="s">
        <v>2230</v>
      </c>
      <c r="F2198" s="27" t="str">
        <f>"52.0908"</f>
        <v>52.0908</v>
      </c>
      <c r="G2198" s="27" t="s">
        <v>5404</v>
      </c>
      <c r="H2198" s="65" t="str">
        <f t="shared" si="102"/>
        <v>No Change</v>
      </c>
      <c r="I2198" s="65" t="str">
        <f t="shared" si="103"/>
        <v>520908</v>
      </c>
      <c r="J2198" s="65" t="str">
        <f t="shared" si="104"/>
        <v>520908</v>
      </c>
    </row>
    <row r="2199" spans="1:10" x14ac:dyDescent="0.3">
      <c r="A2199" s="27" t="s">
        <v>537</v>
      </c>
      <c r="B2199" s="27" t="str">
        <f>"52.0909"</f>
        <v>52.0909</v>
      </c>
      <c r="C2199" s="64" t="s">
        <v>538</v>
      </c>
      <c r="D2199" s="27" t="s">
        <v>2229</v>
      </c>
      <c r="E2199" s="27" t="s">
        <v>2232</v>
      </c>
      <c r="F2199" s="27" t="str">
        <f>"52.0909"</f>
        <v>52.0909</v>
      </c>
      <c r="G2199" s="27" t="s">
        <v>538</v>
      </c>
      <c r="H2199" s="65" t="str">
        <f t="shared" si="102"/>
        <v>No Change</v>
      </c>
      <c r="I2199" s="65" t="str">
        <f t="shared" si="103"/>
        <v>520909</v>
      </c>
      <c r="J2199" s="65" t="str">
        <f t="shared" si="104"/>
        <v>520909</v>
      </c>
    </row>
    <row r="2200" spans="1:10" x14ac:dyDescent="0.3">
      <c r="A2200" s="27" t="s">
        <v>1869</v>
      </c>
      <c r="D2200" s="27" t="s">
        <v>2255</v>
      </c>
      <c r="E2200" s="27" t="s">
        <v>2232</v>
      </c>
      <c r="F2200" s="27" t="str">
        <f>"52.0910"</f>
        <v>52.0910</v>
      </c>
      <c r="G2200" s="27" t="s">
        <v>5405</v>
      </c>
      <c r="H2200" s="65" t="str">
        <f t="shared" si="102"/>
        <v>Other</v>
      </c>
      <c r="I2200" s="65" t="str">
        <f t="shared" si="103"/>
        <v/>
      </c>
      <c r="J2200" s="65" t="str">
        <f t="shared" si="104"/>
        <v>520910</v>
      </c>
    </row>
    <row r="2201" spans="1:10" x14ac:dyDescent="0.3">
      <c r="A2201" s="27" t="s">
        <v>5406</v>
      </c>
      <c r="B2201" s="27" t="str">
        <f>"52.0999"</f>
        <v>52.0999</v>
      </c>
      <c r="C2201" s="64" t="s">
        <v>5407</v>
      </c>
      <c r="D2201" s="27" t="s">
        <v>2229</v>
      </c>
      <c r="E2201" s="27" t="s">
        <v>2232</v>
      </c>
      <c r="F2201" s="27" t="str">
        <f>"52.0999"</f>
        <v>52.0999</v>
      </c>
      <c r="G2201" s="27" t="s">
        <v>5407</v>
      </c>
      <c r="H2201" s="65" t="str">
        <f t="shared" si="102"/>
        <v>No Change</v>
      </c>
      <c r="I2201" s="65" t="str">
        <f t="shared" si="103"/>
        <v>520999</v>
      </c>
      <c r="J2201" s="65" t="str">
        <f t="shared" si="104"/>
        <v>520999</v>
      </c>
    </row>
    <row r="2202" spans="1:10" x14ac:dyDescent="0.3">
      <c r="A2202" s="27" t="s">
        <v>1869</v>
      </c>
      <c r="B2202" s="27" t="str">
        <f>"52.10"</f>
        <v>52.10</v>
      </c>
      <c r="C2202" s="64" t="s">
        <v>5408</v>
      </c>
      <c r="D2202" s="27" t="s">
        <v>2229</v>
      </c>
      <c r="E2202" s="27" t="s">
        <v>2232</v>
      </c>
      <c r="F2202" s="27" t="str">
        <f>"52.10"</f>
        <v>52.10</v>
      </c>
      <c r="G2202" s="27" t="s">
        <v>5408</v>
      </c>
      <c r="H2202" s="65" t="str">
        <f t="shared" si="102"/>
        <v>No Change</v>
      </c>
      <c r="I2202" s="65" t="str">
        <f t="shared" si="103"/>
        <v/>
      </c>
      <c r="J2202" s="65" t="str">
        <f t="shared" si="104"/>
        <v/>
      </c>
    </row>
    <row r="2203" spans="1:10" ht="28.8" x14ac:dyDescent="0.3">
      <c r="A2203" s="27" t="s">
        <v>5409</v>
      </c>
      <c r="B2203" s="27" t="str">
        <f>"52.1001"</f>
        <v>52.1001</v>
      </c>
      <c r="C2203" s="64" t="s">
        <v>5410</v>
      </c>
      <c r="D2203" s="27" t="s">
        <v>2229</v>
      </c>
      <c r="E2203" s="27" t="s">
        <v>2232</v>
      </c>
      <c r="F2203" s="27" t="str">
        <f>"52.1001"</f>
        <v>52.1001</v>
      </c>
      <c r="G2203" s="27" t="s">
        <v>5410</v>
      </c>
      <c r="H2203" s="65" t="str">
        <f t="shared" si="102"/>
        <v>No Change</v>
      </c>
      <c r="I2203" s="65" t="str">
        <f t="shared" si="103"/>
        <v>521001</v>
      </c>
      <c r="J2203" s="65" t="str">
        <f t="shared" si="104"/>
        <v>521001</v>
      </c>
    </row>
    <row r="2204" spans="1:10" x14ac:dyDescent="0.3">
      <c r="A2204" s="27" t="s">
        <v>5411</v>
      </c>
      <c r="B2204" s="27" t="str">
        <f>"52.1002"</f>
        <v>52.1002</v>
      </c>
      <c r="C2204" s="64" t="s">
        <v>5412</v>
      </c>
      <c r="D2204" s="27" t="s">
        <v>2229</v>
      </c>
      <c r="E2204" s="27" t="s">
        <v>2232</v>
      </c>
      <c r="F2204" s="27" t="str">
        <f>"52.1002"</f>
        <v>52.1002</v>
      </c>
      <c r="G2204" s="27" t="s">
        <v>5412</v>
      </c>
      <c r="H2204" s="65" t="str">
        <f t="shared" si="102"/>
        <v>No Change</v>
      </c>
      <c r="I2204" s="65" t="str">
        <f t="shared" si="103"/>
        <v>521002</v>
      </c>
      <c r="J2204" s="65" t="str">
        <f t="shared" si="104"/>
        <v>521002</v>
      </c>
    </row>
    <row r="2205" spans="1:10" x14ac:dyDescent="0.3">
      <c r="A2205" s="27" t="s">
        <v>5413</v>
      </c>
      <c r="B2205" s="27" t="str">
        <f>"52.1003"</f>
        <v>52.1003</v>
      </c>
      <c r="C2205" s="64" t="s">
        <v>5414</v>
      </c>
      <c r="D2205" s="27" t="s">
        <v>2229</v>
      </c>
      <c r="E2205" s="27" t="s">
        <v>2232</v>
      </c>
      <c r="F2205" s="27" t="str">
        <f>"52.1003"</f>
        <v>52.1003</v>
      </c>
      <c r="G2205" s="27" t="s">
        <v>5414</v>
      </c>
      <c r="H2205" s="65" t="str">
        <f t="shared" si="102"/>
        <v>No Change</v>
      </c>
      <c r="I2205" s="65" t="str">
        <f t="shared" si="103"/>
        <v>521003</v>
      </c>
      <c r="J2205" s="65" t="str">
        <f t="shared" si="104"/>
        <v>521003</v>
      </c>
    </row>
    <row r="2206" spans="1:10" x14ac:dyDescent="0.3">
      <c r="A2206" s="27" t="s">
        <v>5415</v>
      </c>
      <c r="B2206" s="27" t="str">
        <f>"52.1004"</f>
        <v>52.1004</v>
      </c>
      <c r="C2206" s="64" t="s">
        <v>5416</v>
      </c>
      <c r="D2206" s="27" t="s">
        <v>2229</v>
      </c>
      <c r="E2206" s="27" t="s">
        <v>2232</v>
      </c>
      <c r="F2206" s="27" t="str">
        <f>"52.1004"</f>
        <v>52.1004</v>
      </c>
      <c r="G2206" s="27" t="s">
        <v>5416</v>
      </c>
      <c r="H2206" s="65" t="str">
        <f t="shared" si="102"/>
        <v>No Change</v>
      </c>
      <c r="I2206" s="65" t="str">
        <f t="shared" si="103"/>
        <v>521004</v>
      </c>
      <c r="J2206" s="65" t="str">
        <f t="shared" si="104"/>
        <v>521004</v>
      </c>
    </row>
    <row r="2207" spans="1:10" x14ac:dyDescent="0.3">
      <c r="A2207" s="27" t="s">
        <v>5417</v>
      </c>
      <c r="B2207" s="27" t="str">
        <f>"52.1005"</f>
        <v>52.1005</v>
      </c>
      <c r="C2207" s="64" t="s">
        <v>5418</v>
      </c>
      <c r="D2207" s="27" t="s">
        <v>2229</v>
      </c>
      <c r="E2207" s="27" t="s">
        <v>2232</v>
      </c>
      <c r="F2207" s="27" t="str">
        <f>"52.1005"</f>
        <v>52.1005</v>
      </c>
      <c r="G2207" s="27" t="s">
        <v>5418</v>
      </c>
      <c r="H2207" s="65" t="str">
        <f t="shared" si="102"/>
        <v>No Change</v>
      </c>
      <c r="I2207" s="65" t="str">
        <f t="shared" si="103"/>
        <v>521005</v>
      </c>
      <c r="J2207" s="65" t="str">
        <f t="shared" si="104"/>
        <v>521005</v>
      </c>
    </row>
    <row r="2208" spans="1:10" x14ac:dyDescent="0.3">
      <c r="A2208" s="27" t="s">
        <v>1869</v>
      </c>
      <c r="D2208" s="27" t="s">
        <v>2255</v>
      </c>
      <c r="E2208" s="27" t="s">
        <v>2232</v>
      </c>
      <c r="F2208" s="27" t="str">
        <f>"52.1006"</f>
        <v>52.1006</v>
      </c>
      <c r="G2208" s="27" t="s">
        <v>5419</v>
      </c>
      <c r="H2208" s="65" t="str">
        <f t="shared" si="102"/>
        <v>Other</v>
      </c>
      <c r="I2208" s="65" t="str">
        <f t="shared" si="103"/>
        <v/>
      </c>
      <c r="J2208" s="65" t="str">
        <f t="shared" si="104"/>
        <v>521006</v>
      </c>
    </row>
    <row r="2209" spans="1:10" x14ac:dyDescent="0.3">
      <c r="A2209" s="27" t="s">
        <v>5420</v>
      </c>
      <c r="B2209" s="27" t="str">
        <f>"52.1099"</f>
        <v>52.1099</v>
      </c>
      <c r="C2209" s="64" t="s">
        <v>5421</v>
      </c>
      <c r="D2209" s="27" t="s">
        <v>2229</v>
      </c>
      <c r="E2209" s="27" t="s">
        <v>2232</v>
      </c>
      <c r="F2209" s="27" t="str">
        <f>"52.1099"</f>
        <v>52.1099</v>
      </c>
      <c r="G2209" s="27" t="s">
        <v>5421</v>
      </c>
      <c r="H2209" s="65" t="str">
        <f t="shared" si="102"/>
        <v>No Change</v>
      </c>
      <c r="I2209" s="65" t="str">
        <f t="shared" si="103"/>
        <v>521099</v>
      </c>
      <c r="J2209" s="65" t="str">
        <f t="shared" si="104"/>
        <v>521099</v>
      </c>
    </row>
    <row r="2210" spans="1:10" x14ac:dyDescent="0.3">
      <c r="A2210" s="27" t="s">
        <v>1869</v>
      </c>
      <c r="B2210" s="27" t="str">
        <f>"52.11"</f>
        <v>52.11</v>
      </c>
      <c r="C2210" s="64" t="s">
        <v>5422</v>
      </c>
      <c r="D2210" s="27" t="s">
        <v>2229</v>
      </c>
      <c r="E2210" s="27" t="s">
        <v>2232</v>
      </c>
      <c r="F2210" s="27" t="str">
        <f>"52.11"</f>
        <v>52.11</v>
      </c>
      <c r="G2210" s="27" t="s">
        <v>5422</v>
      </c>
      <c r="H2210" s="65" t="str">
        <f t="shared" si="102"/>
        <v>No Change</v>
      </c>
      <c r="I2210" s="65" t="str">
        <f t="shared" si="103"/>
        <v/>
      </c>
      <c r="J2210" s="65" t="str">
        <f t="shared" si="104"/>
        <v/>
      </c>
    </row>
    <row r="2211" spans="1:10" x14ac:dyDescent="0.3">
      <c r="A2211" s="27" t="s">
        <v>5423</v>
      </c>
      <c r="B2211" s="27" t="str">
        <f>"52.1101"</f>
        <v>52.1101</v>
      </c>
      <c r="C2211" s="64" t="s">
        <v>5424</v>
      </c>
      <c r="D2211" s="27" t="s">
        <v>2229</v>
      </c>
      <c r="E2211" s="27" t="s">
        <v>2232</v>
      </c>
      <c r="F2211" s="27" t="str">
        <f>"52.1101"</f>
        <v>52.1101</v>
      </c>
      <c r="G2211" s="27" t="s">
        <v>5424</v>
      </c>
      <c r="H2211" s="65" t="str">
        <f t="shared" si="102"/>
        <v>No Change</v>
      </c>
      <c r="I2211" s="65" t="str">
        <f t="shared" si="103"/>
        <v>521101</v>
      </c>
      <c r="J2211" s="65" t="str">
        <f t="shared" si="104"/>
        <v>521101</v>
      </c>
    </row>
    <row r="2212" spans="1:10" x14ac:dyDescent="0.3">
      <c r="A2212" s="27" t="s">
        <v>1869</v>
      </c>
      <c r="B2212" s="27" t="str">
        <f>"52.12"</f>
        <v>52.12</v>
      </c>
      <c r="C2212" s="64" t="s">
        <v>5425</v>
      </c>
      <c r="D2212" s="27" t="s">
        <v>2229</v>
      </c>
      <c r="E2212" s="27" t="s">
        <v>2232</v>
      </c>
      <c r="F2212" s="27" t="str">
        <f>"52.12"</f>
        <v>52.12</v>
      </c>
      <c r="G2212" s="27" t="s">
        <v>5425</v>
      </c>
      <c r="H2212" s="65" t="str">
        <f t="shared" si="102"/>
        <v>No Change</v>
      </c>
      <c r="I2212" s="65" t="str">
        <f t="shared" si="103"/>
        <v/>
      </c>
      <c r="J2212" s="65" t="str">
        <f t="shared" si="104"/>
        <v/>
      </c>
    </row>
    <row r="2213" spans="1:10" x14ac:dyDescent="0.3">
      <c r="A2213" s="27" t="s">
        <v>509</v>
      </c>
      <c r="B2213" s="27" t="str">
        <f>"52.1201"</f>
        <v>52.1201</v>
      </c>
      <c r="C2213" s="64" t="s">
        <v>510</v>
      </c>
      <c r="D2213" s="27" t="s">
        <v>2229</v>
      </c>
      <c r="E2213" s="27" t="s">
        <v>2232</v>
      </c>
      <c r="F2213" s="27" t="str">
        <f>"52.1201"</f>
        <v>52.1201</v>
      </c>
      <c r="G2213" s="27" t="s">
        <v>510</v>
      </c>
      <c r="H2213" s="65" t="str">
        <f t="shared" si="102"/>
        <v>No Change</v>
      </c>
      <c r="I2213" s="65" t="str">
        <f t="shared" si="103"/>
        <v>521201</v>
      </c>
      <c r="J2213" s="65" t="str">
        <f t="shared" si="104"/>
        <v>521201</v>
      </c>
    </row>
    <row r="2214" spans="1:10" x14ac:dyDescent="0.3">
      <c r="A2214" s="27" t="s">
        <v>5426</v>
      </c>
      <c r="B2214" s="27" t="str">
        <f>"52.1206"</f>
        <v>52.1206</v>
      </c>
      <c r="C2214" s="64" t="s">
        <v>5427</v>
      </c>
      <c r="D2214" s="27" t="s">
        <v>2229</v>
      </c>
      <c r="E2214" s="27" t="s">
        <v>2232</v>
      </c>
      <c r="F2214" s="27" t="str">
        <f>"52.1206"</f>
        <v>52.1206</v>
      </c>
      <c r="G2214" s="27" t="s">
        <v>5427</v>
      </c>
      <c r="H2214" s="65" t="str">
        <f t="shared" si="102"/>
        <v>No Change</v>
      </c>
      <c r="I2214" s="65" t="str">
        <f t="shared" si="103"/>
        <v>521206</v>
      </c>
      <c r="J2214" s="65" t="str">
        <f t="shared" si="104"/>
        <v>521206</v>
      </c>
    </row>
    <row r="2215" spans="1:10" x14ac:dyDescent="0.3">
      <c r="A2215" s="27" t="s">
        <v>5428</v>
      </c>
      <c r="B2215" s="27" t="str">
        <f>"52.1207"</f>
        <v>52.1207</v>
      </c>
      <c r="C2215" s="64" t="s">
        <v>5429</v>
      </c>
      <c r="D2215" s="27" t="s">
        <v>2229</v>
      </c>
      <c r="E2215" s="27" t="s">
        <v>2232</v>
      </c>
      <c r="F2215" s="27" t="str">
        <f>"52.1207"</f>
        <v>52.1207</v>
      </c>
      <c r="G2215" s="27" t="s">
        <v>5429</v>
      </c>
      <c r="H2215" s="65" t="str">
        <f t="shared" si="102"/>
        <v>No Change</v>
      </c>
      <c r="I2215" s="65" t="str">
        <f t="shared" si="103"/>
        <v>521207</v>
      </c>
      <c r="J2215" s="65" t="str">
        <f t="shared" si="104"/>
        <v>521207</v>
      </c>
    </row>
    <row r="2216" spans="1:10" x14ac:dyDescent="0.3">
      <c r="A2216" s="27" t="s">
        <v>5430</v>
      </c>
      <c r="B2216" s="27" t="str">
        <f>"52.1299"</f>
        <v>52.1299</v>
      </c>
      <c r="C2216" s="64" t="s">
        <v>5431</v>
      </c>
      <c r="D2216" s="27" t="s">
        <v>2229</v>
      </c>
      <c r="E2216" s="27" t="s">
        <v>2232</v>
      </c>
      <c r="F2216" s="27" t="str">
        <f>"52.1299"</f>
        <v>52.1299</v>
      </c>
      <c r="G2216" s="27" t="s">
        <v>5431</v>
      </c>
      <c r="H2216" s="65" t="str">
        <f t="shared" si="102"/>
        <v>No Change</v>
      </c>
      <c r="I2216" s="65" t="str">
        <f t="shared" si="103"/>
        <v>521299</v>
      </c>
      <c r="J2216" s="65" t="str">
        <f t="shared" si="104"/>
        <v>521299</v>
      </c>
    </row>
    <row r="2217" spans="1:10" x14ac:dyDescent="0.3">
      <c r="A2217" s="27" t="s">
        <v>1869</v>
      </c>
      <c r="B2217" s="27" t="str">
        <f>"52.13"</f>
        <v>52.13</v>
      </c>
      <c r="C2217" s="64" t="s">
        <v>5432</v>
      </c>
      <c r="D2217" s="27" t="s">
        <v>2229</v>
      </c>
      <c r="E2217" s="27" t="s">
        <v>2232</v>
      </c>
      <c r="F2217" s="27" t="str">
        <f>"52.13"</f>
        <v>52.13</v>
      </c>
      <c r="G2217" s="27" t="s">
        <v>5432</v>
      </c>
      <c r="H2217" s="65" t="str">
        <f t="shared" si="102"/>
        <v>No Change</v>
      </c>
      <c r="I2217" s="65" t="str">
        <f t="shared" si="103"/>
        <v/>
      </c>
      <c r="J2217" s="65" t="str">
        <f t="shared" si="104"/>
        <v/>
      </c>
    </row>
    <row r="2218" spans="1:10" x14ac:dyDescent="0.3">
      <c r="A2218" s="27" t="s">
        <v>819</v>
      </c>
      <c r="B2218" s="27" t="str">
        <f>"52.1301"</f>
        <v>52.1301</v>
      </c>
      <c r="C2218" s="64" t="s">
        <v>820</v>
      </c>
      <c r="D2218" s="27" t="s">
        <v>2229</v>
      </c>
      <c r="E2218" s="27" t="s">
        <v>2232</v>
      </c>
      <c r="F2218" s="27" t="str">
        <f>"52.1301"</f>
        <v>52.1301</v>
      </c>
      <c r="G2218" s="27" t="s">
        <v>820</v>
      </c>
      <c r="H2218" s="65" t="str">
        <f t="shared" si="102"/>
        <v>No Change</v>
      </c>
      <c r="I2218" s="65" t="str">
        <f t="shared" si="103"/>
        <v>521301</v>
      </c>
      <c r="J2218" s="65" t="str">
        <f t="shared" si="104"/>
        <v>521301</v>
      </c>
    </row>
    <row r="2219" spans="1:10" x14ac:dyDescent="0.3">
      <c r="A2219" s="27" t="s">
        <v>5433</v>
      </c>
      <c r="B2219" s="27" t="str">
        <f>"52.1302"</f>
        <v>52.1302</v>
      </c>
      <c r="C2219" s="64" t="s">
        <v>5434</v>
      </c>
      <c r="D2219" s="27" t="s">
        <v>2229</v>
      </c>
      <c r="E2219" s="27" t="s">
        <v>2232</v>
      </c>
      <c r="F2219" s="27" t="str">
        <f>"52.1302"</f>
        <v>52.1302</v>
      </c>
      <c r="G2219" s="27" t="s">
        <v>5434</v>
      </c>
      <c r="H2219" s="65" t="str">
        <f t="shared" si="102"/>
        <v>No Change</v>
      </c>
      <c r="I2219" s="65" t="str">
        <f t="shared" si="103"/>
        <v>521302</v>
      </c>
      <c r="J2219" s="65" t="str">
        <f t="shared" si="104"/>
        <v>521302</v>
      </c>
    </row>
    <row r="2220" spans="1:10" x14ac:dyDescent="0.3">
      <c r="A2220" s="27" t="s">
        <v>5435</v>
      </c>
      <c r="B2220" s="27" t="str">
        <f>"52.1304"</f>
        <v>52.1304</v>
      </c>
      <c r="C2220" s="64" t="s">
        <v>5436</v>
      </c>
      <c r="D2220" s="27" t="s">
        <v>2229</v>
      </c>
      <c r="E2220" s="27" t="s">
        <v>2232</v>
      </c>
      <c r="F2220" s="27" t="str">
        <f>"52.1304"</f>
        <v>52.1304</v>
      </c>
      <c r="G2220" s="27" t="s">
        <v>5436</v>
      </c>
      <c r="H2220" s="65" t="str">
        <f t="shared" si="102"/>
        <v>No Change</v>
      </c>
      <c r="I2220" s="65" t="str">
        <f t="shared" si="103"/>
        <v>521304</v>
      </c>
      <c r="J2220" s="65" t="str">
        <f t="shared" si="104"/>
        <v>521304</v>
      </c>
    </row>
    <row r="2221" spans="1:10" x14ac:dyDescent="0.3">
      <c r="A2221" s="27" t="s">
        <v>5437</v>
      </c>
      <c r="B2221" s="27" t="str">
        <f>"52.1399"</f>
        <v>52.1399</v>
      </c>
      <c r="C2221" s="64" t="s">
        <v>5438</v>
      </c>
      <c r="D2221" s="27" t="s">
        <v>2229</v>
      </c>
      <c r="E2221" s="27" t="s">
        <v>2232</v>
      </c>
      <c r="F2221" s="27" t="str">
        <f>"52.1399"</f>
        <v>52.1399</v>
      </c>
      <c r="G2221" s="27" t="s">
        <v>5438</v>
      </c>
      <c r="H2221" s="65" t="str">
        <f t="shared" si="102"/>
        <v>No Change</v>
      </c>
      <c r="I2221" s="65" t="str">
        <f t="shared" si="103"/>
        <v>521399</v>
      </c>
      <c r="J2221" s="65" t="str">
        <f t="shared" si="104"/>
        <v>521399</v>
      </c>
    </row>
    <row r="2222" spans="1:10" x14ac:dyDescent="0.3">
      <c r="A2222" s="27" t="s">
        <v>1869</v>
      </c>
      <c r="B2222" s="27" t="str">
        <f>"52.14"</f>
        <v>52.14</v>
      </c>
      <c r="C2222" s="64" t="s">
        <v>5439</v>
      </c>
      <c r="D2222" s="27" t="s">
        <v>2229</v>
      </c>
      <c r="E2222" s="27" t="s">
        <v>2232</v>
      </c>
      <c r="F2222" s="27" t="str">
        <f>"52.14"</f>
        <v>52.14</v>
      </c>
      <c r="G2222" s="27" t="s">
        <v>5439</v>
      </c>
      <c r="H2222" s="65" t="str">
        <f t="shared" si="102"/>
        <v>No Change</v>
      </c>
      <c r="I2222" s="65" t="str">
        <f t="shared" si="103"/>
        <v/>
      </c>
      <c r="J2222" s="65" t="str">
        <f t="shared" si="104"/>
        <v/>
      </c>
    </row>
    <row r="2223" spans="1:10" x14ac:dyDescent="0.3">
      <c r="A2223" s="27" t="s">
        <v>499</v>
      </c>
      <c r="B2223" s="27" t="str">
        <f>"52.1401"</f>
        <v>52.1401</v>
      </c>
      <c r="C2223" s="64" t="s">
        <v>500</v>
      </c>
      <c r="D2223" s="27" t="s">
        <v>2229</v>
      </c>
      <c r="E2223" s="27" t="s">
        <v>2232</v>
      </c>
      <c r="F2223" s="27" t="str">
        <f>"52.1401"</f>
        <v>52.1401</v>
      </c>
      <c r="G2223" s="27" t="s">
        <v>500</v>
      </c>
      <c r="H2223" s="65" t="str">
        <f t="shared" si="102"/>
        <v>No Change</v>
      </c>
      <c r="I2223" s="65" t="str">
        <f t="shared" si="103"/>
        <v>521401</v>
      </c>
      <c r="J2223" s="65" t="str">
        <f t="shared" si="104"/>
        <v>521401</v>
      </c>
    </row>
    <row r="2224" spans="1:10" x14ac:dyDescent="0.3">
      <c r="A2224" s="27" t="s">
        <v>5440</v>
      </c>
      <c r="B2224" s="27" t="str">
        <f>"52.1402"</f>
        <v>52.1402</v>
      </c>
      <c r="C2224" s="64" t="s">
        <v>5441</v>
      </c>
      <c r="D2224" s="27" t="s">
        <v>2229</v>
      </c>
      <c r="E2224" s="27" t="s">
        <v>2232</v>
      </c>
      <c r="F2224" s="27" t="str">
        <f>"52.1402"</f>
        <v>52.1402</v>
      </c>
      <c r="G2224" s="27" t="s">
        <v>5441</v>
      </c>
      <c r="H2224" s="65" t="str">
        <f t="shared" si="102"/>
        <v>No Change</v>
      </c>
      <c r="I2224" s="65" t="str">
        <f t="shared" si="103"/>
        <v>521402</v>
      </c>
      <c r="J2224" s="65" t="str">
        <f t="shared" si="104"/>
        <v>521402</v>
      </c>
    </row>
    <row r="2225" spans="1:10" x14ac:dyDescent="0.3">
      <c r="A2225" s="27" t="s">
        <v>5442</v>
      </c>
      <c r="B2225" s="27" t="str">
        <f>"52.1403"</f>
        <v>52.1403</v>
      </c>
      <c r="C2225" s="64" t="s">
        <v>5443</v>
      </c>
      <c r="D2225" s="27" t="s">
        <v>2229</v>
      </c>
      <c r="E2225" s="27" t="s">
        <v>2232</v>
      </c>
      <c r="F2225" s="27" t="str">
        <f>"52.1403"</f>
        <v>52.1403</v>
      </c>
      <c r="G2225" s="27" t="s">
        <v>5443</v>
      </c>
      <c r="H2225" s="65" t="str">
        <f t="shared" si="102"/>
        <v>No Change</v>
      </c>
      <c r="I2225" s="65" t="str">
        <f t="shared" si="103"/>
        <v>521403</v>
      </c>
      <c r="J2225" s="65" t="str">
        <f t="shared" si="104"/>
        <v>521403</v>
      </c>
    </row>
    <row r="2226" spans="1:10" x14ac:dyDescent="0.3">
      <c r="A2226" s="27" t="s">
        <v>1869</v>
      </c>
      <c r="D2226" s="27" t="s">
        <v>2255</v>
      </c>
      <c r="E2226" s="27" t="s">
        <v>2232</v>
      </c>
      <c r="F2226" s="27" t="str">
        <f>"52.1404"</f>
        <v>52.1404</v>
      </c>
      <c r="G2226" s="27" t="s">
        <v>5444</v>
      </c>
      <c r="H2226" s="65" t="str">
        <f t="shared" si="102"/>
        <v>Other</v>
      </c>
      <c r="I2226" s="65" t="str">
        <f t="shared" si="103"/>
        <v/>
      </c>
      <c r="J2226" s="65" t="str">
        <f t="shared" si="104"/>
        <v>521404</v>
      </c>
    </row>
    <row r="2227" spans="1:10" x14ac:dyDescent="0.3">
      <c r="A2227" s="27" t="s">
        <v>5445</v>
      </c>
      <c r="B2227" s="27" t="str">
        <f>"52.1499"</f>
        <v>52.1499</v>
      </c>
      <c r="C2227" s="64" t="s">
        <v>5446</v>
      </c>
      <c r="D2227" s="27" t="s">
        <v>2229</v>
      </c>
      <c r="E2227" s="27" t="s">
        <v>2232</v>
      </c>
      <c r="F2227" s="27" t="str">
        <f>"52.1499"</f>
        <v>52.1499</v>
      </c>
      <c r="G2227" s="27" t="s">
        <v>5446</v>
      </c>
      <c r="H2227" s="65" t="str">
        <f t="shared" si="102"/>
        <v>No Change</v>
      </c>
      <c r="I2227" s="65" t="str">
        <f t="shared" si="103"/>
        <v>521499</v>
      </c>
      <c r="J2227" s="65" t="str">
        <f t="shared" si="104"/>
        <v>521499</v>
      </c>
    </row>
    <row r="2228" spans="1:10" x14ac:dyDescent="0.3">
      <c r="A2228" s="27" t="s">
        <v>1869</v>
      </c>
      <c r="B2228" s="27" t="str">
        <f>"52.15"</f>
        <v>52.15</v>
      </c>
      <c r="C2228" s="64" t="s">
        <v>181</v>
      </c>
      <c r="D2228" s="27" t="s">
        <v>2229</v>
      </c>
      <c r="E2228" s="27" t="s">
        <v>2232</v>
      </c>
      <c r="F2228" s="27" t="str">
        <f>"52.15"</f>
        <v>52.15</v>
      </c>
      <c r="G2228" s="27" t="s">
        <v>181</v>
      </c>
      <c r="H2228" s="65" t="str">
        <f t="shared" si="102"/>
        <v>No Change</v>
      </c>
      <c r="I2228" s="65" t="str">
        <f t="shared" si="103"/>
        <v/>
      </c>
      <c r="J2228" s="65" t="str">
        <f t="shared" si="104"/>
        <v/>
      </c>
    </row>
    <row r="2229" spans="1:10" x14ac:dyDescent="0.3">
      <c r="A2229" s="27" t="s">
        <v>180</v>
      </c>
      <c r="B2229" s="27" t="str">
        <f>"52.1501"</f>
        <v>52.1501</v>
      </c>
      <c r="C2229" s="64" t="s">
        <v>181</v>
      </c>
      <c r="D2229" s="27" t="s">
        <v>2229</v>
      </c>
      <c r="E2229" s="27" t="s">
        <v>2232</v>
      </c>
      <c r="F2229" s="27" t="str">
        <f>"52.1501"</f>
        <v>52.1501</v>
      </c>
      <c r="G2229" s="27" t="s">
        <v>181</v>
      </c>
      <c r="H2229" s="65" t="str">
        <f t="shared" si="102"/>
        <v>No Change</v>
      </c>
      <c r="I2229" s="65" t="str">
        <f t="shared" si="103"/>
        <v>521501</v>
      </c>
      <c r="J2229" s="65" t="str">
        <f t="shared" si="104"/>
        <v>521501</v>
      </c>
    </row>
    <row r="2230" spans="1:10" x14ac:dyDescent="0.3">
      <c r="A2230" s="27" t="s">
        <v>1869</v>
      </c>
      <c r="B2230" s="27" t="str">
        <f>"52.16"</f>
        <v>52.16</v>
      </c>
      <c r="C2230" s="64" t="s">
        <v>5447</v>
      </c>
      <c r="D2230" s="27" t="s">
        <v>2229</v>
      </c>
      <c r="E2230" s="27" t="s">
        <v>2232</v>
      </c>
      <c r="F2230" s="27" t="str">
        <f>"52.16"</f>
        <v>52.16</v>
      </c>
      <c r="G2230" s="27" t="s">
        <v>5447</v>
      </c>
      <c r="H2230" s="65" t="str">
        <f t="shared" si="102"/>
        <v>No Change</v>
      </c>
      <c r="I2230" s="65" t="str">
        <f t="shared" si="103"/>
        <v/>
      </c>
      <c r="J2230" s="65" t="str">
        <f t="shared" si="104"/>
        <v/>
      </c>
    </row>
    <row r="2231" spans="1:10" x14ac:dyDescent="0.3">
      <c r="A2231" s="27" t="s">
        <v>5448</v>
      </c>
      <c r="B2231" s="27" t="str">
        <f>"52.1601"</f>
        <v>52.1601</v>
      </c>
      <c r="C2231" s="64" t="s">
        <v>5447</v>
      </c>
      <c r="D2231" s="27" t="s">
        <v>2229</v>
      </c>
      <c r="E2231" s="27" t="s">
        <v>2232</v>
      </c>
      <c r="F2231" s="27" t="str">
        <f>"52.1601"</f>
        <v>52.1601</v>
      </c>
      <c r="G2231" s="27" t="s">
        <v>5447</v>
      </c>
      <c r="H2231" s="65" t="str">
        <f t="shared" si="102"/>
        <v>No Change</v>
      </c>
      <c r="I2231" s="65" t="str">
        <f t="shared" si="103"/>
        <v>521601</v>
      </c>
      <c r="J2231" s="65" t="str">
        <f t="shared" si="104"/>
        <v>521601</v>
      </c>
    </row>
    <row r="2232" spans="1:10" x14ac:dyDescent="0.3">
      <c r="A2232" s="27" t="s">
        <v>1869</v>
      </c>
      <c r="B2232" s="27" t="str">
        <f>"52.17"</f>
        <v>52.17</v>
      </c>
      <c r="C2232" s="64" t="s">
        <v>5449</v>
      </c>
      <c r="D2232" s="27" t="s">
        <v>2229</v>
      </c>
      <c r="E2232" s="27" t="s">
        <v>2232</v>
      </c>
      <c r="F2232" s="27" t="str">
        <f>"52.17"</f>
        <v>52.17</v>
      </c>
      <c r="G2232" s="27" t="s">
        <v>5449</v>
      </c>
      <c r="H2232" s="65" t="str">
        <f t="shared" si="102"/>
        <v>No Change</v>
      </c>
      <c r="I2232" s="65" t="str">
        <f t="shared" si="103"/>
        <v/>
      </c>
      <c r="J2232" s="65" t="str">
        <f t="shared" si="104"/>
        <v/>
      </c>
    </row>
    <row r="2233" spans="1:10" x14ac:dyDescent="0.3">
      <c r="A2233" s="27" t="s">
        <v>5450</v>
      </c>
      <c r="B2233" s="27" t="str">
        <f>"52.1701"</f>
        <v>52.1701</v>
      </c>
      <c r="C2233" s="64" t="s">
        <v>5449</v>
      </c>
      <c r="D2233" s="27" t="s">
        <v>2229</v>
      </c>
      <c r="E2233" s="27" t="s">
        <v>2232</v>
      </c>
      <c r="F2233" s="27" t="str">
        <f>"52.1701"</f>
        <v>52.1701</v>
      </c>
      <c r="G2233" s="27" t="s">
        <v>5449</v>
      </c>
      <c r="H2233" s="65" t="str">
        <f t="shared" si="102"/>
        <v>No Change</v>
      </c>
      <c r="I2233" s="65" t="str">
        <f t="shared" si="103"/>
        <v>521701</v>
      </c>
      <c r="J2233" s="65" t="str">
        <f t="shared" si="104"/>
        <v>521701</v>
      </c>
    </row>
    <row r="2234" spans="1:10" ht="28.8" x14ac:dyDescent="0.3">
      <c r="A2234" s="27" t="s">
        <v>1869</v>
      </c>
      <c r="B2234" s="27" t="str">
        <f>"52.18"</f>
        <v>52.18</v>
      </c>
      <c r="C2234" s="64" t="s">
        <v>5451</v>
      </c>
      <c r="D2234" s="27" t="s">
        <v>2229</v>
      </c>
      <c r="E2234" s="27" t="s">
        <v>2232</v>
      </c>
      <c r="F2234" s="27" t="str">
        <f>"52.18"</f>
        <v>52.18</v>
      </c>
      <c r="G2234" s="27" t="s">
        <v>5451</v>
      </c>
      <c r="H2234" s="65" t="str">
        <f t="shared" si="102"/>
        <v>No Change</v>
      </c>
      <c r="I2234" s="65" t="str">
        <f t="shared" si="103"/>
        <v/>
      </c>
      <c r="J2234" s="65" t="str">
        <f t="shared" si="104"/>
        <v/>
      </c>
    </row>
    <row r="2235" spans="1:10" x14ac:dyDescent="0.3">
      <c r="A2235" s="27" t="s">
        <v>5452</v>
      </c>
      <c r="B2235" s="27" t="str">
        <f>"52.1801"</f>
        <v>52.1801</v>
      </c>
      <c r="C2235" s="64" t="s">
        <v>5453</v>
      </c>
      <c r="D2235" s="27" t="s">
        <v>2229</v>
      </c>
      <c r="E2235" s="27" t="s">
        <v>2232</v>
      </c>
      <c r="F2235" s="27" t="str">
        <f>"52.1801"</f>
        <v>52.1801</v>
      </c>
      <c r="G2235" s="27" t="s">
        <v>5453</v>
      </c>
      <c r="H2235" s="65" t="str">
        <f t="shared" si="102"/>
        <v>No Change</v>
      </c>
      <c r="I2235" s="65" t="str">
        <f t="shared" si="103"/>
        <v>521801</v>
      </c>
      <c r="J2235" s="65" t="str">
        <f t="shared" si="104"/>
        <v>521801</v>
      </c>
    </row>
    <row r="2236" spans="1:10" x14ac:dyDescent="0.3">
      <c r="A2236" s="27" t="s">
        <v>5454</v>
      </c>
      <c r="B2236" s="27" t="str">
        <f>"52.1802"</f>
        <v>52.1802</v>
      </c>
      <c r="C2236" s="64" t="s">
        <v>5455</v>
      </c>
      <c r="D2236" s="27" t="s">
        <v>2229</v>
      </c>
      <c r="E2236" s="27" t="s">
        <v>2232</v>
      </c>
      <c r="F2236" s="27" t="str">
        <f>"52.1802"</f>
        <v>52.1802</v>
      </c>
      <c r="G2236" s="27" t="s">
        <v>5455</v>
      </c>
      <c r="H2236" s="65" t="str">
        <f t="shared" si="102"/>
        <v>No Change</v>
      </c>
      <c r="I2236" s="65" t="str">
        <f t="shared" si="103"/>
        <v>521802</v>
      </c>
      <c r="J2236" s="65" t="str">
        <f t="shared" si="104"/>
        <v>521802</v>
      </c>
    </row>
    <row r="2237" spans="1:10" x14ac:dyDescent="0.3">
      <c r="A2237" s="27" t="s">
        <v>5456</v>
      </c>
      <c r="B2237" s="27" t="str">
        <f>"52.1803"</f>
        <v>52.1803</v>
      </c>
      <c r="C2237" s="64" t="s">
        <v>5457</v>
      </c>
      <c r="D2237" s="27" t="s">
        <v>2229</v>
      </c>
      <c r="E2237" s="27" t="s">
        <v>2232</v>
      </c>
      <c r="F2237" s="27" t="str">
        <f>"52.1803"</f>
        <v>52.1803</v>
      </c>
      <c r="G2237" s="27" t="s">
        <v>5457</v>
      </c>
      <c r="H2237" s="65" t="str">
        <f t="shared" si="102"/>
        <v>No Change</v>
      </c>
      <c r="I2237" s="65" t="str">
        <f t="shared" si="103"/>
        <v>521803</v>
      </c>
      <c r="J2237" s="65" t="str">
        <f t="shared" si="104"/>
        <v>521803</v>
      </c>
    </row>
    <row r="2238" spans="1:10" x14ac:dyDescent="0.3">
      <c r="A2238" s="27" t="s">
        <v>5458</v>
      </c>
      <c r="B2238" s="27" t="str">
        <f>"52.1804"</f>
        <v>52.1804</v>
      </c>
      <c r="C2238" s="64" t="s">
        <v>5459</v>
      </c>
      <c r="D2238" s="27" t="s">
        <v>2229</v>
      </c>
      <c r="E2238" s="27" t="s">
        <v>2232</v>
      </c>
      <c r="F2238" s="27" t="str">
        <f>"52.1804"</f>
        <v>52.1804</v>
      </c>
      <c r="G2238" s="27" t="s">
        <v>5459</v>
      </c>
      <c r="H2238" s="65" t="str">
        <f t="shared" si="102"/>
        <v>No Change</v>
      </c>
      <c r="I2238" s="65" t="str">
        <f t="shared" si="103"/>
        <v>521804</v>
      </c>
      <c r="J2238" s="65" t="str">
        <f t="shared" si="104"/>
        <v>521804</v>
      </c>
    </row>
    <row r="2239" spans="1:10" ht="28.8" x14ac:dyDescent="0.3">
      <c r="A2239" s="27" t="s">
        <v>5460</v>
      </c>
      <c r="B2239" s="27" t="str">
        <f>"52.1899"</f>
        <v>52.1899</v>
      </c>
      <c r="C2239" s="64" t="s">
        <v>5461</v>
      </c>
      <c r="D2239" s="27" t="s">
        <v>2229</v>
      </c>
      <c r="E2239" s="27" t="s">
        <v>2232</v>
      </c>
      <c r="F2239" s="27" t="str">
        <f>"52.1899"</f>
        <v>52.1899</v>
      </c>
      <c r="G2239" s="27" t="s">
        <v>5461</v>
      </c>
      <c r="H2239" s="65" t="str">
        <f t="shared" si="102"/>
        <v>No Change</v>
      </c>
      <c r="I2239" s="65" t="str">
        <f t="shared" si="103"/>
        <v>521899</v>
      </c>
      <c r="J2239" s="65" t="str">
        <f t="shared" si="104"/>
        <v>521899</v>
      </c>
    </row>
    <row r="2240" spans="1:10" x14ac:dyDescent="0.3">
      <c r="A2240" s="27" t="s">
        <v>1869</v>
      </c>
      <c r="B2240" s="27" t="str">
        <f>"52.19"</f>
        <v>52.19</v>
      </c>
      <c r="C2240" s="64" t="s">
        <v>5462</v>
      </c>
      <c r="D2240" s="27" t="s">
        <v>2229</v>
      </c>
      <c r="E2240" s="27" t="s">
        <v>2232</v>
      </c>
      <c r="F2240" s="27" t="str">
        <f>"52.19"</f>
        <v>52.19</v>
      </c>
      <c r="G2240" s="27" t="s">
        <v>5462</v>
      </c>
      <c r="H2240" s="65" t="str">
        <f t="shared" si="102"/>
        <v>No Change</v>
      </c>
      <c r="I2240" s="65" t="str">
        <f t="shared" si="103"/>
        <v/>
      </c>
      <c r="J2240" s="65" t="str">
        <f t="shared" si="104"/>
        <v/>
      </c>
    </row>
    <row r="2241" spans="1:10" x14ac:dyDescent="0.3">
      <c r="A2241" s="27" t="s">
        <v>5463</v>
      </c>
      <c r="B2241" s="27" t="str">
        <f>"52.1901"</f>
        <v>52.1901</v>
      </c>
      <c r="C2241" s="64" t="s">
        <v>5464</v>
      </c>
      <c r="D2241" s="27" t="s">
        <v>2229</v>
      </c>
      <c r="E2241" s="27" t="s">
        <v>2232</v>
      </c>
      <c r="F2241" s="27" t="str">
        <f>"52.1901"</f>
        <v>52.1901</v>
      </c>
      <c r="G2241" s="27" t="s">
        <v>5464</v>
      </c>
      <c r="H2241" s="65" t="str">
        <f t="shared" si="102"/>
        <v>No Change</v>
      </c>
      <c r="I2241" s="65" t="str">
        <f t="shared" si="103"/>
        <v>521901</v>
      </c>
      <c r="J2241" s="65" t="str">
        <f t="shared" si="104"/>
        <v>521901</v>
      </c>
    </row>
    <row r="2242" spans="1:10" x14ac:dyDescent="0.3">
      <c r="A2242" s="27" t="s">
        <v>1706</v>
      </c>
      <c r="B2242" s="27" t="str">
        <f>"52.1902"</f>
        <v>52.1902</v>
      </c>
      <c r="C2242" s="64" t="s">
        <v>1707</v>
      </c>
      <c r="D2242" s="27" t="s">
        <v>2229</v>
      </c>
      <c r="E2242" s="27" t="s">
        <v>2232</v>
      </c>
      <c r="F2242" s="27" t="str">
        <f>"52.1902"</f>
        <v>52.1902</v>
      </c>
      <c r="G2242" s="27" t="s">
        <v>1707</v>
      </c>
      <c r="H2242" s="65" t="str">
        <f t="shared" si="102"/>
        <v>No Change</v>
      </c>
      <c r="I2242" s="65" t="str">
        <f t="shared" si="103"/>
        <v>521902</v>
      </c>
      <c r="J2242" s="65" t="str">
        <f t="shared" si="104"/>
        <v>521902</v>
      </c>
    </row>
    <row r="2243" spans="1:10" x14ac:dyDescent="0.3">
      <c r="A2243" s="27" t="s">
        <v>5465</v>
      </c>
      <c r="B2243" s="27" t="str">
        <f>"52.1903"</f>
        <v>52.1903</v>
      </c>
      <c r="C2243" s="64" t="s">
        <v>5466</v>
      </c>
      <c r="D2243" s="27" t="s">
        <v>2229</v>
      </c>
      <c r="E2243" s="27" t="s">
        <v>2232</v>
      </c>
      <c r="F2243" s="27" t="str">
        <f>"52.1903"</f>
        <v>52.1903</v>
      </c>
      <c r="G2243" s="27" t="s">
        <v>5466</v>
      </c>
      <c r="H2243" s="65" t="str">
        <f t="shared" ref="H2243:H2306" si="105">IF(I2243=J2243,"No Change","Other")</f>
        <v>No Change</v>
      </c>
      <c r="I2243" s="65" t="str">
        <f t="shared" ref="I2243:I2306" si="106">SUBSTITUTE(IF(SUM(LEN(B2243))&lt;7,"",B2243),".","")</f>
        <v>521903</v>
      </c>
      <c r="J2243" s="65" t="str">
        <f t="shared" ref="J2243:J2306" si="107">SUBSTITUTE(IF(SUM(LEN(F2243))&lt;7,"",F2243),".","")</f>
        <v>521903</v>
      </c>
    </row>
    <row r="2244" spans="1:10" x14ac:dyDescent="0.3">
      <c r="A2244" s="27" t="s">
        <v>5467</v>
      </c>
      <c r="B2244" s="27" t="str">
        <f>"52.1904"</f>
        <v>52.1904</v>
      </c>
      <c r="C2244" s="64" t="s">
        <v>5468</v>
      </c>
      <c r="D2244" s="27" t="s">
        <v>2229</v>
      </c>
      <c r="E2244" s="27" t="s">
        <v>2232</v>
      </c>
      <c r="F2244" s="27" t="str">
        <f>"52.1904"</f>
        <v>52.1904</v>
      </c>
      <c r="G2244" s="27" t="s">
        <v>5468</v>
      </c>
      <c r="H2244" s="65" t="str">
        <f t="shared" si="105"/>
        <v>No Change</v>
      </c>
      <c r="I2244" s="65" t="str">
        <f t="shared" si="106"/>
        <v>521904</v>
      </c>
      <c r="J2244" s="65" t="str">
        <f t="shared" si="107"/>
        <v>521904</v>
      </c>
    </row>
    <row r="2245" spans="1:10" x14ac:dyDescent="0.3">
      <c r="A2245" s="27" t="s">
        <v>5469</v>
      </c>
      <c r="B2245" s="27" t="str">
        <f>"52.1905"</f>
        <v>52.1905</v>
      </c>
      <c r="C2245" s="64" t="s">
        <v>5470</v>
      </c>
      <c r="D2245" s="27" t="s">
        <v>2229</v>
      </c>
      <c r="E2245" s="27" t="s">
        <v>2232</v>
      </c>
      <c r="F2245" s="27" t="str">
        <f>"52.1905"</f>
        <v>52.1905</v>
      </c>
      <c r="G2245" s="27" t="s">
        <v>5470</v>
      </c>
      <c r="H2245" s="65" t="str">
        <f t="shared" si="105"/>
        <v>No Change</v>
      </c>
      <c r="I2245" s="65" t="str">
        <f t="shared" si="106"/>
        <v>521905</v>
      </c>
      <c r="J2245" s="65" t="str">
        <f t="shared" si="107"/>
        <v>521905</v>
      </c>
    </row>
    <row r="2246" spans="1:10" x14ac:dyDescent="0.3">
      <c r="A2246" s="27" t="s">
        <v>1389</v>
      </c>
      <c r="B2246" s="27" t="str">
        <f>"52.1906"</f>
        <v>52.1906</v>
      </c>
      <c r="C2246" s="64" t="s">
        <v>1390</v>
      </c>
      <c r="D2246" s="27" t="s">
        <v>2229</v>
      </c>
      <c r="E2246" s="27" t="s">
        <v>2232</v>
      </c>
      <c r="F2246" s="27" t="str">
        <f>"52.1906"</f>
        <v>52.1906</v>
      </c>
      <c r="G2246" s="27" t="s">
        <v>1390</v>
      </c>
      <c r="H2246" s="65" t="str">
        <f t="shared" si="105"/>
        <v>No Change</v>
      </c>
      <c r="I2246" s="65" t="str">
        <f t="shared" si="106"/>
        <v>521906</v>
      </c>
      <c r="J2246" s="65" t="str">
        <f t="shared" si="107"/>
        <v>521906</v>
      </c>
    </row>
    <row r="2247" spans="1:10" ht="28.8" x14ac:dyDescent="0.3">
      <c r="A2247" s="27" t="s">
        <v>5471</v>
      </c>
      <c r="B2247" s="27" t="str">
        <f>"52.1907"</f>
        <v>52.1907</v>
      </c>
      <c r="C2247" s="64" t="s">
        <v>5472</v>
      </c>
      <c r="D2247" s="27" t="s">
        <v>2229</v>
      </c>
      <c r="E2247" s="27" t="s">
        <v>2232</v>
      </c>
      <c r="F2247" s="27" t="str">
        <f>"52.1907"</f>
        <v>52.1907</v>
      </c>
      <c r="G2247" s="27" t="s">
        <v>5472</v>
      </c>
      <c r="H2247" s="65" t="str">
        <f t="shared" si="105"/>
        <v>No Change</v>
      </c>
      <c r="I2247" s="65" t="str">
        <f t="shared" si="106"/>
        <v>521907</v>
      </c>
      <c r="J2247" s="65" t="str">
        <f t="shared" si="107"/>
        <v>521907</v>
      </c>
    </row>
    <row r="2248" spans="1:10" ht="28.8" x14ac:dyDescent="0.3">
      <c r="A2248" s="27" t="s">
        <v>183</v>
      </c>
      <c r="B2248" s="27" t="str">
        <f>"52.1908"</f>
        <v>52.1908</v>
      </c>
      <c r="C2248" s="64" t="s">
        <v>184</v>
      </c>
      <c r="D2248" s="27" t="s">
        <v>2229</v>
      </c>
      <c r="E2248" s="27" t="s">
        <v>2232</v>
      </c>
      <c r="F2248" s="27" t="str">
        <f>"52.1908"</f>
        <v>52.1908</v>
      </c>
      <c r="G2248" s="27" t="s">
        <v>184</v>
      </c>
      <c r="H2248" s="65" t="str">
        <f t="shared" si="105"/>
        <v>No Change</v>
      </c>
      <c r="I2248" s="65" t="str">
        <f t="shared" si="106"/>
        <v>521908</v>
      </c>
      <c r="J2248" s="65" t="str">
        <f t="shared" si="107"/>
        <v>521908</v>
      </c>
    </row>
    <row r="2249" spans="1:10" x14ac:dyDescent="0.3">
      <c r="A2249" s="27" t="s">
        <v>5473</v>
      </c>
      <c r="B2249" s="27" t="str">
        <f>"52.1909"</f>
        <v>52.1909</v>
      </c>
      <c r="C2249" s="64" t="s">
        <v>5474</v>
      </c>
      <c r="D2249" s="27" t="s">
        <v>2229</v>
      </c>
      <c r="E2249" s="27" t="s">
        <v>2232</v>
      </c>
      <c r="F2249" s="27" t="str">
        <f>"52.1909"</f>
        <v>52.1909</v>
      </c>
      <c r="G2249" s="27" t="s">
        <v>5474</v>
      </c>
      <c r="H2249" s="65" t="str">
        <f t="shared" si="105"/>
        <v>No Change</v>
      </c>
      <c r="I2249" s="65" t="str">
        <f t="shared" si="106"/>
        <v>521909</v>
      </c>
      <c r="J2249" s="65" t="str">
        <f t="shared" si="107"/>
        <v>521909</v>
      </c>
    </row>
    <row r="2250" spans="1:10" x14ac:dyDescent="0.3">
      <c r="A2250" s="27" t="s">
        <v>5475</v>
      </c>
      <c r="B2250" s="27" t="str">
        <f>"52.1910"</f>
        <v>52.1910</v>
      </c>
      <c r="C2250" s="64" t="s">
        <v>5476</v>
      </c>
      <c r="D2250" s="27" t="s">
        <v>2229</v>
      </c>
      <c r="E2250" s="27" t="s">
        <v>2232</v>
      </c>
      <c r="F2250" s="27" t="str">
        <f>"52.1910"</f>
        <v>52.1910</v>
      </c>
      <c r="G2250" s="27" t="s">
        <v>5476</v>
      </c>
      <c r="H2250" s="65" t="str">
        <f t="shared" si="105"/>
        <v>No Change</v>
      </c>
      <c r="I2250" s="65" t="str">
        <f t="shared" si="106"/>
        <v>521910</v>
      </c>
      <c r="J2250" s="65" t="str">
        <f t="shared" si="107"/>
        <v>521910</v>
      </c>
    </row>
    <row r="2251" spans="1:10" ht="28.8" x14ac:dyDescent="0.3">
      <c r="A2251" s="27" t="s">
        <v>5477</v>
      </c>
      <c r="B2251" s="27" t="str">
        <f>"52.1999"</f>
        <v>52.1999</v>
      </c>
      <c r="C2251" s="64" t="s">
        <v>5478</v>
      </c>
      <c r="D2251" s="27" t="s">
        <v>2229</v>
      </c>
      <c r="E2251" s="27" t="s">
        <v>2232</v>
      </c>
      <c r="F2251" s="27" t="str">
        <f>"52.1999"</f>
        <v>52.1999</v>
      </c>
      <c r="G2251" s="27" t="s">
        <v>5478</v>
      </c>
      <c r="H2251" s="65" t="str">
        <f t="shared" si="105"/>
        <v>No Change</v>
      </c>
      <c r="I2251" s="65" t="str">
        <f t="shared" si="106"/>
        <v>521999</v>
      </c>
      <c r="J2251" s="65" t="str">
        <f t="shared" si="107"/>
        <v>521999</v>
      </c>
    </row>
    <row r="2252" spans="1:10" x14ac:dyDescent="0.3">
      <c r="A2252" s="27" t="s">
        <v>1869</v>
      </c>
      <c r="B2252" s="27" t="str">
        <f>"52.20"</f>
        <v>52.20</v>
      </c>
      <c r="C2252" s="64" t="s">
        <v>5479</v>
      </c>
      <c r="D2252" s="27" t="s">
        <v>2229</v>
      </c>
      <c r="E2252" s="27" t="s">
        <v>2232</v>
      </c>
      <c r="F2252" s="27" t="str">
        <f>"52.20"</f>
        <v>52.20</v>
      </c>
      <c r="G2252" s="27" t="s">
        <v>5479</v>
      </c>
      <c r="H2252" s="65" t="str">
        <f t="shared" si="105"/>
        <v>No Change</v>
      </c>
      <c r="I2252" s="65" t="str">
        <f t="shared" si="106"/>
        <v/>
      </c>
      <c r="J2252" s="65" t="str">
        <f t="shared" si="107"/>
        <v/>
      </c>
    </row>
    <row r="2253" spans="1:10" x14ac:dyDescent="0.3">
      <c r="A2253" s="27" t="s">
        <v>5480</v>
      </c>
      <c r="B2253" s="27" t="str">
        <f>"52.2001"</f>
        <v>52.2001</v>
      </c>
      <c r="C2253" s="64" t="s">
        <v>5479</v>
      </c>
      <c r="D2253" s="27" t="s">
        <v>2229</v>
      </c>
      <c r="E2253" s="27" t="s">
        <v>2230</v>
      </c>
      <c r="F2253" s="27" t="str">
        <f>"52.2001"</f>
        <v>52.2001</v>
      </c>
      <c r="G2253" s="27" t="s">
        <v>5481</v>
      </c>
      <c r="H2253" s="65" t="str">
        <f t="shared" si="105"/>
        <v>No Change</v>
      </c>
      <c r="I2253" s="65" t="str">
        <f t="shared" si="106"/>
        <v>522001</v>
      </c>
      <c r="J2253" s="65" t="str">
        <f t="shared" si="107"/>
        <v>522001</v>
      </c>
    </row>
    <row r="2254" spans="1:10" x14ac:dyDescent="0.3">
      <c r="A2254" s="27" t="s">
        <v>1869</v>
      </c>
      <c r="D2254" s="27" t="s">
        <v>2255</v>
      </c>
      <c r="E2254" s="27" t="s">
        <v>2232</v>
      </c>
      <c r="F2254" s="27" t="str">
        <f>"52.2002"</f>
        <v>52.2002</v>
      </c>
      <c r="G2254" s="27" t="s">
        <v>5482</v>
      </c>
      <c r="H2254" s="65" t="str">
        <f t="shared" si="105"/>
        <v>Other</v>
      </c>
      <c r="I2254" s="65" t="str">
        <f t="shared" si="106"/>
        <v/>
      </c>
      <c r="J2254" s="65" t="str">
        <f t="shared" si="107"/>
        <v>522002</v>
      </c>
    </row>
    <row r="2255" spans="1:10" x14ac:dyDescent="0.3">
      <c r="A2255" s="27" t="s">
        <v>1869</v>
      </c>
      <c r="D2255" s="27" t="s">
        <v>2255</v>
      </c>
      <c r="E2255" s="27" t="s">
        <v>2232</v>
      </c>
      <c r="F2255" s="27" t="str">
        <f>"52.2099"</f>
        <v>52.2099</v>
      </c>
      <c r="G2255" s="27" t="s">
        <v>5483</v>
      </c>
      <c r="H2255" s="65" t="str">
        <f t="shared" si="105"/>
        <v>Other</v>
      </c>
      <c r="I2255" s="65" t="str">
        <f t="shared" si="106"/>
        <v/>
      </c>
      <c r="J2255" s="65" t="str">
        <f t="shared" si="107"/>
        <v>522099</v>
      </c>
    </row>
    <row r="2256" spans="1:10" x14ac:dyDescent="0.3">
      <c r="A2256" s="27" t="s">
        <v>1869</v>
      </c>
      <c r="B2256" s="27" t="str">
        <f>"52.21"</f>
        <v>52.21</v>
      </c>
      <c r="C2256" s="64" t="s">
        <v>5484</v>
      </c>
      <c r="D2256" s="27" t="s">
        <v>2229</v>
      </c>
      <c r="E2256" s="27" t="s">
        <v>2232</v>
      </c>
      <c r="F2256" s="27" t="str">
        <f>"52.21"</f>
        <v>52.21</v>
      </c>
      <c r="G2256" s="27" t="s">
        <v>5484</v>
      </c>
      <c r="H2256" s="65" t="str">
        <f t="shared" si="105"/>
        <v>No Change</v>
      </c>
      <c r="I2256" s="65" t="str">
        <f t="shared" si="106"/>
        <v/>
      </c>
      <c r="J2256" s="65" t="str">
        <f t="shared" si="107"/>
        <v/>
      </c>
    </row>
    <row r="2257" spans="1:10" x14ac:dyDescent="0.3">
      <c r="A2257" s="27" t="s">
        <v>5485</v>
      </c>
      <c r="B2257" s="27" t="str">
        <f>"52.2101"</f>
        <v>52.2101</v>
      </c>
      <c r="C2257" s="64" t="s">
        <v>5484</v>
      </c>
      <c r="D2257" s="27" t="s">
        <v>2229</v>
      </c>
      <c r="E2257" s="27" t="s">
        <v>2232</v>
      </c>
      <c r="F2257" s="27" t="str">
        <f>"52.2101"</f>
        <v>52.2101</v>
      </c>
      <c r="G2257" s="27" t="s">
        <v>5484</v>
      </c>
      <c r="H2257" s="65" t="str">
        <f t="shared" si="105"/>
        <v>No Change</v>
      </c>
      <c r="I2257" s="65" t="str">
        <f t="shared" si="106"/>
        <v>522101</v>
      </c>
      <c r="J2257" s="65" t="str">
        <f t="shared" si="107"/>
        <v>522101</v>
      </c>
    </row>
    <row r="2258" spans="1:10" ht="28.8" x14ac:dyDescent="0.3">
      <c r="A2258" s="27" t="s">
        <v>1869</v>
      </c>
      <c r="B2258" s="27" t="str">
        <f>"52.99"</f>
        <v>52.99</v>
      </c>
      <c r="C2258" s="64" t="s">
        <v>5486</v>
      </c>
      <c r="D2258" s="27" t="s">
        <v>2229</v>
      </c>
      <c r="E2258" s="27" t="s">
        <v>2232</v>
      </c>
      <c r="F2258" s="27" t="str">
        <f>"52.99"</f>
        <v>52.99</v>
      </c>
      <c r="G2258" s="27" t="s">
        <v>5486</v>
      </c>
      <c r="H2258" s="65" t="str">
        <f t="shared" si="105"/>
        <v>No Change</v>
      </c>
      <c r="I2258" s="65" t="str">
        <f t="shared" si="106"/>
        <v/>
      </c>
      <c r="J2258" s="65" t="str">
        <f t="shared" si="107"/>
        <v/>
      </c>
    </row>
    <row r="2259" spans="1:10" ht="28.8" x14ac:dyDescent="0.3">
      <c r="A2259" s="27" t="s">
        <v>5487</v>
      </c>
      <c r="B2259" s="27" t="str">
        <f>"52.9999"</f>
        <v>52.9999</v>
      </c>
      <c r="C2259" s="64" t="s">
        <v>5486</v>
      </c>
      <c r="D2259" s="27" t="s">
        <v>2229</v>
      </c>
      <c r="E2259" s="27" t="s">
        <v>2232</v>
      </c>
      <c r="F2259" s="27" t="str">
        <f>"52.9999"</f>
        <v>52.9999</v>
      </c>
      <c r="G2259" s="27" t="s">
        <v>5486</v>
      </c>
      <c r="H2259" s="65" t="str">
        <f t="shared" si="105"/>
        <v>No Change</v>
      </c>
      <c r="I2259" s="65" t="str">
        <f t="shared" si="106"/>
        <v>529999</v>
      </c>
      <c r="J2259" s="65" t="str">
        <f t="shared" si="107"/>
        <v>529999</v>
      </c>
    </row>
    <row r="2260" spans="1:10" x14ac:dyDescent="0.3">
      <c r="A2260" s="27" t="s">
        <v>1869</v>
      </c>
      <c r="B2260" s="27" t="str">
        <f>"53"</f>
        <v>53</v>
      </c>
      <c r="C2260" s="64" t="s">
        <v>5488</v>
      </c>
      <c r="D2260" s="27" t="s">
        <v>2229</v>
      </c>
      <c r="E2260" s="27" t="s">
        <v>2232</v>
      </c>
      <c r="F2260" s="27" t="str">
        <f>"53"</f>
        <v>53</v>
      </c>
      <c r="G2260" s="27" t="s">
        <v>5488</v>
      </c>
      <c r="H2260" s="65" t="str">
        <f t="shared" si="105"/>
        <v>No Change</v>
      </c>
      <c r="I2260" s="65" t="str">
        <f t="shared" si="106"/>
        <v/>
      </c>
      <c r="J2260" s="65" t="str">
        <f t="shared" si="107"/>
        <v/>
      </c>
    </row>
    <row r="2261" spans="1:10" x14ac:dyDescent="0.3">
      <c r="A2261" s="27" t="s">
        <v>1869</v>
      </c>
      <c r="B2261" s="27" t="str">
        <f>"53.01"</f>
        <v>53.01</v>
      </c>
      <c r="C2261" s="64" t="s">
        <v>5489</v>
      </c>
      <c r="D2261" s="27" t="s">
        <v>2229</v>
      </c>
      <c r="E2261" s="27" t="s">
        <v>2232</v>
      </c>
      <c r="F2261" s="27" t="str">
        <f>"53.01"</f>
        <v>53.01</v>
      </c>
      <c r="G2261" s="27" t="s">
        <v>5489</v>
      </c>
      <c r="H2261" s="65" t="str">
        <f t="shared" si="105"/>
        <v>No Change</v>
      </c>
      <c r="I2261" s="65" t="str">
        <f t="shared" si="106"/>
        <v/>
      </c>
      <c r="J2261" s="65" t="str">
        <f t="shared" si="107"/>
        <v/>
      </c>
    </row>
    <row r="2262" spans="1:10" x14ac:dyDescent="0.3">
      <c r="A2262" s="27" t="s">
        <v>5490</v>
      </c>
      <c r="B2262" s="27" t="str">
        <f>"53.0101"</f>
        <v>53.0101</v>
      </c>
      <c r="C2262" s="64" t="s">
        <v>5491</v>
      </c>
      <c r="D2262" s="27" t="s">
        <v>2229</v>
      </c>
      <c r="E2262" s="27" t="s">
        <v>2232</v>
      </c>
      <c r="F2262" s="27" t="str">
        <f>"53.0101"</f>
        <v>53.0101</v>
      </c>
      <c r="G2262" s="27" t="s">
        <v>5491</v>
      </c>
      <c r="H2262" s="65" t="str">
        <f t="shared" si="105"/>
        <v>No Change</v>
      </c>
      <c r="I2262" s="65" t="str">
        <f t="shared" si="106"/>
        <v>530101</v>
      </c>
      <c r="J2262" s="65" t="str">
        <f t="shared" si="107"/>
        <v>530101</v>
      </c>
    </row>
    <row r="2263" spans="1:10" ht="28.8" x14ac:dyDescent="0.3">
      <c r="A2263" s="27" t="s">
        <v>5492</v>
      </c>
      <c r="B2263" s="27" t="str">
        <f>"53.0102"</f>
        <v>53.0102</v>
      </c>
      <c r="C2263" s="64" t="s">
        <v>5493</v>
      </c>
      <c r="D2263" s="27" t="s">
        <v>2229</v>
      </c>
      <c r="E2263" s="27" t="s">
        <v>2232</v>
      </c>
      <c r="F2263" s="27" t="str">
        <f>"53.0102"</f>
        <v>53.0102</v>
      </c>
      <c r="G2263" s="27" t="s">
        <v>5493</v>
      </c>
      <c r="H2263" s="65" t="str">
        <f t="shared" si="105"/>
        <v>No Change</v>
      </c>
      <c r="I2263" s="65" t="str">
        <f t="shared" si="106"/>
        <v>530102</v>
      </c>
      <c r="J2263" s="65" t="str">
        <f t="shared" si="107"/>
        <v>530102</v>
      </c>
    </row>
    <row r="2264" spans="1:10" ht="28.8" x14ac:dyDescent="0.3">
      <c r="A2264" s="27" t="s">
        <v>5494</v>
      </c>
      <c r="B2264" s="27" t="str">
        <f>"53.0103"</f>
        <v>53.0103</v>
      </c>
      <c r="C2264" s="64" t="s">
        <v>5495</v>
      </c>
      <c r="D2264" s="27" t="s">
        <v>2229</v>
      </c>
      <c r="E2264" s="27" t="s">
        <v>2232</v>
      </c>
      <c r="F2264" s="27" t="str">
        <f>"53.0103"</f>
        <v>53.0103</v>
      </c>
      <c r="G2264" s="27" t="s">
        <v>5495</v>
      </c>
      <c r="H2264" s="65" t="str">
        <f t="shared" si="105"/>
        <v>No Change</v>
      </c>
      <c r="I2264" s="65" t="str">
        <f t="shared" si="106"/>
        <v>530103</v>
      </c>
      <c r="J2264" s="65" t="str">
        <f t="shared" si="107"/>
        <v>530103</v>
      </c>
    </row>
    <row r="2265" spans="1:10" x14ac:dyDescent="0.3">
      <c r="A2265" s="27" t="s">
        <v>5496</v>
      </c>
      <c r="B2265" s="27" t="str">
        <f>"53.0104"</f>
        <v>53.0104</v>
      </c>
      <c r="C2265" s="64" t="s">
        <v>5497</v>
      </c>
      <c r="D2265" s="27" t="s">
        <v>2229</v>
      </c>
      <c r="E2265" s="27" t="s">
        <v>2232</v>
      </c>
      <c r="F2265" s="27" t="str">
        <f>"53.0104"</f>
        <v>53.0104</v>
      </c>
      <c r="G2265" s="27" t="s">
        <v>5497</v>
      </c>
      <c r="H2265" s="65" t="str">
        <f t="shared" si="105"/>
        <v>No Change</v>
      </c>
      <c r="I2265" s="65" t="str">
        <f t="shared" si="106"/>
        <v>530104</v>
      </c>
      <c r="J2265" s="65" t="str">
        <f t="shared" si="107"/>
        <v>530104</v>
      </c>
    </row>
    <row r="2266" spans="1:10" x14ac:dyDescent="0.3">
      <c r="A2266" s="27" t="s">
        <v>5498</v>
      </c>
      <c r="B2266" s="27" t="str">
        <f>"53.0105"</f>
        <v>53.0105</v>
      </c>
      <c r="C2266" s="64" t="s">
        <v>5499</v>
      </c>
      <c r="D2266" s="27" t="s">
        <v>2229</v>
      </c>
      <c r="E2266" s="27" t="s">
        <v>2232</v>
      </c>
      <c r="F2266" s="27" t="str">
        <f>"53.0105"</f>
        <v>53.0105</v>
      </c>
      <c r="G2266" s="27" t="s">
        <v>5499</v>
      </c>
      <c r="H2266" s="65" t="str">
        <f t="shared" si="105"/>
        <v>No Change</v>
      </c>
      <c r="I2266" s="65" t="str">
        <f t="shared" si="106"/>
        <v>530105</v>
      </c>
      <c r="J2266" s="65" t="str">
        <f t="shared" si="107"/>
        <v>530105</v>
      </c>
    </row>
    <row r="2267" spans="1:10" x14ac:dyDescent="0.3">
      <c r="A2267" s="27" t="s">
        <v>5500</v>
      </c>
      <c r="B2267" s="27" t="str">
        <f>"53.0199"</f>
        <v>53.0199</v>
      </c>
      <c r="C2267" s="64" t="s">
        <v>5501</v>
      </c>
      <c r="D2267" s="27" t="s">
        <v>2229</v>
      </c>
      <c r="E2267" s="27" t="s">
        <v>2232</v>
      </c>
      <c r="F2267" s="27" t="str">
        <f>"53.0199"</f>
        <v>53.0199</v>
      </c>
      <c r="G2267" s="27" t="s">
        <v>5501</v>
      </c>
      <c r="H2267" s="65" t="str">
        <f t="shared" si="105"/>
        <v>No Change</v>
      </c>
      <c r="I2267" s="65" t="str">
        <f t="shared" si="106"/>
        <v>530199</v>
      </c>
      <c r="J2267" s="65" t="str">
        <f t="shared" si="107"/>
        <v>530199</v>
      </c>
    </row>
    <row r="2268" spans="1:10" x14ac:dyDescent="0.3">
      <c r="A2268" s="27" t="s">
        <v>1869</v>
      </c>
      <c r="B2268" s="27" t="str">
        <f>"53.02"</f>
        <v>53.02</v>
      </c>
      <c r="C2268" s="64" t="s">
        <v>5502</v>
      </c>
      <c r="D2268" s="27" t="s">
        <v>2229</v>
      </c>
      <c r="E2268" s="27" t="s">
        <v>2232</v>
      </c>
      <c r="F2268" s="27" t="str">
        <f>"53.02"</f>
        <v>53.02</v>
      </c>
      <c r="G2268" s="27" t="s">
        <v>5502</v>
      </c>
      <c r="H2268" s="65" t="str">
        <f t="shared" si="105"/>
        <v>No Change</v>
      </c>
      <c r="I2268" s="65" t="str">
        <f t="shared" si="106"/>
        <v/>
      </c>
      <c r="J2268" s="65" t="str">
        <f t="shared" si="107"/>
        <v/>
      </c>
    </row>
    <row r="2269" spans="1:10" x14ac:dyDescent="0.3">
      <c r="A2269" s="27" t="s">
        <v>5503</v>
      </c>
      <c r="B2269" s="27" t="str">
        <f>"53.0201"</f>
        <v>53.0201</v>
      </c>
      <c r="C2269" s="64" t="s">
        <v>5504</v>
      </c>
      <c r="D2269" s="27" t="s">
        <v>2229</v>
      </c>
      <c r="E2269" s="27" t="s">
        <v>2232</v>
      </c>
      <c r="F2269" s="27" t="str">
        <f>"53.0201"</f>
        <v>53.0201</v>
      </c>
      <c r="G2269" s="27" t="s">
        <v>5504</v>
      </c>
      <c r="H2269" s="65" t="str">
        <f t="shared" si="105"/>
        <v>No Change</v>
      </c>
      <c r="I2269" s="65" t="str">
        <f t="shared" si="106"/>
        <v>530201</v>
      </c>
      <c r="J2269" s="65" t="str">
        <f t="shared" si="107"/>
        <v>530201</v>
      </c>
    </row>
    <row r="2270" spans="1:10" x14ac:dyDescent="0.3">
      <c r="A2270" s="27" t="s">
        <v>5505</v>
      </c>
      <c r="B2270" s="27" t="str">
        <f>"53.0202"</f>
        <v>53.0202</v>
      </c>
      <c r="C2270" s="64" t="s">
        <v>5506</v>
      </c>
      <c r="D2270" s="27" t="s">
        <v>2229</v>
      </c>
      <c r="E2270" s="27" t="s">
        <v>2232</v>
      </c>
      <c r="F2270" s="27" t="str">
        <f>"53.0202"</f>
        <v>53.0202</v>
      </c>
      <c r="G2270" s="27" t="s">
        <v>5506</v>
      </c>
      <c r="H2270" s="65" t="str">
        <f t="shared" si="105"/>
        <v>No Change</v>
      </c>
      <c r="I2270" s="65" t="str">
        <f t="shared" si="106"/>
        <v>530202</v>
      </c>
      <c r="J2270" s="65" t="str">
        <f t="shared" si="107"/>
        <v>530202</v>
      </c>
    </row>
    <row r="2271" spans="1:10" x14ac:dyDescent="0.3">
      <c r="A2271" s="27" t="s">
        <v>5507</v>
      </c>
      <c r="B2271" s="27" t="str">
        <f>"53.0203"</f>
        <v>53.0203</v>
      </c>
      <c r="C2271" s="64" t="s">
        <v>5508</v>
      </c>
      <c r="D2271" s="27" t="s">
        <v>2229</v>
      </c>
      <c r="E2271" s="27" t="s">
        <v>2232</v>
      </c>
      <c r="F2271" s="27" t="str">
        <f>"53.0203"</f>
        <v>53.0203</v>
      </c>
      <c r="G2271" s="27" t="s">
        <v>5508</v>
      </c>
      <c r="H2271" s="65" t="str">
        <f t="shared" si="105"/>
        <v>No Change</v>
      </c>
      <c r="I2271" s="65" t="str">
        <f t="shared" si="106"/>
        <v>530203</v>
      </c>
      <c r="J2271" s="65" t="str">
        <f t="shared" si="107"/>
        <v>530203</v>
      </c>
    </row>
    <row r="2272" spans="1:10" x14ac:dyDescent="0.3">
      <c r="A2272" s="27" t="s">
        <v>5509</v>
      </c>
      <c r="B2272" s="27" t="str">
        <f>"53.0299"</f>
        <v>53.0299</v>
      </c>
      <c r="C2272" s="64" t="s">
        <v>5510</v>
      </c>
      <c r="D2272" s="27" t="s">
        <v>2229</v>
      </c>
      <c r="E2272" s="27" t="s">
        <v>2232</v>
      </c>
      <c r="F2272" s="27" t="str">
        <f>"53.0299"</f>
        <v>53.0299</v>
      </c>
      <c r="G2272" s="27" t="s">
        <v>5510</v>
      </c>
      <c r="H2272" s="65" t="str">
        <f t="shared" si="105"/>
        <v>No Change</v>
      </c>
      <c r="I2272" s="65" t="str">
        <f t="shared" si="106"/>
        <v>530299</v>
      </c>
      <c r="J2272" s="65" t="str">
        <f t="shared" si="107"/>
        <v>530299</v>
      </c>
    </row>
    <row r="2273" spans="1:10" x14ac:dyDescent="0.3">
      <c r="A2273" s="27" t="s">
        <v>1869</v>
      </c>
      <c r="B2273" s="27" t="str">
        <f>"54"</f>
        <v>54</v>
      </c>
      <c r="C2273" s="64" t="s">
        <v>5511</v>
      </c>
      <c r="D2273" s="27" t="s">
        <v>2229</v>
      </c>
      <c r="E2273" s="27" t="s">
        <v>2232</v>
      </c>
      <c r="F2273" s="27" t="str">
        <f>"54"</f>
        <v>54</v>
      </c>
      <c r="G2273" s="27" t="s">
        <v>5511</v>
      </c>
      <c r="H2273" s="65" t="str">
        <f t="shared" si="105"/>
        <v>No Change</v>
      </c>
      <c r="I2273" s="65" t="str">
        <f t="shared" si="106"/>
        <v/>
      </c>
      <c r="J2273" s="65" t="str">
        <f t="shared" si="107"/>
        <v/>
      </c>
    </row>
    <row r="2274" spans="1:10" x14ac:dyDescent="0.3">
      <c r="A2274" s="27" t="s">
        <v>1869</v>
      </c>
      <c r="B2274" s="27" t="str">
        <f>"54.01"</f>
        <v>54.01</v>
      </c>
      <c r="C2274" s="64" t="s">
        <v>5512</v>
      </c>
      <c r="D2274" s="27" t="s">
        <v>2229</v>
      </c>
      <c r="E2274" s="27" t="s">
        <v>2232</v>
      </c>
      <c r="F2274" s="27" t="str">
        <f>"54.01"</f>
        <v>54.01</v>
      </c>
      <c r="G2274" s="27" t="s">
        <v>5512</v>
      </c>
      <c r="H2274" s="65" t="str">
        <f t="shared" si="105"/>
        <v>No Change</v>
      </c>
      <c r="I2274" s="65" t="str">
        <f t="shared" si="106"/>
        <v/>
      </c>
      <c r="J2274" s="65" t="str">
        <f t="shared" si="107"/>
        <v/>
      </c>
    </row>
    <row r="2275" spans="1:10" x14ac:dyDescent="0.3">
      <c r="A2275" s="27" t="s">
        <v>5513</v>
      </c>
      <c r="B2275" s="27" t="str">
        <f>"54.0101"</f>
        <v>54.0101</v>
      </c>
      <c r="C2275" s="64" t="s">
        <v>5514</v>
      </c>
      <c r="D2275" s="27" t="s">
        <v>2229</v>
      </c>
      <c r="E2275" s="27" t="s">
        <v>2232</v>
      </c>
      <c r="F2275" s="27" t="str">
        <f>"54.0101"</f>
        <v>54.0101</v>
      </c>
      <c r="G2275" s="27" t="s">
        <v>5514</v>
      </c>
      <c r="H2275" s="65" t="str">
        <f t="shared" si="105"/>
        <v>No Change</v>
      </c>
      <c r="I2275" s="65" t="str">
        <f t="shared" si="106"/>
        <v>540101</v>
      </c>
      <c r="J2275" s="65" t="str">
        <f t="shared" si="107"/>
        <v>540101</v>
      </c>
    </row>
    <row r="2276" spans="1:10" x14ac:dyDescent="0.3">
      <c r="A2276" s="27" t="s">
        <v>5515</v>
      </c>
      <c r="B2276" s="27" t="str">
        <f>"54.0102"</f>
        <v>54.0102</v>
      </c>
      <c r="C2276" s="64" t="s">
        <v>5516</v>
      </c>
      <c r="D2276" s="27" t="s">
        <v>2229</v>
      </c>
      <c r="E2276" s="27" t="s">
        <v>2232</v>
      </c>
      <c r="F2276" s="27" t="str">
        <f>"54.0102"</f>
        <v>54.0102</v>
      </c>
      <c r="G2276" s="27" t="s">
        <v>5516</v>
      </c>
      <c r="H2276" s="65" t="str">
        <f t="shared" si="105"/>
        <v>No Change</v>
      </c>
      <c r="I2276" s="65" t="str">
        <f t="shared" si="106"/>
        <v>540102</v>
      </c>
      <c r="J2276" s="65" t="str">
        <f t="shared" si="107"/>
        <v>540102</v>
      </c>
    </row>
    <row r="2277" spans="1:10" x14ac:dyDescent="0.3">
      <c r="A2277" s="27" t="s">
        <v>5517</v>
      </c>
      <c r="B2277" s="27" t="str">
        <f>"54.0103"</f>
        <v>54.0103</v>
      </c>
      <c r="C2277" s="64" t="s">
        <v>5518</v>
      </c>
      <c r="D2277" s="27" t="s">
        <v>2229</v>
      </c>
      <c r="E2277" s="27" t="s">
        <v>2232</v>
      </c>
      <c r="F2277" s="27" t="str">
        <f>"54.0103"</f>
        <v>54.0103</v>
      </c>
      <c r="G2277" s="27" t="s">
        <v>5518</v>
      </c>
      <c r="H2277" s="65" t="str">
        <f t="shared" si="105"/>
        <v>No Change</v>
      </c>
      <c r="I2277" s="65" t="str">
        <f t="shared" si="106"/>
        <v>540103</v>
      </c>
      <c r="J2277" s="65" t="str">
        <f t="shared" si="107"/>
        <v>540103</v>
      </c>
    </row>
    <row r="2278" spans="1:10" x14ac:dyDescent="0.3">
      <c r="A2278" s="27" t="s">
        <v>5519</v>
      </c>
      <c r="B2278" s="27" t="str">
        <f>"54.0104"</f>
        <v>54.0104</v>
      </c>
      <c r="C2278" s="64" t="s">
        <v>5520</v>
      </c>
      <c r="D2278" s="27" t="s">
        <v>2229</v>
      </c>
      <c r="E2278" s="27" t="s">
        <v>2232</v>
      </c>
      <c r="F2278" s="27" t="str">
        <f>"54.0104"</f>
        <v>54.0104</v>
      </c>
      <c r="G2278" s="27" t="s">
        <v>5520</v>
      </c>
      <c r="H2278" s="65" t="str">
        <f t="shared" si="105"/>
        <v>No Change</v>
      </c>
      <c r="I2278" s="65" t="str">
        <f t="shared" si="106"/>
        <v>540104</v>
      </c>
      <c r="J2278" s="65" t="str">
        <f t="shared" si="107"/>
        <v>540104</v>
      </c>
    </row>
    <row r="2279" spans="1:10" x14ac:dyDescent="0.3">
      <c r="A2279" s="27" t="s">
        <v>5521</v>
      </c>
      <c r="B2279" s="27" t="str">
        <f>"54.0105"</f>
        <v>54.0105</v>
      </c>
      <c r="C2279" s="64" t="s">
        <v>5522</v>
      </c>
      <c r="D2279" s="27" t="s">
        <v>2229</v>
      </c>
      <c r="E2279" s="27" t="s">
        <v>2232</v>
      </c>
      <c r="F2279" s="27" t="str">
        <f>"54.0105"</f>
        <v>54.0105</v>
      </c>
      <c r="G2279" s="27" t="s">
        <v>5522</v>
      </c>
      <c r="H2279" s="65" t="str">
        <f t="shared" si="105"/>
        <v>No Change</v>
      </c>
      <c r="I2279" s="65" t="str">
        <f t="shared" si="106"/>
        <v>540105</v>
      </c>
      <c r="J2279" s="65" t="str">
        <f t="shared" si="107"/>
        <v>540105</v>
      </c>
    </row>
    <row r="2280" spans="1:10" x14ac:dyDescent="0.3">
      <c r="A2280" s="27" t="s">
        <v>5523</v>
      </c>
      <c r="B2280" s="27" t="str">
        <f>"54.0106"</f>
        <v>54.0106</v>
      </c>
      <c r="C2280" s="64" t="s">
        <v>5524</v>
      </c>
      <c r="D2280" s="27" t="s">
        <v>2229</v>
      </c>
      <c r="E2280" s="27" t="s">
        <v>2232</v>
      </c>
      <c r="F2280" s="27" t="str">
        <f>"54.0106"</f>
        <v>54.0106</v>
      </c>
      <c r="G2280" s="27" t="s">
        <v>5524</v>
      </c>
      <c r="H2280" s="65" t="str">
        <f t="shared" si="105"/>
        <v>No Change</v>
      </c>
      <c r="I2280" s="65" t="str">
        <f t="shared" si="106"/>
        <v>540106</v>
      </c>
      <c r="J2280" s="65" t="str">
        <f t="shared" si="107"/>
        <v>540106</v>
      </c>
    </row>
    <row r="2281" spans="1:10" x14ac:dyDescent="0.3">
      <c r="A2281" s="27" t="s">
        <v>5525</v>
      </c>
      <c r="B2281" s="27" t="str">
        <f>"54.0107"</f>
        <v>54.0107</v>
      </c>
      <c r="C2281" s="64" t="s">
        <v>5526</v>
      </c>
      <c r="D2281" s="27" t="s">
        <v>2229</v>
      </c>
      <c r="E2281" s="27" t="s">
        <v>2232</v>
      </c>
      <c r="F2281" s="27" t="str">
        <f>"54.0107"</f>
        <v>54.0107</v>
      </c>
      <c r="G2281" s="27" t="s">
        <v>5526</v>
      </c>
      <c r="H2281" s="65" t="str">
        <f t="shared" si="105"/>
        <v>No Change</v>
      </c>
      <c r="I2281" s="65" t="str">
        <f t="shared" si="106"/>
        <v>540107</v>
      </c>
      <c r="J2281" s="65" t="str">
        <f t="shared" si="107"/>
        <v>540107</v>
      </c>
    </row>
    <row r="2282" spans="1:10" x14ac:dyDescent="0.3">
      <c r="A2282" s="27" t="s">
        <v>5527</v>
      </c>
      <c r="B2282" s="27" t="str">
        <f>"54.0108"</f>
        <v>54.0108</v>
      </c>
      <c r="C2282" s="64" t="s">
        <v>5528</v>
      </c>
      <c r="D2282" s="27" t="s">
        <v>2229</v>
      </c>
      <c r="E2282" s="27" t="s">
        <v>2232</v>
      </c>
      <c r="F2282" s="27" t="str">
        <f>"54.0108"</f>
        <v>54.0108</v>
      </c>
      <c r="G2282" s="27" t="s">
        <v>5528</v>
      </c>
      <c r="H2282" s="65" t="str">
        <f t="shared" si="105"/>
        <v>No Change</v>
      </c>
      <c r="I2282" s="65" t="str">
        <f t="shared" si="106"/>
        <v>540108</v>
      </c>
      <c r="J2282" s="65" t="str">
        <f t="shared" si="107"/>
        <v>540108</v>
      </c>
    </row>
    <row r="2283" spans="1:10" x14ac:dyDescent="0.3">
      <c r="A2283" s="27" t="s">
        <v>5529</v>
      </c>
      <c r="B2283" s="27" t="str">
        <f>"54.0199"</f>
        <v>54.0199</v>
      </c>
      <c r="C2283" s="64" t="s">
        <v>5530</v>
      </c>
      <c r="D2283" s="27" t="s">
        <v>2229</v>
      </c>
      <c r="E2283" s="27" t="s">
        <v>2232</v>
      </c>
      <c r="F2283" s="27" t="str">
        <f>"54.0199"</f>
        <v>54.0199</v>
      </c>
      <c r="G2283" s="27" t="s">
        <v>5530</v>
      </c>
      <c r="H2283" s="65" t="str">
        <f t="shared" si="105"/>
        <v>No Change</v>
      </c>
      <c r="I2283" s="65" t="str">
        <f t="shared" si="106"/>
        <v>540199</v>
      </c>
      <c r="J2283" s="65" t="str">
        <f t="shared" si="107"/>
        <v>540199</v>
      </c>
    </row>
    <row r="2284" spans="1:10" x14ac:dyDescent="0.3">
      <c r="A2284" s="27" t="s">
        <v>1869</v>
      </c>
      <c r="B2284" s="27" t="str">
        <f>"60"</f>
        <v>60</v>
      </c>
      <c r="C2284" s="64" t="s">
        <v>5531</v>
      </c>
      <c r="D2284" s="27" t="s">
        <v>2229</v>
      </c>
      <c r="E2284" s="27" t="s">
        <v>2230</v>
      </c>
      <c r="F2284" s="27" t="str">
        <f>"60"</f>
        <v>60</v>
      </c>
      <c r="G2284" s="27" t="s">
        <v>5532</v>
      </c>
      <c r="H2284" s="65" t="str">
        <f t="shared" si="105"/>
        <v>No Change</v>
      </c>
      <c r="I2284" s="65" t="str">
        <f t="shared" si="106"/>
        <v/>
      </c>
      <c r="J2284" s="65" t="str">
        <f t="shared" si="107"/>
        <v/>
      </c>
    </row>
    <row r="2285" spans="1:10" x14ac:dyDescent="0.3">
      <c r="A2285" s="27" t="s">
        <v>1869</v>
      </c>
      <c r="B2285" s="27" t="str">
        <f>"60.01"</f>
        <v>60.01</v>
      </c>
      <c r="C2285" s="64" t="s">
        <v>5533</v>
      </c>
      <c r="D2285" s="27" t="s">
        <v>2229</v>
      </c>
      <c r="E2285" s="27" t="s">
        <v>2230</v>
      </c>
      <c r="F2285" s="27" t="str">
        <f>"60.01"</f>
        <v>60.01</v>
      </c>
      <c r="G2285" s="27" t="s">
        <v>5534</v>
      </c>
      <c r="H2285" s="65" t="str">
        <f t="shared" si="105"/>
        <v>No Change</v>
      </c>
      <c r="I2285" s="65" t="str">
        <f t="shared" si="106"/>
        <v/>
      </c>
      <c r="J2285" s="65" t="str">
        <f t="shared" si="107"/>
        <v/>
      </c>
    </row>
    <row r="2286" spans="1:10" x14ac:dyDescent="0.3">
      <c r="A2286" s="27" t="s">
        <v>5535</v>
      </c>
      <c r="B2286" s="27" t="str">
        <f>"60.0101"</f>
        <v>60.0101</v>
      </c>
      <c r="C2286" s="64" t="s">
        <v>5536</v>
      </c>
      <c r="D2286" s="27" t="s">
        <v>2229</v>
      </c>
      <c r="E2286" s="27" t="s">
        <v>2232</v>
      </c>
      <c r="F2286" s="27" t="str">
        <f>"60.0101"</f>
        <v>60.0101</v>
      </c>
      <c r="G2286" s="27" t="s">
        <v>5536</v>
      </c>
      <c r="H2286" s="65" t="str">
        <f t="shared" si="105"/>
        <v>No Change</v>
      </c>
      <c r="I2286" s="65" t="str">
        <f t="shared" si="106"/>
        <v>600101</v>
      </c>
      <c r="J2286" s="65" t="str">
        <f t="shared" si="107"/>
        <v>600101</v>
      </c>
    </row>
    <row r="2287" spans="1:10" x14ac:dyDescent="0.3">
      <c r="A2287" s="27" t="s">
        <v>5537</v>
      </c>
      <c r="B2287" s="27" t="str">
        <f>"60.0102"</f>
        <v>60.0102</v>
      </c>
      <c r="C2287" s="64" t="s">
        <v>5538</v>
      </c>
      <c r="D2287" s="27" t="s">
        <v>2229</v>
      </c>
      <c r="E2287" s="27" t="s">
        <v>2232</v>
      </c>
      <c r="F2287" s="27" t="str">
        <f>"60.0102"</f>
        <v>60.0102</v>
      </c>
      <c r="G2287" s="27" t="s">
        <v>5538</v>
      </c>
      <c r="H2287" s="65" t="str">
        <f t="shared" si="105"/>
        <v>No Change</v>
      </c>
      <c r="I2287" s="65" t="str">
        <f t="shared" si="106"/>
        <v>600102</v>
      </c>
      <c r="J2287" s="65" t="str">
        <f t="shared" si="107"/>
        <v>600102</v>
      </c>
    </row>
    <row r="2288" spans="1:10" x14ac:dyDescent="0.3">
      <c r="A2288" s="27" t="s">
        <v>5539</v>
      </c>
      <c r="B2288" s="27" t="str">
        <f>"60.0103"</f>
        <v>60.0103</v>
      </c>
      <c r="C2288" s="64" t="s">
        <v>5540</v>
      </c>
      <c r="D2288" s="27" t="s">
        <v>2229</v>
      </c>
      <c r="E2288" s="27" t="s">
        <v>2232</v>
      </c>
      <c r="F2288" s="27" t="str">
        <f>"60.0103"</f>
        <v>60.0103</v>
      </c>
      <c r="G2288" s="27" t="s">
        <v>5540</v>
      </c>
      <c r="H2288" s="65" t="str">
        <f t="shared" si="105"/>
        <v>No Change</v>
      </c>
      <c r="I2288" s="65" t="str">
        <f t="shared" si="106"/>
        <v>600103</v>
      </c>
      <c r="J2288" s="65" t="str">
        <f t="shared" si="107"/>
        <v>600103</v>
      </c>
    </row>
    <row r="2289" spans="1:10" x14ac:dyDescent="0.3">
      <c r="A2289" s="27" t="s">
        <v>5541</v>
      </c>
      <c r="B2289" s="27" t="str">
        <f>"60.0104"</f>
        <v>60.0104</v>
      </c>
      <c r="C2289" s="64" t="s">
        <v>5542</v>
      </c>
      <c r="D2289" s="27" t="s">
        <v>2229</v>
      </c>
      <c r="E2289" s="27" t="s">
        <v>2232</v>
      </c>
      <c r="F2289" s="27" t="str">
        <f>"60.0104"</f>
        <v>60.0104</v>
      </c>
      <c r="G2289" s="27" t="s">
        <v>5542</v>
      </c>
      <c r="H2289" s="65" t="str">
        <f t="shared" si="105"/>
        <v>No Change</v>
      </c>
      <c r="I2289" s="65" t="str">
        <f t="shared" si="106"/>
        <v>600104</v>
      </c>
      <c r="J2289" s="65" t="str">
        <f t="shared" si="107"/>
        <v>600104</v>
      </c>
    </row>
    <row r="2290" spans="1:10" x14ac:dyDescent="0.3">
      <c r="A2290" s="27" t="s">
        <v>5543</v>
      </c>
      <c r="B2290" s="27" t="str">
        <f>"60.0105"</f>
        <v>60.0105</v>
      </c>
      <c r="C2290" s="64" t="s">
        <v>5544</v>
      </c>
      <c r="D2290" s="27" t="s">
        <v>2229</v>
      </c>
      <c r="E2290" s="27" t="s">
        <v>2232</v>
      </c>
      <c r="F2290" s="27" t="str">
        <f>"60.0105"</f>
        <v>60.0105</v>
      </c>
      <c r="G2290" s="27" t="s">
        <v>5544</v>
      </c>
      <c r="H2290" s="65" t="str">
        <f t="shared" si="105"/>
        <v>No Change</v>
      </c>
      <c r="I2290" s="65" t="str">
        <f t="shared" si="106"/>
        <v>600105</v>
      </c>
      <c r="J2290" s="65" t="str">
        <f t="shared" si="107"/>
        <v>600105</v>
      </c>
    </row>
    <row r="2291" spans="1:10" x14ac:dyDescent="0.3">
      <c r="A2291" s="27" t="s">
        <v>5545</v>
      </c>
      <c r="B2291" s="27" t="str">
        <f>"60.0106"</f>
        <v>60.0106</v>
      </c>
      <c r="C2291" s="64" t="s">
        <v>5546</v>
      </c>
      <c r="D2291" s="27" t="s">
        <v>2229</v>
      </c>
      <c r="E2291" s="27" t="s">
        <v>2232</v>
      </c>
      <c r="F2291" s="27" t="str">
        <f>"60.0106"</f>
        <v>60.0106</v>
      </c>
      <c r="G2291" s="27" t="s">
        <v>5546</v>
      </c>
      <c r="H2291" s="65" t="str">
        <f t="shared" si="105"/>
        <v>No Change</v>
      </c>
      <c r="I2291" s="65" t="str">
        <f t="shared" si="106"/>
        <v>600106</v>
      </c>
      <c r="J2291" s="65" t="str">
        <f t="shared" si="107"/>
        <v>600106</v>
      </c>
    </row>
    <row r="2292" spans="1:10" x14ac:dyDescent="0.3">
      <c r="A2292" s="27" t="s">
        <v>5547</v>
      </c>
      <c r="B2292" s="27" t="str">
        <f>"60.0107"</f>
        <v>60.0107</v>
      </c>
      <c r="C2292" s="64" t="s">
        <v>5548</v>
      </c>
      <c r="D2292" s="27" t="s">
        <v>2229</v>
      </c>
      <c r="E2292" s="27" t="s">
        <v>2232</v>
      </c>
      <c r="F2292" s="27" t="str">
        <f>"60.0107"</f>
        <v>60.0107</v>
      </c>
      <c r="G2292" s="27" t="s">
        <v>5548</v>
      </c>
      <c r="H2292" s="65" t="str">
        <f t="shared" si="105"/>
        <v>No Change</v>
      </c>
      <c r="I2292" s="65" t="str">
        <f t="shared" si="106"/>
        <v>600107</v>
      </c>
      <c r="J2292" s="65" t="str">
        <f t="shared" si="107"/>
        <v>600107</v>
      </c>
    </row>
    <row r="2293" spans="1:10" x14ac:dyDescent="0.3">
      <c r="A2293" s="27" t="s">
        <v>5549</v>
      </c>
      <c r="B2293" s="27" t="str">
        <f>"60.0108"</f>
        <v>60.0108</v>
      </c>
      <c r="C2293" s="64" t="s">
        <v>5550</v>
      </c>
      <c r="D2293" s="27" t="s">
        <v>2229</v>
      </c>
      <c r="E2293" s="27" t="s">
        <v>2232</v>
      </c>
      <c r="F2293" s="27" t="str">
        <f>"60.0108"</f>
        <v>60.0108</v>
      </c>
      <c r="G2293" s="27" t="s">
        <v>5550</v>
      </c>
      <c r="H2293" s="65" t="str">
        <f t="shared" si="105"/>
        <v>No Change</v>
      </c>
      <c r="I2293" s="65" t="str">
        <f t="shared" si="106"/>
        <v>600108</v>
      </c>
      <c r="J2293" s="65" t="str">
        <f t="shared" si="107"/>
        <v>600108</v>
      </c>
    </row>
    <row r="2294" spans="1:10" x14ac:dyDescent="0.3">
      <c r="A2294" s="27" t="s">
        <v>5551</v>
      </c>
      <c r="B2294" s="27" t="str">
        <f>"60.0109"</f>
        <v>60.0109</v>
      </c>
      <c r="C2294" s="64" t="s">
        <v>5552</v>
      </c>
      <c r="D2294" s="27" t="s">
        <v>2229</v>
      </c>
      <c r="E2294" s="27" t="s">
        <v>2232</v>
      </c>
      <c r="F2294" s="27" t="str">
        <f>"60.0109"</f>
        <v>60.0109</v>
      </c>
      <c r="G2294" s="27" t="s">
        <v>5552</v>
      </c>
      <c r="H2294" s="65" t="str">
        <f t="shared" si="105"/>
        <v>No Change</v>
      </c>
      <c r="I2294" s="65" t="str">
        <f t="shared" si="106"/>
        <v>600109</v>
      </c>
      <c r="J2294" s="65" t="str">
        <f t="shared" si="107"/>
        <v>600109</v>
      </c>
    </row>
    <row r="2295" spans="1:10" x14ac:dyDescent="0.3">
      <c r="A2295" s="27" t="s">
        <v>1869</v>
      </c>
      <c r="D2295" s="27" t="s">
        <v>2255</v>
      </c>
      <c r="E2295" s="27" t="s">
        <v>2232</v>
      </c>
      <c r="F2295" s="27" t="str">
        <f>"60.0110"</f>
        <v>60.0110</v>
      </c>
      <c r="G2295" s="27" t="s">
        <v>5553</v>
      </c>
      <c r="H2295" s="65" t="str">
        <f t="shared" si="105"/>
        <v>Other</v>
      </c>
      <c r="I2295" s="65" t="str">
        <f t="shared" si="106"/>
        <v/>
      </c>
      <c r="J2295" s="65" t="str">
        <f t="shared" si="107"/>
        <v>600110</v>
      </c>
    </row>
    <row r="2296" spans="1:10" x14ac:dyDescent="0.3">
      <c r="A2296" s="27" t="s">
        <v>5554</v>
      </c>
      <c r="B2296" s="27" t="str">
        <f>"60.0199"</f>
        <v>60.0199</v>
      </c>
      <c r="C2296" s="64" t="s">
        <v>5555</v>
      </c>
      <c r="D2296" s="27" t="s">
        <v>2229</v>
      </c>
      <c r="E2296" s="27" t="s">
        <v>2230</v>
      </c>
      <c r="F2296" s="27" t="str">
        <f>"60.0199"</f>
        <v>60.0199</v>
      </c>
      <c r="G2296" s="27" t="s">
        <v>5556</v>
      </c>
      <c r="H2296" s="65" t="str">
        <f t="shared" si="105"/>
        <v>No Change</v>
      </c>
      <c r="I2296" s="65" t="str">
        <f t="shared" si="106"/>
        <v>600199</v>
      </c>
      <c r="J2296" s="65" t="str">
        <f t="shared" si="107"/>
        <v>600199</v>
      </c>
    </row>
    <row r="2297" spans="1:10" x14ac:dyDescent="0.3">
      <c r="A2297" s="27" t="s">
        <v>1869</v>
      </c>
      <c r="B2297" s="27" t="str">
        <f>"60.03"</f>
        <v>60.03</v>
      </c>
      <c r="C2297" s="64" t="s">
        <v>5557</v>
      </c>
      <c r="D2297" s="27" t="s">
        <v>2229</v>
      </c>
      <c r="E2297" s="27" t="s">
        <v>2230</v>
      </c>
      <c r="F2297" s="27" t="str">
        <f>"60.03"</f>
        <v>60.03</v>
      </c>
      <c r="G2297" s="27" t="s">
        <v>5558</v>
      </c>
      <c r="H2297" s="65" t="str">
        <f t="shared" si="105"/>
        <v>No Change</v>
      </c>
      <c r="I2297" s="65" t="str">
        <f t="shared" si="106"/>
        <v/>
      </c>
      <c r="J2297" s="65" t="str">
        <f t="shared" si="107"/>
        <v/>
      </c>
    </row>
    <row r="2298" spans="1:10" x14ac:dyDescent="0.3">
      <c r="A2298" s="27" t="s">
        <v>5559</v>
      </c>
      <c r="B2298" s="27" t="str">
        <f>"60.0301"</f>
        <v>60.0301</v>
      </c>
      <c r="C2298" s="64" t="s">
        <v>5560</v>
      </c>
      <c r="D2298" s="27" t="s">
        <v>2229</v>
      </c>
      <c r="E2298" s="27" t="s">
        <v>2232</v>
      </c>
      <c r="F2298" s="27" t="str">
        <f>"60.0301"</f>
        <v>60.0301</v>
      </c>
      <c r="G2298" s="27" t="s">
        <v>5560</v>
      </c>
      <c r="H2298" s="65" t="str">
        <f t="shared" si="105"/>
        <v>No Change</v>
      </c>
      <c r="I2298" s="65" t="str">
        <f t="shared" si="106"/>
        <v>600301</v>
      </c>
      <c r="J2298" s="65" t="str">
        <f t="shared" si="107"/>
        <v>600301</v>
      </c>
    </row>
    <row r="2299" spans="1:10" x14ac:dyDescent="0.3">
      <c r="A2299" s="27" t="s">
        <v>5561</v>
      </c>
      <c r="B2299" s="27" t="str">
        <f>"60.0302"</f>
        <v>60.0302</v>
      </c>
      <c r="C2299" s="64" t="s">
        <v>5562</v>
      </c>
      <c r="D2299" s="27" t="s">
        <v>2229</v>
      </c>
      <c r="E2299" s="27" t="s">
        <v>2232</v>
      </c>
      <c r="F2299" s="27" t="str">
        <f>"60.0302"</f>
        <v>60.0302</v>
      </c>
      <c r="G2299" s="27" t="s">
        <v>5562</v>
      </c>
      <c r="H2299" s="65" t="str">
        <f t="shared" si="105"/>
        <v>No Change</v>
      </c>
      <c r="I2299" s="65" t="str">
        <f t="shared" si="106"/>
        <v>600302</v>
      </c>
      <c r="J2299" s="65" t="str">
        <f t="shared" si="107"/>
        <v>600302</v>
      </c>
    </row>
    <row r="2300" spans="1:10" x14ac:dyDescent="0.3">
      <c r="A2300" s="27" t="s">
        <v>5563</v>
      </c>
      <c r="B2300" s="27" t="str">
        <f>"60.0303"</f>
        <v>60.0303</v>
      </c>
      <c r="C2300" s="64" t="s">
        <v>5564</v>
      </c>
      <c r="D2300" s="27" t="s">
        <v>2229</v>
      </c>
      <c r="E2300" s="27" t="s">
        <v>2232</v>
      </c>
      <c r="F2300" s="27" t="str">
        <f>"60.0303"</f>
        <v>60.0303</v>
      </c>
      <c r="G2300" s="27" t="s">
        <v>5564</v>
      </c>
      <c r="H2300" s="65" t="str">
        <f t="shared" si="105"/>
        <v>No Change</v>
      </c>
      <c r="I2300" s="65" t="str">
        <f t="shared" si="106"/>
        <v>600303</v>
      </c>
      <c r="J2300" s="65" t="str">
        <f t="shared" si="107"/>
        <v>600303</v>
      </c>
    </row>
    <row r="2301" spans="1:10" ht="28.8" x14ac:dyDescent="0.3">
      <c r="A2301" s="27" t="s">
        <v>5565</v>
      </c>
      <c r="B2301" s="27" t="str">
        <f>"60.0304"</f>
        <v>60.0304</v>
      </c>
      <c r="C2301" s="64" t="s">
        <v>5566</v>
      </c>
      <c r="D2301" s="27" t="s">
        <v>2229</v>
      </c>
      <c r="E2301" s="27" t="s">
        <v>2232</v>
      </c>
      <c r="F2301" s="27" t="str">
        <f>"60.0304"</f>
        <v>60.0304</v>
      </c>
      <c r="G2301" s="27" t="s">
        <v>5566</v>
      </c>
      <c r="H2301" s="65" t="str">
        <f t="shared" si="105"/>
        <v>No Change</v>
      </c>
      <c r="I2301" s="65" t="str">
        <f t="shared" si="106"/>
        <v>600304</v>
      </c>
      <c r="J2301" s="65" t="str">
        <f t="shared" si="107"/>
        <v>600304</v>
      </c>
    </row>
    <row r="2302" spans="1:10" x14ac:dyDescent="0.3">
      <c r="A2302" s="27" t="s">
        <v>5567</v>
      </c>
      <c r="B2302" s="27" t="str">
        <f>"60.0305"</f>
        <v>60.0305</v>
      </c>
      <c r="C2302" s="64" t="s">
        <v>5568</v>
      </c>
      <c r="D2302" s="27" t="s">
        <v>2229</v>
      </c>
      <c r="E2302" s="27" t="s">
        <v>2232</v>
      </c>
      <c r="F2302" s="27" t="str">
        <f>"60.0305"</f>
        <v>60.0305</v>
      </c>
      <c r="G2302" s="27" t="s">
        <v>5568</v>
      </c>
      <c r="H2302" s="65" t="str">
        <f t="shared" si="105"/>
        <v>No Change</v>
      </c>
      <c r="I2302" s="65" t="str">
        <f t="shared" si="106"/>
        <v>600305</v>
      </c>
      <c r="J2302" s="65" t="str">
        <f t="shared" si="107"/>
        <v>600305</v>
      </c>
    </row>
    <row r="2303" spans="1:10" x14ac:dyDescent="0.3">
      <c r="A2303" s="27" t="s">
        <v>5569</v>
      </c>
      <c r="B2303" s="27" t="str">
        <f>"60.0306"</f>
        <v>60.0306</v>
      </c>
      <c r="C2303" s="64" t="s">
        <v>5570</v>
      </c>
      <c r="D2303" s="27" t="s">
        <v>2229</v>
      </c>
      <c r="E2303" s="27" t="s">
        <v>2232</v>
      </c>
      <c r="F2303" s="27" t="str">
        <f>"60.0306"</f>
        <v>60.0306</v>
      </c>
      <c r="G2303" s="27" t="s">
        <v>5570</v>
      </c>
      <c r="H2303" s="65" t="str">
        <f t="shared" si="105"/>
        <v>No Change</v>
      </c>
      <c r="I2303" s="65" t="str">
        <f t="shared" si="106"/>
        <v>600306</v>
      </c>
      <c r="J2303" s="65" t="str">
        <f t="shared" si="107"/>
        <v>600306</v>
      </c>
    </row>
    <row r="2304" spans="1:10" x14ac:dyDescent="0.3">
      <c r="A2304" s="27" t="s">
        <v>5571</v>
      </c>
      <c r="B2304" s="27" t="str">
        <f>"60.0307"</f>
        <v>60.0307</v>
      </c>
      <c r="C2304" s="64" t="s">
        <v>5572</v>
      </c>
      <c r="D2304" s="27" t="s">
        <v>2229</v>
      </c>
      <c r="E2304" s="27" t="s">
        <v>2232</v>
      </c>
      <c r="F2304" s="27" t="str">
        <f>"60.0307"</f>
        <v>60.0307</v>
      </c>
      <c r="G2304" s="27" t="s">
        <v>5572</v>
      </c>
      <c r="H2304" s="65" t="str">
        <f t="shared" si="105"/>
        <v>No Change</v>
      </c>
      <c r="I2304" s="65" t="str">
        <f t="shared" si="106"/>
        <v>600307</v>
      </c>
      <c r="J2304" s="65" t="str">
        <f t="shared" si="107"/>
        <v>600307</v>
      </c>
    </row>
    <row r="2305" spans="1:10" x14ac:dyDescent="0.3">
      <c r="A2305" s="27" t="s">
        <v>5573</v>
      </c>
      <c r="B2305" s="27" t="str">
        <f>"60.0308"</f>
        <v>60.0308</v>
      </c>
      <c r="C2305" s="64" t="s">
        <v>5574</v>
      </c>
      <c r="D2305" s="27" t="s">
        <v>2229</v>
      </c>
      <c r="E2305" s="27" t="s">
        <v>2232</v>
      </c>
      <c r="F2305" s="27" t="str">
        <f>"60.0308"</f>
        <v>60.0308</v>
      </c>
      <c r="G2305" s="27" t="s">
        <v>5574</v>
      </c>
      <c r="H2305" s="65" t="str">
        <f t="shared" si="105"/>
        <v>No Change</v>
      </c>
      <c r="I2305" s="65" t="str">
        <f t="shared" si="106"/>
        <v>600308</v>
      </c>
      <c r="J2305" s="65" t="str">
        <f t="shared" si="107"/>
        <v>600308</v>
      </c>
    </row>
    <row r="2306" spans="1:10" x14ac:dyDescent="0.3">
      <c r="A2306" s="27" t="s">
        <v>5575</v>
      </c>
      <c r="B2306" s="27" t="str">
        <f>"60.0309"</f>
        <v>60.0309</v>
      </c>
      <c r="C2306" s="64" t="s">
        <v>5576</v>
      </c>
      <c r="D2306" s="27" t="s">
        <v>2229</v>
      </c>
      <c r="E2306" s="27" t="s">
        <v>2232</v>
      </c>
      <c r="F2306" s="27" t="str">
        <f>"60.0309"</f>
        <v>60.0309</v>
      </c>
      <c r="G2306" s="27" t="s">
        <v>5576</v>
      </c>
      <c r="H2306" s="65" t="str">
        <f t="shared" si="105"/>
        <v>No Change</v>
      </c>
      <c r="I2306" s="65" t="str">
        <f t="shared" si="106"/>
        <v>600309</v>
      </c>
      <c r="J2306" s="65" t="str">
        <f t="shared" si="107"/>
        <v>600309</v>
      </c>
    </row>
    <row r="2307" spans="1:10" x14ac:dyDescent="0.3">
      <c r="A2307" s="27" t="s">
        <v>5577</v>
      </c>
      <c r="B2307" s="27" t="str">
        <f>"60.0310"</f>
        <v>60.0310</v>
      </c>
      <c r="C2307" s="64" t="s">
        <v>5578</v>
      </c>
      <c r="D2307" s="27" t="s">
        <v>2229</v>
      </c>
      <c r="E2307" s="27" t="s">
        <v>2232</v>
      </c>
      <c r="F2307" s="27" t="str">
        <f>"60.0310"</f>
        <v>60.0310</v>
      </c>
      <c r="G2307" s="27" t="s">
        <v>5578</v>
      </c>
      <c r="H2307" s="65" t="str">
        <f t="shared" ref="H2307:H2370" si="108">IF(I2307=J2307,"No Change","Other")</f>
        <v>No Change</v>
      </c>
      <c r="I2307" s="65" t="str">
        <f t="shared" ref="I2307:I2370" si="109">SUBSTITUTE(IF(SUM(LEN(B2307))&lt;7,"",B2307),".","")</f>
        <v>600310</v>
      </c>
      <c r="J2307" s="65" t="str">
        <f t="shared" ref="J2307:J2370" si="110">SUBSTITUTE(IF(SUM(LEN(F2307))&lt;7,"",F2307),".","")</f>
        <v>600310</v>
      </c>
    </row>
    <row r="2308" spans="1:10" x14ac:dyDescent="0.3">
      <c r="A2308" s="27" t="s">
        <v>5579</v>
      </c>
      <c r="B2308" s="27" t="str">
        <f>"60.0311"</f>
        <v>60.0311</v>
      </c>
      <c r="C2308" s="64" t="s">
        <v>5580</v>
      </c>
      <c r="D2308" s="27" t="s">
        <v>2229</v>
      </c>
      <c r="E2308" s="27" t="s">
        <v>2232</v>
      </c>
      <c r="F2308" s="27" t="str">
        <f>"60.0311"</f>
        <v>60.0311</v>
      </c>
      <c r="G2308" s="27" t="s">
        <v>5580</v>
      </c>
      <c r="H2308" s="65" t="str">
        <f t="shared" si="108"/>
        <v>No Change</v>
      </c>
      <c r="I2308" s="65" t="str">
        <f t="shared" si="109"/>
        <v>600311</v>
      </c>
      <c r="J2308" s="65" t="str">
        <f t="shared" si="110"/>
        <v>600311</v>
      </c>
    </row>
    <row r="2309" spans="1:10" x14ac:dyDescent="0.3">
      <c r="A2309" s="27" t="s">
        <v>5581</v>
      </c>
      <c r="B2309" s="27" t="str">
        <f>"60.0312"</f>
        <v>60.0312</v>
      </c>
      <c r="C2309" s="64" t="s">
        <v>5582</v>
      </c>
      <c r="D2309" s="27" t="s">
        <v>2229</v>
      </c>
      <c r="E2309" s="27" t="s">
        <v>2232</v>
      </c>
      <c r="F2309" s="27" t="str">
        <f>"60.0312"</f>
        <v>60.0312</v>
      </c>
      <c r="G2309" s="27" t="s">
        <v>5582</v>
      </c>
      <c r="H2309" s="65" t="str">
        <f t="shared" si="108"/>
        <v>No Change</v>
      </c>
      <c r="I2309" s="65" t="str">
        <f t="shared" si="109"/>
        <v>600312</v>
      </c>
      <c r="J2309" s="65" t="str">
        <f t="shared" si="110"/>
        <v>600312</v>
      </c>
    </row>
    <row r="2310" spans="1:10" x14ac:dyDescent="0.3">
      <c r="A2310" s="27" t="s">
        <v>5583</v>
      </c>
      <c r="B2310" s="27" t="str">
        <f>"60.0313"</f>
        <v>60.0313</v>
      </c>
      <c r="C2310" s="64" t="s">
        <v>5584</v>
      </c>
      <c r="D2310" s="27" t="s">
        <v>2229</v>
      </c>
      <c r="E2310" s="27" t="s">
        <v>2232</v>
      </c>
      <c r="F2310" s="27" t="str">
        <f>"60.0313"</f>
        <v>60.0313</v>
      </c>
      <c r="G2310" s="27" t="s">
        <v>5584</v>
      </c>
      <c r="H2310" s="65" t="str">
        <f t="shared" si="108"/>
        <v>No Change</v>
      </c>
      <c r="I2310" s="65" t="str">
        <f t="shared" si="109"/>
        <v>600313</v>
      </c>
      <c r="J2310" s="65" t="str">
        <f t="shared" si="110"/>
        <v>600313</v>
      </c>
    </row>
    <row r="2311" spans="1:10" x14ac:dyDescent="0.3">
      <c r="A2311" s="27" t="s">
        <v>5585</v>
      </c>
      <c r="B2311" s="27" t="str">
        <f>"60.0314"</f>
        <v>60.0314</v>
      </c>
      <c r="C2311" s="64" t="s">
        <v>5586</v>
      </c>
      <c r="D2311" s="27" t="s">
        <v>2229</v>
      </c>
      <c r="E2311" s="27" t="s">
        <v>2232</v>
      </c>
      <c r="F2311" s="27" t="str">
        <f>"60.0314"</f>
        <v>60.0314</v>
      </c>
      <c r="G2311" s="27" t="s">
        <v>5586</v>
      </c>
      <c r="H2311" s="65" t="str">
        <f t="shared" si="108"/>
        <v>No Change</v>
      </c>
      <c r="I2311" s="65" t="str">
        <f t="shared" si="109"/>
        <v>600314</v>
      </c>
      <c r="J2311" s="65" t="str">
        <f t="shared" si="110"/>
        <v>600314</v>
      </c>
    </row>
    <row r="2312" spans="1:10" x14ac:dyDescent="0.3">
      <c r="A2312" s="27" t="s">
        <v>5587</v>
      </c>
      <c r="B2312" s="27" t="str">
        <f>"60.0315"</f>
        <v>60.0315</v>
      </c>
      <c r="C2312" s="64" t="s">
        <v>5588</v>
      </c>
      <c r="D2312" s="27" t="s">
        <v>2229</v>
      </c>
      <c r="E2312" s="27" t="s">
        <v>2232</v>
      </c>
      <c r="F2312" s="27" t="str">
        <f>"60.0315"</f>
        <v>60.0315</v>
      </c>
      <c r="G2312" s="27" t="s">
        <v>5588</v>
      </c>
      <c r="H2312" s="65" t="str">
        <f t="shared" si="108"/>
        <v>No Change</v>
      </c>
      <c r="I2312" s="65" t="str">
        <f t="shared" si="109"/>
        <v>600315</v>
      </c>
      <c r="J2312" s="65" t="str">
        <f t="shared" si="110"/>
        <v>600315</v>
      </c>
    </row>
    <row r="2313" spans="1:10" x14ac:dyDescent="0.3">
      <c r="A2313" s="27" t="s">
        <v>5589</v>
      </c>
      <c r="B2313" s="27" t="str">
        <f>"60.0316"</f>
        <v>60.0316</v>
      </c>
      <c r="C2313" s="64" t="s">
        <v>5590</v>
      </c>
      <c r="D2313" s="27" t="s">
        <v>2229</v>
      </c>
      <c r="E2313" s="27" t="s">
        <v>2232</v>
      </c>
      <c r="F2313" s="27" t="str">
        <f>"60.0316"</f>
        <v>60.0316</v>
      </c>
      <c r="G2313" s="27" t="s">
        <v>5590</v>
      </c>
      <c r="H2313" s="65" t="str">
        <f t="shared" si="108"/>
        <v>No Change</v>
      </c>
      <c r="I2313" s="65" t="str">
        <f t="shared" si="109"/>
        <v>600316</v>
      </c>
      <c r="J2313" s="65" t="str">
        <f t="shared" si="110"/>
        <v>600316</v>
      </c>
    </row>
    <row r="2314" spans="1:10" x14ac:dyDescent="0.3">
      <c r="A2314" s="27" t="s">
        <v>5591</v>
      </c>
      <c r="B2314" s="27" t="str">
        <f>"60.0317"</f>
        <v>60.0317</v>
      </c>
      <c r="C2314" s="64" t="s">
        <v>5592</v>
      </c>
      <c r="D2314" s="27" t="s">
        <v>2229</v>
      </c>
      <c r="E2314" s="27" t="s">
        <v>2232</v>
      </c>
      <c r="F2314" s="27" t="str">
        <f>"60.0317"</f>
        <v>60.0317</v>
      </c>
      <c r="G2314" s="27" t="s">
        <v>5592</v>
      </c>
      <c r="H2314" s="65" t="str">
        <f t="shared" si="108"/>
        <v>No Change</v>
      </c>
      <c r="I2314" s="65" t="str">
        <f t="shared" si="109"/>
        <v>600317</v>
      </c>
      <c r="J2314" s="65" t="str">
        <f t="shared" si="110"/>
        <v>600317</v>
      </c>
    </row>
    <row r="2315" spans="1:10" x14ac:dyDescent="0.3">
      <c r="A2315" s="27" t="s">
        <v>5593</v>
      </c>
      <c r="B2315" s="27" t="str">
        <f>"60.0318"</f>
        <v>60.0318</v>
      </c>
      <c r="C2315" s="64" t="s">
        <v>5594</v>
      </c>
      <c r="D2315" s="27" t="s">
        <v>2229</v>
      </c>
      <c r="E2315" s="27" t="s">
        <v>2232</v>
      </c>
      <c r="F2315" s="27" t="str">
        <f>"60.0318"</f>
        <v>60.0318</v>
      </c>
      <c r="G2315" s="27" t="s">
        <v>5594</v>
      </c>
      <c r="H2315" s="65" t="str">
        <f t="shared" si="108"/>
        <v>No Change</v>
      </c>
      <c r="I2315" s="65" t="str">
        <f t="shared" si="109"/>
        <v>600318</v>
      </c>
      <c r="J2315" s="65" t="str">
        <f t="shared" si="110"/>
        <v>600318</v>
      </c>
    </row>
    <row r="2316" spans="1:10" x14ac:dyDescent="0.3">
      <c r="A2316" s="27" t="s">
        <v>5595</v>
      </c>
      <c r="B2316" s="27" t="str">
        <f>"60.0319"</f>
        <v>60.0319</v>
      </c>
      <c r="C2316" s="64" t="s">
        <v>5596</v>
      </c>
      <c r="D2316" s="27" t="s">
        <v>2229</v>
      </c>
      <c r="E2316" s="27" t="s">
        <v>2232</v>
      </c>
      <c r="F2316" s="27" t="str">
        <f>"60.0319"</f>
        <v>60.0319</v>
      </c>
      <c r="G2316" s="27" t="s">
        <v>5596</v>
      </c>
      <c r="H2316" s="65" t="str">
        <f t="shared" si="108"/>
        <v>No Change</v>
      </c>
      <c r="I2316" s="65" t="str">
        <f t="shared" si="109"/>
        <v>600319</v>
      </c>
      <c r="J2316" s="65" t="str">
        <f t="shared" si="110"/>
        <v>600319</v>
      </c>
    </row>
    <row r="2317" spans="1:10" x14ac:dyDescent="0.3">
      <c r="A2317" s="27" t="s">
        <v>5597</v>
      </c>
      <c r="B2317" s="27" t="str">
        <f>"60.0320"</f>
        <v>60.0320</v>
      </c>
      <c r="C2317" s="64" t="s">
        <v>5598</v>
      </c>
      <c r="D2317" s="27" t="s">
        <v>2229</v>
      </c>
      <c r="E2317" s="27" t="s">
        <v>2232</v>
      </c>
      <c r="F2317" s="27" t="str">
        <f>"60.0320"</f>
        <v>60.0320</v>
      </c>
      <c r="G2317" s="27" t="s">
        <v>5598</v>
      </c>
      <c r="H2317" s="65" t="str">
        <f t="shared" si="108"/>
        <v>No Change</v>
      </c>
      <c r="I2317" s="65" t="str">
        <f t="shared" si="109"/>
        <v>600320</v>
      </c>
      <c r="J2317" s="65" t="str">
        <f t="shared" si="110"/>
        <v>600320</v>
      </c>
    </row>
    <row r="2318" spans="1:10" x14ac:dyDescent="0.3">
      <c r="A2318" s="27" t="s">
        <v>5599</v>
      </c>
      <c r="B2318" s="27" t="str">
        <f>"60.0399"</f>
        <v>60.0399</v>
      </c>
      <c r="C2318" s="64" t="s">
        <v>5600</v>
      </c>
      <c r="D2318" s="27" t="s">
        <v>2229</v>
      </c>
      <c r="E2318" s="27" t="s">
        <v>2230</v>
      </c>
      <c r="F2318" s="27" t="str">
        <f>"60.0399"</f>
        <v>60.0399</v>
      </c>
      <c r="G2318" s="27" t="s">
        <v>5601</v>
      </c>
      <c r="H2318" s="65" t="str">
        <f t="shared" si="108"/>
        <v>No Change</v>
      </c>
      <c r="I2318" s="65" t="str">
        <f t="shared" si="109"/>
        <v>600399</v>
      </c>
      <c r="J2318" s="65" t="str">
        <f t="shared" si="110"/>
        <v>600399</v>
      </c>
    </row>
    <row r="2319" spans="1:10" x14ac:dyDescent="0.3">
      <c r="A2319" s="27" t="s">
        <v>1869</v>
      </c>
      <c r="B2319" s="27" t="str">
        <f>"60.04"</f>
        <v>60.04</v>
      </c>
      <c r="C2319" s="64" t="s">
        <v>5602</v>
      </c>
      <c r="D2319" s="27" t="s">
        <v>4581</v>
      </c>
      <c r="E2319" s="27" t="s">
        <v>2232</v>
      </c>
      <c r="F2319" s="27" t="str">
        <f>"60.04"</f>
        <v>60.04</v>
      </c>
      <c r="G2319" s="27" t="s">
        <v>4581</v>
      </c>
      <c r="H2319" s="65" t="str">
        <f t="shared" si="108"/>
        <v>No Change</v>
      </c>
      <c r="I2319" s="65" t="str">
        <f t="shared" si="109"/>
        <v/>
      </c>
      <c r="J2319" s="65" t="str">
        <f t="shared" si="110"/>
        <v/>
      </c>
    </row>
    <row r="2320" spans="1:10" x14ac:dyDescent="0.3">
      <c r="A2320" s="27" t="s">
        <v>5603</v>
      </c>
      <c r="B2320" s="27" t="str">
        <f>"60.0401"</f>
        <v>60.0401</v>
      </c>
      <c r="C2320" s="64" t="s">
        <v>5604</v>
      </c>
      <c r="D2320" s="27" t="s">
        <v>2274</v>
      </c>
      <c r="E2320" s="27" t="s">
        <v>2232</v>
      </c>
      <c r="F2320" s="27" t="str">
        <f>"61.2302"</f>
        <v>61.2302</v>
      </c>
      <c r="G2320" s="27" t="s">
        <v>5604</v>
      </c>
      <c r="H2320" s="65" t="str">
        <f t="shared" si="108"/>
        <v>Other</v>
      </c>
      <c r="I2320" s="65" t="str">
        <f t="shared" si="109"/>
        <v>600401</v>
      </c>
      <c r="J2320" s="65" t="str">
        <f t="shared" si="110"/>
        <v>612302</v>
      </c>
    </row>
    <row r="2321" spans="1:10" x14ac:dyDescent="0.3">
      <c r="A2321" s="27" t="s">
        <v>5605</v>
      </c>
      <c r="B2321" s="27" t="str">
        <f>"60.0402"</f>
        <v>60.0402</v>
      </c>
      <c r="C2321" s="64" t="s">
        <v>5606</v>
      </c>
      <c r="D2321" s="27" t="s">
        <v>2274</v>
      </c>
      <c r="E2321" s="27" t="s">
        <v>2230</v>
      </c>
      <c r="F2321" s="27" t="str">
        <f>"61.0301"</f>
        <v>61.0301</v>
      </c>
      <c r="G2321" s="27" t="s">
        <v>5607</v>
      </c>
      <c r="H2321" s="65" t="str">
        <f t="shared" si="108"/>
        <v>Other</v>
      </c>
      <c r="I2321" s="65" t="str">
        <f t="shared" si="109"/>
        <v>600402</v>
      </c>
      <c r="J2321" s="65" t="str">
        <f t="shared" si="110"/>
        <v>610301</v>
      </c>
    </row>
    <row r="2322" spans="1:10" x14ac:dyDescent="0.3">
      <c r="A2322" s="27" t="s">
        <v>5608</v>
      </c>
      <c r="B2322" s="27" t="str">
        <f>"60.0403"</f>
        <v>60.0403</v>
      </c>
      <c r="C2322" s="64" t="s">
        <v>5609</v>
      </c>
      <c r="D2322" s="27" t="s">
        <v>2274</v>
      </c>
      <c r="E2322" s="27" t="s">
        <v>2230</v>
      </c>
      <c r="F2322" s="27" t="str">
        <f>"61.0401"</f>
        <v>61.0401</v>
      </c>
      <c r="G2322" s="27" t="s">
        <v>5609</v>
      </c>
      <c r="H2322" s="65" t="str">
        <f t="shared" si="108"/>
        <v>Other</v>
      </c>
      <c r="I2322" s="65" t="str">
        <f t="shared" si="109"/>
        <v>600403</v>
      </c>
      <c r="J2322" s="65" t="str">
        <f t="shared" si="110"/>
        <v>610401</v>
      </c>
    </row>
    <row r="2323" spans="1:10" x14ac:dyDescent="0.3">
      <c r="A2323" s="27" t="s">
        <v>5610</v>
      </c>
      <c r="B2323" s="27" t="str">
        <f>"60.0404"</f>
        <v>60.0404</v>
      </c>
      <c r="C2323" s="64" t="s">
        <v>5611</v>
      </c>
      <c r="D2323" s="27" t="s">
        <v>2274</v>
      </c>
      <c r="E2323" s="27" t="s">
        <v>2232</v>
      </c>
      <c r="F2323" s="27" t="str">
        <f>"61.1102"</f>
        <v>61.1102</v>
      </c>
      <c r="G2323" s="27" t="s">
        <v>5611</v>
      </c>
      <c r="H2323" s="65" t="str">
        <f t="shared" si="108"/>
        <v>Other</v>
      </c>
      <c r="I2323" s="65" t="str">
        <f t="shared" si="109"/>
        <v>600404</v>
      </c>
      <c r="J2323" s="65" t="str">
        <f t="shared" si="110"/>
        <v>611102</v>
      </c>
    </row>
    <row r="2324" spans="1:10" x14ac:dyDescent="0.3">
      <c r="A2324" s="27" t="s">
        <v>5612</v>
      </c>
      <c r="B2324" s="27" t="str">
        <f>"60.0405"</f>
        <v>60.0405</v>
      </c>
      <c r="C2324" s="64" t="s">
        <v>5613</v>
      </c>
      <c r="D2324" s="27" t="s">
        <v>2274</v>
      </c>
      <c r="E2324" s="27" t="s">
        <v>2230</v>
      </c>
      <c r="F2324" s="27" t="str">
        <f>"61.0901"</f>
        <v>61.0901</v>
      </c>
      <c r="G2324" s="27" t="s">
        <v>5613</v>
      </c>
      <c r="H2324" s="65" t="str">
        <f t="shared" si="108"/>
        <v>Other</v>
      </c>
      <c r="I2324" s="65" t="str">
        <f t="shared" si="109"/>
        <v>600405</v>
      </c>
      <c r="J2324" s="65" t="str">
        <f t="shared" si="110"/>
        <v>610901</v>
      </c>
    </row>
    <row r="2325" spans="1:10" x14ac:dyDescent="0.3">
      <c r="A2325" s="27" t="s">
        <v>5614</v>
      </c>
      <c r="B2325" s="27" t="str">
        <f>"60.0406"</f>
        <v>60.0406</v>
      </c>
      <c r="C2325" s="64" t="s">
        <v>5615</v>
      </c>
      <c r="D2325" s="27" t="s">
        <v>4581</v>
      </c>
      <c r="E2325" s="27" t="s">
        <v>2232</v>
      </c>
      <c r="F2325" s="27" t="str">
        <f>"60.0406"</f>
        <v>60.0406</v>
      </c>
      <c r="G2325" s="27" t="s">
        <v>5616</v>
      </c>
      <c r="H2325" s="65" t="str">
        <f t="shared" si="108"/>
        <v>No Change</v>
      </c>
      <c r="I2325" s="65" t="str">
        <f t="shared" si="109"/>
        <v>600406</v>
      </c>
      <c r="J2325" s="65" t="str">
        <f t="shared" si="110"/>
        <v>600406</v>
      </c>
    </row>
    <row r="2326" spans="1:10" x14ac:dyDescent="0.3">
      <c r="A2326" s="27" t="s">
        <v>5617</v>
      </c>
      <c r="B2326" s="27" t="str">
        <f>"60.0407"</f>
        <v>60.0407</v>
      </c>
      <c r="C2326" s="64" t="s">
        <v>5618</v>
      </c>
      <c r="D2326" s="27" t="s">
        <v>2274</v>
      </c>
      <c r="E2326" s="27" t="s">
        <v>2230</v>
      </c>
      <c r="F2326" s="27" t="str">
        <f>"61.0902"</f>
        <v>61.0902</v>
      </c>
      <c r="G2326" s="27" t="s">
        <v>5619</v>
      </c>
      <c r="H2326" s="65" t="str">
        <f t="shared" si="108"/>
        <v>Other</v>
      </c>
      <c r="I2326" s="65" t="str">
        <f t="shared" si="109"/>
        <v>600407</v>
      </c>
      <c r="J2326" s="65" t="str">
        <f t="shared" si="110"/>
        <v>610902</v>
      </c>
    </row>
    <row r="2327" spans="1:10" x14ac:dyDescent="0.3">
      <c r="A2327" s="27" t="s">
        <v>5620</v>
      </c>
      <c r="B2327" s="27" t="str">
        <f>"60.0408"</f>
        <v>60.0408</v>
      </c>
      <c r="C2327" s="64" t="s">
        <v>5621</v>
      </c>
      <c r="D2327" s="27" t="s">
        <v>4581</v>
      </c>
      <c r="E2327" s="27" t="s">
        <v>2232</v>
      </c>
      <c r="F2327" s="27" t="str">
        <f>"60.0408"</f>
        <v>60.0408</v>
      </c>
      <c r="G2327" s="27" t="s">
        <v>5616</v>
      </c>
      <c r="H2327" s="65" t="str">
        <f t="shared" si="108"/>
        <v>No Change</v>
      </c>
      <c r="I2327" s="65" t="str">
        <f t="shared" si="109"/>
        <v>600408</v>
      </c>
      <c r="J2327" s="65" t="str">
        <f t="shared" si="110"/>
        <v>600408</v>
      </c>
    </row>
    <row r="2328" spans="1:10" x14ac:dyDescent="0.3">
      <c r="A2328" s="27" t="s">
        <v>5622</v>
      </c>
      <c r="B2328" s="27" t="str">
        <f>"60.0409"</f>
        <v>60.0409</v>
      </c>
      <c r="C2328" s="64" t="s">
        <v>5623</v>
      </c>
      <c r="D2328" s="27" t="s">
        <v>2274</v>
      </c>
      <c r="E2328" s="27" t="s">
        <v>2230</v>
      </c>
      <c r="F2328" s="27" t="str">
        <f>"61.2702"</f>
        <v>61.2702</v>
      </c>
      <c r="G2328" s="27" t="s">
        <v>5623</v>
      </c>
      <c r="H2328" s="65" t="str">
        <f t="shared" si="108"/>
        <v>Other</v>
      </c>
      <c r="I2328" s="65" t="str">
        <f t="shared" si="109"/>
        <v>600409</v>
      </c>
      <c r="J2328" s="65" t="str">
        <f t="shared" si="110"/>
        <v>612702</v>
      </c>
    </row>
    <row r="2329" spans="1:10" x14ac:dyDescent="0.3">
      <c r="A2329" s="27" t="s">
        <v>5624</v>
      </c>
      <c r="B2329" s="27" t="str">
        <f>"60.0410"</f>
        <v>60.0410</v>
      </c>
      <c r="C2329" s="64" t="s">
        <v>5625</v>
      </c>
      <c r="D2329" s="27" t="s">
        <v>2274</v>
      </c>
      <c r="E2329" s="27" t="s">
        <v>2232</v>
      </c>
      <c r="F2329" s="27" t="str">
        <f>"61.0501"</f>
        <v>61.0501</v>
      </c>
      <c r="G2329" s="27" t="s">
        <v>5625</v>
      </c>
      <c r="H2329" s="65" t="str">
        <f t="shared" si="108"/>
        <v>Other</v>
      </c>
      <c r="I2329" s="65" t="str">
        <f t="shared" si="109"/>
        <v>600410</v>
      </c>
      <c r="J2329" s="65" t="str">
        <f t="shared" si="110"/>
        <v>610501</v>
      </c>
    </row>
    <row r="2330" spans="1:10" x14ac:dyDescent="0.3">
      <c r="A2330" s="27" t="s">
        <v>5626</v>
      </c>
      <c r="B2330" s="27" t="str">
        <f>"60.0411"</f>
        <v>60.0411</v>
      </c>
      <c r="C2330" s="64" t="s">
        <v>5627</v>
      </c>
      <c r="D2330" s="27" t="s">
        <v>2274</v>
      </c>
      <c r="E2330" s="27" t="s">
        <v>2232</v>
      </c>
      <c r="F2330" s="27" t="str">
        <f>"61.2601"</f>
        <v>61.2601</v>
      </c>
      <c r="G2330" s="27" t="s">
        <v>5627</v>
      </c>
      <c r="H2330" s="65" t="str">
        <f t="shared" si="108"/>
        <v>Other</v>
      </c>
      <c r="I2330" s="65" t="str">
        <f t="shared" si="109"/>
        <v>600411</v>
      </c>
      <c r="J2330" s="65" t="str">
        <f t="shared" si="110"/>
        <v>612601</v>
      </c>
    </row>
    <row r="2331" spans="1:10" x14ac:dyDescent="0.3">
      <c r="A2331" s="27" t="s">
        <v>5628</v>
      </c>
      <c r="B2331" s="27" t="str">
        <f>"60.0412"</f>
        <v>60.0412</v>
      </c>
      <c r="C2331" s="64" t="s">
        <v>5629</v>
      </c>
      <c r="D2331" s="27" t="s">
        <v>2274</v>
      </c>
      <c r="E2331" s="27" t="s">
        <v>2232</v>
      </c>
      <c r="F2331" s="27" t="str">
        <f>"61.0601"</f>
        <v>61.0601</v>
      </c>
      <c r="G2331" s="27" t="s">
        <v>5629</v>
      </c>
      <c r="H2331" s="65" t="str">
        <f t="shared" si="108"/>
        <v>Other</v>
      </c>
      <c r="I2331" s="65" t="str">
        <f t="shared" si="109"/>
        <v>600412</v>
      </c>
      <c r="J2331" s="65" t="str">
        <f t="shared" si="110"/>
        <v>610601</v>
      </c>
    </row>
    <row r="2332" spans="1:10" x14ac:dyDescent="0.3">
      <c r="A2332" s="27" t="s">
        <v>5630</v>
      </c>
      <c r="B2332" s="27" t="str">
        <f>"60.0413"</f>
        <v>60.0413</v>
      </c>
      <c r="C2332" s="64" t="s">
        <v>5631</v>
      </c>
      <c r="D2332" s="27" t="s">
        <v>2274</v>
      </c>
      <c r="E2332" s="27" t="s">
        <v>2232</v>
      </c>
      <c r="F2332" s="27" t="str">
        <f>"61.0701"</f>
        <v>61.0701</v>
      </c>
      <c r="G2332" s="27" t="s">
        <v>5631</v>
      </c>
      <c r="H2332" s="65" t="str">
        <f t="shared" si="108"/>
        <v>Other</v>
      </c>
      <c r="I2332" s="65" t="str">
        <f t="shared" si="109"/>
        <v>600413</v>
      </c>
      <c r="J2332" s="65" t="str">
        <f t="shared" si="110"/>
        <v>610701</v>
      </c>
    </row>
    <row r="2333" spans="1:10" x14ac:dyDescent="0.3">
      <c r="A2333" s="27" t="s">
        <v>5632</v>
      </c>
      <c r="B2333" s="27" t="str">
        <f>"60.0414"</f>
        <v>60.0414</v>
      </c>
      <c r="C2333" s="64" t="s">
        <v>5633</v>
      </c>
      <c r="D2333" s="27" t="s">
        <v>2274</v>
      </c>
      <c r="E2333" s="27" t="s">
        <v>2232</v>
      </c>
      <c r="F2333" s="27" t="str">
        <f>"61.2701"</f>
        <v>61.2701</v>
      </c>
      <c r="G2333" s="27" t="s">
        <v>5633</v>
      </c>
      <c r="H2333" s="65" t="str">
        <f t="shared" si="108"/>
        <v>Other</v>
      </c>
      <c r="I2333" s="65" t="str">
        <f t="shared" si="109"/>
        <v>600414</v>
      </c>
      <c r="J2333" s="65" t="str">
        <f t="shared" si="110"/>
        <v>612701</v>
      </c>
    </row>
    <row r="2334" spans="1:10" x14ac:dyDescent="0.3">
      <c r="A2334" s="27" t="s">
        <v>5634</v>
      </c>
      <c r="B2334" s="27" t="str">
        <f>"60.0415"</f>
        <v>60.0415</v>
      </c>
      <c r="C2334" s="64" t="s">
        <v>5635</v>
      </c>
      <c r="D2334" s="27" t="s">
        <v>2274</v>
      </c>
      <c r="E2334" s="27" t="s">
        <v>2232</v>
      </c>
      <c r="F2334" s="27" t="str">
        <f>"61.0801"</f>
        <v>61.0801</v>
      </c>
      <c r="G2334" s="27" t="s">
        <v>5635</v>
      </c>
      <c r="H2334" s="65" t="str">
        <f t="shared" si="108"/>
        <v>Other</v>
      </c>
      <c r="I2334" s="65" t="str">
        <f t="shared" si="109"/>
        <v>600415</v>
      </c>
      <c r="J2334" s="65" t="str">
        <f t="shared" si="110"/>
        <v>610801</v>
      </c>
    </row>
    <row r="2335" spans="1:10" x14ac:dyDescent="0.3">
      <c r="A2335" s="27" t="s">
        <v>5636</v>
      </c>
      <c r="B2335" s="27" t="str">
        <f>"60.0416"</f>
        <v>60.0416</v>
      </c>
      <c r="C2335" s="64" t="s">
        <v>5637</v>
      </c>
      <c r="D2335" s="27" t="s">
        <v>2274</v>
      </c>
      <c r="E2335" s="27" t="s">
        <v>2232</v>
      </c>
      <c r="F2335" s="27" t="str">
        <f>"61.1001"</f>
        <v>61.1001</v>
      </c>
      <c r="G2335" s="27" t="s">
        <v>5637</v>
      </c>
      <c r="H2335" s="65" t="str">
        <f t="shared" si="108"/>
        <v>Other</v>
      </c>
      <c r="I2335" s="65" t="str">
        <f t="shared" si="109"/>
        <v>600416</v>
      </c>
      <c r="J2335" s="65" t="str">
        <f t="shared" si="110"/>
        <v>611001</v>
      </c>
    </row>
    <row r="2336" spans="1:10" x14ac:dyDescent="0.3">
      <c r="A2336" s="27" t="s">
        <v>5638</v>
      </c>
      <c r="B2336" s="27" t="str">
        <f>"60.0417"</f>
        <v>60.0417</v>
      </c>
      <c r="C2336" s="64" t="s">
        <v>5639</v>
      </c>
      <c r="D2336" s="27" t="s">
        <v>2274</v>
      </c>
      <c r="E2336" s="27" t="s">
        <v>2232</v>
      </c>
      <c r="F2336" s="27" t="str">
        <f>"61.1101"</f>
        <v>61.1101</v>
      </c>
      <c r="G2336" s="27" t="s">
        <v>5639</v>
      </c>
      <c r="H2336" s="65" t="str">
        <f t="shared" si="108"/>
        <v>Other</v>
      </c>
      <c r="I2336" s="65" t="str">
        <f t="shared" si="109"/>
        <v>600417</v>
      </c>
      <c r="J2336" s="65" t="str">
        <f t="shared" si="110"/>
        <v>611101</v>
      </c>
    </row>
    <row r="2337" spans="1:10" x14ac:dyDescent="0.3">
      <c r="A2337" s="27" t="s">
        <v>5640</v>
      </c>
      <c r="B2337" s="27" t="str">
        <f>"60.0418"</f>
        <v>60.0418</v>
      </c>
      <c r="C2337" s="64" t="s">
        <v>5641</v>
      </c>
      <c r="D2337" s="27" t="s">
        <v>2274</v>
      </c>
      <c r="E2337" s="27" t="s">
        <v>2232</v>
      </c>
      <c r="F2337" s="27" t="str">
        <f>"61.1201"</f>
        <v>61.1201</v>
      </c>
      <c r="G2337" s="27" t="s">
        <v>5641</v>
      </c>
      <c r="H2337" s="65" t="str">
        <f t="shared" si="108"/>
        <v>Other</v>
      </c>
      <c r="I2337" s="65" t="str">
        <f t="shared" si="109"/>
        <v>600418</v>
      </c>
      <c r="J2337" s="65" t="str">
        <f t="shared" si="110"/>
        <v>611201</v>
      </c>
    </row>
    <row r="2338" spans="1:10" x14ac:dyDescent="0.3">
      <c r="A2338" s="27" t="s">
        <v>5642</v>
      </c>
      <c r="B2338" s="27" t="str">
        <f>"60.0419"</f>
        <v>60.0419</v>
      </c>
      <c r="C2338" s="64" t="s">
        <v>5643</v>
      </c>
      <c r="D2338" s="27" t="s">
        <v>2274</v>
      </c>
      <c r="E2338" s="27" t="s">
        <v>2232</v>
      </c>
      <c r="F2338" s="27" t="str">
        <f>"61.1301"</f>
        <v>61.1301</v>
      </c>
      <c r="G2338" s="27" t="s">
        <v>5643</v>
      </c>
      <c r="H2338" s="65" t="str">
        <f t="shared" si="108"/>
        <v>Other</v>
      </c>
      <c r="I2338" s="65" t="str">
        <f t="shared" si="109"/>
        <v>600419</v>
      </c>
      <c r="J2338" s="65" t="str">
        <f t="shared" si="110"/>
        <v>611301</v>
      </c>
    </row>
    <row r="2339" spans="1:10" x14ac:dyDescent="0.3">
      <c r="A2339" s="27" t="s">
        <v>5644</v>
      </c>
      <c r="B2339" s="27" t="str">
        <f>"60.0420"</f>
        <v>60.0420</v>
      </c>
      <c r="C2339" s="64" t="s">
        <v>5645</v>
      </c>
      <c r="D2339" s="27" t="s">
        <v>2274</v>
      </c>
      <c r="E2339" s="27" t="s">
        <v>2232</v>
      </c>
      <c r="F2339" s="27" t="str">
        <f>"61.2303"</f>
        <v>61.2303</v>
      </c>
      <c r="G2339" s="27" t="s">
        <v>5645</v>
      </c>
      <c r="H2339" s="65" t="str">
        <f t="shared" si="108"/>
        <v>Other</v>
      </c>
      <c r="I2339" s="65" t="str">
        <f t="shared" si="109"/>
        <v>600420</v>
      </c>
      <c r="J2339" s="65" t="str">
        <f t="shared" si="110"/>
        <v>612303</v>
      </c>
    </row>
    <row r="2340" spans="1:10" x14ac:dyDescent="0.3">
      <c r="A2340" s="27" t="s">
        <v>5646</v>
      </c>
      <c r="B2340" s="27" t="str">
        <f>"60.0421"</f>
        <v>60.0421</v>
      </c>
      <c r="C2340" s="64" t="s">
        <v>5647</v>
      </c>
      <c r="D2340" s="27" t="s">
        <v>2274</v>
      </c>
      <c r="E2340" s="27" t="s">
        <v>2232</v>
      </c>
      <c r="F2340" s="27" t="str">
        <f>"61.1401"</f>
        <v>61.1401</v>
      </c>
      <c r="G2340" s="27" t="s">
        <v>5647</v>
      </c>
      <c r="H2340" s="65" t="str">
        <f t="shared" si="108"/>
        <v>Other</v>
      </c>
      <c r="I2340" s="65" t="str">
        <f t="shared" si="109"/>
        <v>600421</v>
      </c>
      <c r="J2340" s="65" t="str">
        <f t="shared" si="110"/>
        <v>611401</v>
      </c>
    </row>
    <row r="2341" spans="1:10" x14ac:dyDescent="0.3">
      <c r="A2341" s="27" t="s">
        <v>5648</v>
      </c>
      <c r="B2341" s="27" t="str">
        <f>"60.0422"</f>
        <v>60.0422</v>
      </c>
      <c r="C2341" s="64" t="s">
        <v>5649</v>
      </c>
      <c r="D2341" s="27" t="s">
        <v>2274</v>
      </c>
      <c r="E2341" s="27" t="s">
        <v>2232</v>
      </c>
      <c r="F2341" s="27" t="str">
        <f>"61.1501"</f>
        <v>61.1501</v>
      </c>
      <c r="G2341" s="27" t="s">
        <v>5649</v>
      </c>
      <c r="H2341" s="65" t="str">
        <f t="shared" si="108"/>
        <v>Other</v>
      </c>
      <c r="I2341" s="65" t="str">
        <f t="shared" si="109"/>
        <v>600422</v>
      </c>
      <c r="J2341" s="65" t="str">
        <f t="shared" si="110"/>
        <v>611501</v>
      </c>
    </row>
    <row r="2342" spans="1:10" x14ac:dyDescent="0.3">
      <c r="A2342" s="27" t="s">
        <v>5650</v>
      </c>
      <c r="B2342" s="27" t="str">
        <f>"60.0423"</f>
        <v>60.0423</v>
      </c>
      <c r="C2342" s="64" t="s">
        <v>5651</v>
      </c>
      <c r="D2342" s="27" t="s">
        <v>2274</v>
      </c>
      <c r="E2342" s="27" t="s">
        <v>2232</v>
      </c>
      <c r="F2342" s="27" t="str">
        <f>"61.1701"</f>
        <v>61.1701</v>
      </c>
      <c r="G2342" s="27" t="s">
        <v>5651</v>
      </c>
      <c r="H2342" s="65" t="str">
        <f t="shared" si="108"/>
        <v>Other</v>
      </c>
      <c r="I2342" s="65" t="str">
        <f t="shared" si="109"/>
        <v>600423</v>
      </c>
      <c r="J2342" s="65" t="str">
        <f t="shared" si="110"/>
        <v>611701</v>
      </c>
    </row>
    <row r="2343" spans="1:10" x14ac:dyDescent="0.3">
      <c r="A2343" s="27" t="s">
        <v>5652</v>
      </c>
      <c r="B2343" s="27" t="str">
        <f>"60.0424"</f>
        <v>60.0424</v>
      </c>
      <c r="C2343" s="64" t="s">
        <v>5653</v>
      </c>
      <c r="D2343" s="27" t="s">
        <v>2274</v>
      </c>
      <c r="E2343" s="27" t="s">
        <v>2230</v>
      </c>
      <c r="F2343" s="27" t="str">
        <f>"61.1801"</f>
        <v>61.1801</v>
      </c>
      <c r="G2343" s="27" t="s">
        <v>5654</v>
      </c>
      <c r="H2343" s="65" t="str">
        <f t="shared" si="108"/>
        <v>Other</v>
      </c>
      <c r="I2343" s="65" t="str">
        <f t="shared" si="109"/>
        <v>600424</v>
      </c>
      <c r="J2343" s="65" t="str">
        <f t="shared" si="110"/>
        <v>611801</v>
      </c>
    </row>
    <row r="2344" spans="1:10" x14ac:dyDescent="0.3">
      <c r="A2344" s="27" t="s">
        <v>5655</v>
      </c>
      <c r="B2344" s="27" t="str">
        <f>"60.0425"</f>
        <v>60.0425</v>
      </c>
      <c r="C2344" s="64" t="s">
        <v>5656</v>
      </c>
      <c r="D2344" s="27" t="s">
        <v>2274</v>
      </c>
      <c r="E2344" s="27" t="s">
        <v>2232</v>
      </c>
      <c r="F2344" s="27" t="str">
        <f>"61.1901"</f>
        <v>61.1901</v>
      </c>
      <c r="G2344" s="27" t="s">
        <v>5656</v>
      </c>
      <c r="H2344" s="65" t="str">
        <f t="shared" si="108"/>
        <v>Other</v>
      </c>
      <c r="I2344" s="65" t="str">
        <f t="shared" si="109"/>
        <v>600425</v>
      </c>
      <c r="J2344" s="65" t="str">
        <f t="shared" si="110"/>
        <v>611901</v>
      </c>
    </row>
    <row r="2345" spans="1:10" x14ac:dyDescent="0.3">
      <c r="A2345" s="27" t="s">
        <v>5657</v>
      </c>
      <c r="B2345" s="27" t="str">
        <f>"60.0426"</f>
        <v>60.0426</v>
      </c>
      <c r="C2345" s="64" t="s">
        <v>5658</v>
      </c>
      <c r="D2345" s="27" t="s">
        <v>2274</v>
      </c>
      <c r="E2345" s="27" t="s">
        <v>2232</v>
      </c>
      <c r="F2345" s="27" t="str">
        <f>"61.2001"</f>
        <v>61.2001</v>
      </c>
      <c r="G2345" s="27" t="s">
        <v>5658</v>
      </c>
      <c r="H2345" s="65" t="str">
        <f t="shared" si="108"/>
        <v>Other</v>
      </c>
      <c r="I2345" s="65" t="str">
        <f t="shared" si="109"/>
        <v>600426</v>
      </c>
      <c r="J2345" s="65" t="str">
        <f t="shared" si="110"/>
        <v>612001</v>
      </c>
    </row>
    <row r="2346" spans="1:10" x14ac:dyDescent="0.3">
      <c r="A2346" s="27" t="s">
        <v>5659</v>
      </c>
      <c r="B2346" s="27" t="str">
        <f>"60.0427"</f>
        <v>60.0427</v>
      </c>
      <c r="C2346" s="64" t="s">
        <v>5660</v>
      </c>
      <c r="D2346" s="27" t="s">
        <v>2274</v>
      </c>
      <c r="E2346" s="27" t="s">
        <v>2232</v>
      </c>
      <c r="F2346" s="27" t="str">
        <f>"61.2101"</f>
        <v>61.2101</v>
      </c>
      <c r="G2346" s="27" t="s">
        <v>5660</v>
      </c>
      <c r="H2346" s="65" t="str">
        <f t="shared" si="108"/>
        <v>Other</v>
      </c>
      <c r="I2346" s="65" t="str">
        <f t="shared" si="109"/>
        <v>600427</v>
      </c>
      <c r="J2346" s="65" t="str">
        <f t="shared" si="110"/>
        <v>612101</v>
      </c>
    </row>
    <row r="2347" spans="1:10" x14ac:dyDescent="0.3">
      <c r="A2347" s="27" t="s">
        <v>5661</v>
      </c>
      <c r="B2347" s="27" t="str">
        <f>"60.0428"</f>
        <v>60.0428</v>
      </c>
      <c r="C2347" s="64" t="s">
        <v>5662</v>
      </c>
      <c r="D2347" s="27" t="s">
        <v>2274</v>
      </c>
      <c r="E2347" s="27" t="s">
        <v>2232</v>
      </c>
      <c r="F2347" s="27" t="str">
        <f>"61.2401"</f>
        <v>61.2401</v>
      </c>
      <c r="G2347" s="27" t="s">
        <v>5662</v>
      </c>
      <c r="H2347" s="65" t="str">
        <f t="shared" si="108"/>
        <v>Other</v>
      </c>
      <c r="I2347" s="65" t="str">
        <f t="shared" si="109"/>
        <v>600428</v>
      </c>
      <c r="J2347" s="65" t="str">
        <f t="shared" si="110"/>
        <v>612401</v>
      </c>
    </row>
    <row r="2348" spans="1:10" ht="28.8" x14ac:dyDescent="0.3">
      <c r="A2348" s="27" t="s">
        <v>5663</v>
      </c>
      <c r="B2348" s="27" t="str">
        <f>"60.0429"</f>
        <v>60.0429</v>
      </c>
      <c r="C2348" s="64" t="s">
        <v>5664</v>
      </c>
      <c r="D2348" s="27" t="s">
        <v>2274</v>
      </c>
      <c r="E2348" s="27" t="s">
        <v>2232</v>
      </c>
      <c r="F2348" s="27" t="str">
        <f>"61.2301"</f>
        <v>61.2301</v>
      </c>
      <c r="G2348" s="27" t="s">
        <v>5664</v>
      </c>
      <c r="H2348" s="65" t="str">
        <f t="shared" si="108"/>
        <v>Other</v>
      </c>
      <c r="I2348" s="65" t="str">
        <f t="shared" si="109"/>
        <v>600429</v>
      </c>
      <c r="J2348" s="65" t="str">
        <f t="shared" si="110"/>
        <v>612301</v>
      </c>
    </row>
    <row r="2349" spans="1:10" x14ac:dyDescent="0.3">
      <c r="A2349" s="27" t="s">
        <v>5665</v>
      </c>
      <c r="B2349" s="27" t="str">
        <f>"60.0430"</f>
        <v>60.0430</v>
      </c>
      <c r="C2349" s="64" t="s">
        <v>5666</v>
      </c>
      <c r="D2349" s="27" t="s">
        <v>2274</v>
      </c>
      <c r="E2349" s="27" t="s">
        <v>2232</v>
      </c>
      <c r="F2349" s="27" t="str">
        <f>"61.2501"</f>
        <v>61.2501</v>
      </c>
      <c r="G2349" s="27" t="s">
        <v>5666</v>
      </c>
      <c r="H2349" s="65" t="str">
        <f t="shared" si="108"/>
        <v>Other</v>
      </c>
      <c r="I2349" s="65" t="str">
        <f t="shared" si="109"/>
        <v>600430</v>
      </c>
      <c r="J2349" s="65" t="str">
        <f t="shared" si="110"/>
        <v>612501</v>
      </c>
    </row>
    <row r="2350" spans="1:10" x14ac:dyDescent="0.3">
      <c r="A2350" s="27" t="s">
        <v>5667</v>
      </c>
      <c r="B2350" s="27" t="str">
        <f>"60.0431"</f>
        <v>60.0431</v>
      </c>
      <c r="C2350" s="64" t="s">
        <v>5668</v>
      </c>
      <c r="D2350" s="27" t="s">
        <v>2274</v>
      </c>
      <c r="E2350" s="27" t="s">
        <v>2232</v>
      </c>
      <c r="F2350" s="27" t="str">
        <f>"61.2610"</f>
        <v>61.2610</v>
      </c>
      <c r="G2350" s="27" t="s">
        <v>5668</v>
      </c>
      <c r="H2350" s="65" t="str">
        <f t="shared" si="108"/>
        <v>Other</v>
      </c>
      <c r="I2350" s="65" t="str">
        <f t="shared" si="109"/>
        <v>600431</v>
      </c>
      <c r="J2350" s="65" t="str">
        <f t="shared" si="110"/>
        <v>612610</v>
      </c>
    </row>
    <row r="2351" spans="1:10" x14ac:dyDescent="0.3">
      <c r="A2351" s="27" t="s">
        <v>5669</v>
      </c>
      <c r="B2351" s="27" t="str">
        <f>"60.0432"</f>
        <v>60.0432</v>
      </c>
      <c r="C2351" s="64" t="s">
        <v>5670</v>
      </c>
      <c r="D2351" s="27" t="s">
        <v>2274</v>
      </c>
      <c r="E2351" s="27" t="s">
        <v>2230</v>
      </c>
      <c r="F2351" s="27" t="str">
        <f>"61.2707"</f>
        <v>61.2707</v>
      </c>
      <c r="G2351" s="27" t="s">
        <v>5671</v>
      </c>
      <c r="H2351" s="65" t="str">
        <f t="shared" si="108"/>
        <v>Other</v>
      </c>
      <c r="I2351" s="65" t="str">
        <f t="shared" si="109"/>
        <v>600432</v>
      </c>
      <c r="J2351" s="65" t="str">
        <f t="shared" si="110"/>
        <v>612707</v>
      </c>
    </row>
    <row r="2352" spans="1:10" x14ac:dyDescent="0.3">
      <c r="A2352" s="27" t="s">
        <v>5672</v>
      </c>
      <c r="B2352" s="27" t="str">
        <f>"60.0433"</f>
        <v>60.0433</v>
      </c>
      <c r="C2352" s="64" t="s">
        <v>5673</v>
      </c>
      <c r="D2352" s="27" t="s">
        <v>2274</v>
      </c>
      <c r="E2352" s="27" t="s">
        <v>2230</v>
      </c>
      <c r="F2352" s="27" t="str">
        <f>"61.2801"</f>
        <v>61.2801</v>
      </c>
      <c r="G2352" s="27" t="s">
        <v>5673</v>
      </c>
      <c r="H2352" s="65" t="str">
        <f t="shared" si="108"/>
        <v>Other</v>
      </c>
      <c r="I2352" s="65" t="str">
        <f t="shared" si="109"/>
        <v>600433</v>
      </c>
      <c r="J2352" s="65" t="str">
        <f t="shared" si="110"/>
        <v>612801</v>
      </c>
    </row>
    <row r="2353" spans="1:10" x14ac:dyDescent="0.3">
      <c r="A2353" s="27" t="s">
        <v>5674</v>
      </c>
      <c r="B2353" s="27" t="str">
        <f>"60.0434"</f>
        <v>60.0434</v>
      </c>
      <c r="C2353" s="64" t="s">
        <v>5675</v>
      </c>
      <c r="D2353" s="27" t="s">
        <v>2274</v>
      </c>
      <c r="E2353" s="27" t="s">
        <v>2230</v>
      </c>
      <c r="F2353" s="27" t="str">
        <f>"61.2709"</f>
        <v>61.2709</v>
      </c>
      <c r="G2353" s="27" t="s">
        <v>5676</v>
      </c>
      <c r="H2353" s="65" t="str">
        <f t="shared" si="108"/>
        <v>Other</v>
      </c>
      <c r="I2353" s="65" t="str">
        <f t="shared" si="109"/>
        <v>600434</v>
      </c>
      <c r="J2353" s="65" t="str">
        <f t="shared" si="110"/>
        <v>612709</v>
      </c>
    </row>
    <row r="2354" spans="1:10" x14ac:dyDescent="0.3">
      <c r="A2354" s="27" t="s">
        <v>5677</v>
      </c>
      <c r="B2354" s="27" t="str">
        <f>"60.0499"</f>
        <v>60.0499</v>
      </c>
      <c r="C2354" s="64" t="s">
        <v>5678</v>
      </c>
      <c r="D2354" s="27" t="s">
        <v>4581</v>
      </c>
      <c r="E2354" s="27" t="s">
        <v>2232</v>
      </c>
      <c r="F2354" s="27" t="str">
        <f>"60.0499"</f>
        <v>60.0499</v>
      </c>
      <c r="G2354" s="27" t="s">
        <v>4581</v>
      </c>
      <c r="H2354" s="65" t="str">
        <f t="shared" si="108"/>
        <v>No Change</v>
      </c>
      <c r="I2354" s="65" t="str">
        <f t="shared" si="109"/>
        <v>600499</v>
      </c>
      <c r="J2354" s="65" t="str">
        <f t="shared" si="110"/>
        <v>600499</v>
      </c>
    </row>
    <row r="2355" spans="1:10" x14ac:dyDescent="0.3">
      <c r="A2355" s="27" t="s">
        <v>1869</v>
      </c>
      <c r="B2355" s="27" t="str">
        <f>"60.05"</f>
        <v>60.05</v>
      </c>
      <c r="C2355" s="64" t="s">
        <v>5679</v>
      </c>
      <c r="D2355" s="27" t="s">
        <v>4581</v>
      </c>
      <c r="E2355" s="27" t="s">
        <v>2232</v>
      </c>
      <c r="F2355" s="27" t="str">
        <f>"60.05"</f>
        <v>60.05</v>
      </c>
      <c r="G2355" s="27" t="s">
        <v>4581</v>
      </c>
      <c r="H2355" s="65" t="str">
        <f t="shared" si="108"/>
        <v>No Change</v>
      </c>
      <c r="I2355" s="65" t="str">
        <f t="shared" si="109"/>
        <v/>
      </c>
      <c r="J2355" s="65" t="str">
        <f t="shared" si="110"/>
        <v/>
      </c>
    </row>
    <row r="2356" spans="1:10" x14ac:dyDescent="0.3">
      <c r="A2356" s="27" t="s">
        <v>5680</v>
      </c>
      <c r="B2356" s="27" t="str">
        <f>"60.0501"</f>
        <v>60.0501</v>
      </c>
      <c r="C2356" s="64" t="s">
        <v>5681</v>
      </c>
      <c r="D2356" s="27" t="s">
        <v>2274</v>
      </c>
      <c r="E2356" s="27" t="s">
        <v>2230</v>
      </c>
      <c r="F2356" s="27" t="str">
        <f>"61.2402"</f>
        <v>61.2402</v>
      </c>
      <c r="G2356" s="27" t="s">
        <v>5682</v>
      </c>
      <c r="H2356" s="65" t="str">
        <f t="shared" si="108"/>
        <v>Other</v>
      </c>
      <c r="I2356" s="65" t="str">
        <f t="shared" si="109"/>
        <v>600501</v>
      </c>
      <c r="J2356" s="65" t="str">
        <f t="shared" si="110"/>
        <v>612402</v>
      </c>
    </row>
    <row r="2357" spans="1:10" x14ac:dyDescent="0.3">
      <c r="A2357" s="27" t="s">
        <v>5683</v>
      </c>
      <c r="B2357" s="27" t="str">
        <f>"60.0502"</f>
        <v>60.0502</v>
      </c>
      <c r="C2357" s="64" t="s">
        <v>5684</v>
      </c>
      <c r="D2357" s="27" t="s">
        <v>2274</v>
      </c>
      <c r="E2357" s="27" t="s">
        <v>2230</v>
      </c>
      <c r="F2357" s="27" t="str">
        <f>"61.1902"</f>
        <v>61.1902</v>
      </c>
      <c r="G2357" s="27" t="s">
        <v>5685</v>
      </c>
      <c r="H2357" s="65" t="str">
        <f t="shared" si="108"/>
        <v>Other</v>
      </c>
      <c r="I2357" s="65" t="str">
        <f t="shared" si="109"/>
        <v>600502</v>
      </c>
      <c r="J2357" s="65" t="str">
        <f t="shared" si="110"/>
        <v>611902</v>
      </c>
    </row>
    <row r="2358" spans="1:10" x14ac:dyDescent="0.3">
      <c r="A2358" s="27" t="s">
        <v>5686</v>
      </c>
      <c r="B2358" s="27" t="str">
        <f>"60.0503"</f>
        <v>60.0503</v>
      </c>
      <c r="C2358" s="64" t="s">
        <v>5687</v>
      </c>
      <c r="D2358" s="27" t="s">
        <v>2274</v>
      </c>
      <c r="E2358" s="27" t="s">
        <v>2230</v>
      </c>
      <c r="F2358" s="27" t="str">
        <f>"61.1804"</f>
        <v>61.1804</v>
      </c>
      <c r="G2358" s="27" t="s">
        <v>5688</v>
      </c>
      <c r="H2358" s="65" t="str">
        <f t="shared" si="108"/>
        <v>Other</v>
      </c>
      <c r="I2358" s="65" t="str">
        <f t="shared" si="109"/>
        <v>600503</v>
      </c>
      <c r="J2358" s="65" t="str">
        <f t="shared" si="110"/>
        <v>611804</v>
      </c>
    </row>
    <row r="2359" spans="1:10" x14ac:dyDescent="0.3">
      <c r="A2359" s="27" t="s">
        <v>5689</v>
      </c>
      <c r="B2359" s="27" t="str">
        <f>"60.0504"</f>
        <v>60.0504</v>
      </c>
      <c r="C2359" s="64" t="s">
        <v>5690</v>
      </c>
      <c r="D2359" s="27" t="s">
        <v>2274</v>
      </c>
      <c r="E2359" s="27" t="s">
        <v>2230</v>
      </c>
      <c r="F2359" s="27" t="str">
        <f>"61.0804"</f>
        <v>61.0804</v>
      </c>
      <c r="G2359" s="27" t="s">
        <v>5691</v>
      </c>
      <c r="H2359" s="65" t="str">
        <f t="shared" si="108"/>
        <v>Other</v>
      </c>
      <c r="I2359" s="65" t="str">
        <f t="shared" si="109"/>
        <v>600504</v>
      </c>
      <c r="J2359" s="65" t="str">
        <f t="shared" si="110"/>
        <v>610804</v>
      </c>
    </row>
    <row r="2360" spans="1:10" x14ac:dyDescent="0.3">
      <c r="A2360" s="27" t="s">
        <v>5692</v>
      </c>
      <c r="B2360" s="27" t="str">
        <f>"60.0505"</f>
        <v>60.0505</v>
      </c>
      <c r="C2360" s="64" t="s">
        <v>5693</v>
      </c>
      <c r="D2360" s="27" t="s">
        <v>2274</v>
      </c>
      <c r="E2360" s="27" t="s">
        <v>2230</v>
      </c>
      <c r="F2360" s="27" t="str">
        <f>"61.1805"</f>
        <v>61.1805</v>
      </c>
      <c r="G2360" s="27" t="s">
        <v>5694</v>
      </c>
      <c r="H2360" s="65" t="str">
        <f t="shared" si="108"/>
        <v>Other</v>
      </c>
      <c r="I2360" s="65" t="str">
        <f t="shared" si="109"/>
        <v>600505</v>
      </c>
      <c r="J2360" s="65" t="str">
        <f t="shared" si="110"/>
        <v>611805</v>
      </c>
    </row>
    <row r="2361" spans="1:10" x14ac:dyDescent="0.3">
      <c r="A2361" s="27" t="s">
        <v>5695</v>
      </c>
      <c r="B2361" s="27" t="str">
        <f>"60.0506"</f>
        <v>60.0506</v>
      </c>
      <c r="C2361" s="64" t="s">
        <v>5696</v>
      </c>
      <c r="D2361" s="27" t="s">
        <v>2274</v>
      </c>
      <c r="E2361" s="27" t="s">
        <v>2230</v>
      </c>
      <c r="F2361" s="27" t="str">
        <f>"61.1903"</f>
        <v>61.1903</v>
      </c>
      <c r="G2361" s="27" t="s">
        <v>5697</v>
      </c>
      <c r="H2361" s="65" t="str">
        <f t="shared" si="108"/>
        <v>Other</v>
      </c>
      <c r="I2361" s="65" t="str">
        <f t="shared" si="109"/>
        <v>600506</v>
      </c>
      <c r="J2361" s="65" t="str">
        <f t="shared" si="110"/>
        <v>611903</v>
      </c>
    </row>
    <row r="2362" spans="1:10" x14ac:dyDescent="0.3">
      <c r="A2362" s="27" t="s">
        <v>5698</v>
      </c>
      <c r="B2362" s="27" t="str">
        <f>"60.0507"</f>
        <v>60.0507</v>
      </c>
      <c r="C2362" s="64" t="s">
        <v>5699</v>
      </c>
      <c r="D2362" s="27" t="s">
        <v>2274</v>
      </c>
      <c r="E2362" s="27" t="s">
        <v>2230</v>
      </c>
      <c r="F2362" s="27" t="str">
        <f>"61.2403"</f>
        <v>61.2403</v>
      </c>
      <c r="G2362" s="27" t="s">
        <v>5700</v>
      </c>
      <c r="H2362" s="65" t="str">
        <f t="shared" si="108"/>
        <v>Other</v>
      </c>
      <c r="I2362" s="65" t="str">
        <f t="shared" si="109"/>
        <v>600507</v>
      </c>
      <c r="J2362" s="65" t="str">
        <f t="shared" si="110"/>
        <v>612403</v>
      </c>
    </row>
    <row r="2363" spans="1:10" x14ac:dyDescent="0.3">
      <c r="A2363" s="27" t="s">
        <v>5701</v>
      </c>
      <c r="B2363" s="27" t="str">
        <f>"60.0508"</f>
        <v>60.0508</v>
      </c>
      <c r="C2363" s="64" t="s">
        <v>5702</v>
      </c>
      <c r="D2363" s="27" t="s">
        <v>2274</v>
      </c>
      <c r="E2363" s="27" t="s">
        <v>2230</v>
      </c>
      <c r="F2363" s="27" t="str">
        <f>"61.0805"</f>
        <v>61.0805</v>
      </c>
      <c r="G2363" s="27" t="s">
        <v>5703</v>
      </c>
      <c r="H2363" s="65" t="str">
        <f t="shared" si="108"/>
        <v>Other</v>
      </c>
      <c r="I2363" s="65" t="str">
        <f t="shared" si="109"/>
        <v>600508</v>
      </c>
      <c r="J2363" s="65" t="str">
        <f t="shared" si="110"/>
        <v>610805</v>
      </c>
    </row>
    <row r="2364" spans="1:10" x14ac:dyDescent="0.3">
      <c r="A2364" s="27" t="s">
        <v>5704</v>
      </c>
      <c r="B2364" s="27" t="str">
        <f>"60.0509"</f>
        <v>60.0509</v>
      </c>
      <c r="C2364" s="64" t="s">
        <v>5705</v>
      </c>
      <c r="D2364" s="27" t="s">
        <v>2274</v>
      </c>
      <c r="E2364" s="27" t="s">
        <v>2230</v>
      </c>
      <c r="F2364" s="27" t="str">
        <f>"61.1103"</f>
        <v>61.1103</v>
      </c>
      <c r="G2364" s="27" t="s">
        <v>5706</v>
      </c>
      <c r="H2364" s="65" t="str">
        <f t="shared" si="108"/>
        <v>Other</v>
      </c>
      <c r="I2364" s="65" t="str">
        <f t="shared" si="109"/>
        <v>600509</v>
      </c>
      <c r="J2364" s="65" t="str">
        <f t="shared" si="110"/>
        <v>611103</v>
      </c>
    </row>
    <row r="2365" spans="1:10" x14ac:dyDescent="0.3">
      <c r="A2365" s="27" t="s">
        <v>5707</v>
      </c>
      <c r="B2365" s="27" t="str">
        <f>"60.0510"</f>
        <v>60.0510</v>
      </c>
      <c r="C2365" s="64" t="s">
        <v>5708</v>
      </c>
      <c r="D2365" s="27" t="s">
        <v>2274</v>
      </c>
      <c r="E2365" s="27" t="s">
        <v>2230</v>
      </c>
      <c r="F2365" s="27" t="str">
        <f>"61.2704"</f>
        <v>61.2704</v>
      </c>
      <c r="G2365" s="27" t="s">
        <v>5709</v>
      </c>
      <c r="H2365" s="65" t="str">
        <f t="shared" si="108"/>
        <v>Other</v>
      </c>
      <c r="I2365" s="65" t="str">
        <f t="shared" si="109"/>
        <v>600510</v>
      </c>
      <c r="J2365" s="65" t="str">
        <f t="shared" si="110"/>
        <v>612704</v>
      </c>
    </row>
    <row r="2366" spans="1:10" x14ac:dyDescent="0.3">
      <c r="A2366" s="27" t="s">
        <v>5710</v>
      </c>
      <c r="B2366" s="27" t="str">
        <f>"60.0511"</f>
        <v>60.0511</v>
      </c>
      <c r="C2366" s="64" t="s">
        <v>5711</v>
      </c>
      <c r="D2366" s="27" t="s">
        <v>2274</v>
      </c>
      <c r="E2366" s="27" t="s">
        <v>2230</v>
      </c>
      <c r="F2366" s="27" t="str">
        <f>"61.0204"</f>
        <v>61.0204</v>
      </c>
      <c r="G2366" s="27" t="s">
        <v>5712</v>
      </c>
      <c r="H2366" s="65" t="str">
        <f t="shared" si="108"/>
        <v>Other</v>
      </c>
      <c r="I2366" s="65" t="str">
        <f t="shared" si="109"/>
        <v>600511</v>
      </c>
      <c r="J2366" s="65" t="str">
        <f t="shared" si="110"/>
        <v>610204</v>
      </c>
    </row>
    <row r="2367" spans="1:10" x14ac:dyDescent="0.3">
      <c r="A2367" s="27" t="s">
        <v>5713</v>
      </c>
      <c r="B2367" s="27" t="str">
        <f>"60.0512"</f>
        <v>60.0512</v>
      </c>
      <c r="C2367" s="64" t="s">
        <v>5714</v>
      </c>
      <c r="D2367" s="27" t="s">
        <v>2274</v>
      </c>
      <c r="E2367" s="27" t="s">
        <v>2230</v>
      </c>
      <c r="F2367" s="27" t="str">
        <f>"61.1806"</f>
        <v>61.1806</v>
      </c>
      <c r="G2367" s="27" t="s">
        <v>5715</v>
      </c>
      <c r="H2367" s="65" t="str">
        <f t="shared" si="108"/>
        <v>Other</v>
      </c>
      <c r="I2367" s="65" t="str">
        <f t="shared" si="109"/>
        <v>600512</v>
      </c>
      <c r="J2367" s="65" t="str">
        <f t="shared" si="110"/>
        <v>611806</v>
      </c>
    </row>
    <row r="2368" spans="1:10" x14ac:dyDescent="0.3">
      <c r="A2368" s="27" t="s">
        <v>5716</v>
      </c>
      <c r="B2368" s="27" t="str">
        <f>"60.0513"</f>
        <v>60.0513</v>
      </c>
      <c r="C2368" s="64" t="s">
        <v>5717</v>
      </c>
      <c r="D2368" s="27" t="s">
        <v>2274</v>
      </c>
      <c r="E2368" s="27" t="s">
        <v>2230</v>
      </c>
      <c r="F2368" s="27" t="str">
        <f>"61.0502"</f>
        <v>61.0502</v>
      </c>
      <c r="G2368" s="27" t="s">
        <v>5718</v>
      </c>
      <c r="H2368" s="65" t="str">
        <f t="shared" si="108"/>
        <v>Other</v>
      </c>
      <c r="I2368" s="65" t="str">
        <f t="shared" si="109"/>
        <v>600513</v>
      </c>
      <c r="J2368" s="65" t="str">
        <f t="shared" si="110"/>
        <v>610502</v>
      </c>
    </row>
    <row r="2369" spans="1:10" x14ac:dyDescent="0.3">
      <c r="A2369" s="27" t="s">
        <v>5719</v>
      </c>
      <c r="B2369" s="27" t="str">
        <f>"60.0514"</f>
        <v>60.0514</v>
      </c>
      <c r="C2369" s="64" t="s">
        <v>5720</v>
      </c>
      <c r="D2369" s="27" t="s">
        <v>2274</v>
      </c>
      <c r="E2369" s="27" t="s">
        <v>2230</v>
      </c>
      <c r="F2369" s="27" t="str">
        <f>"61.1904"</f>
        <v>61.1904</v>
      </c>
      <c r="G2369" s="27" t="s">
        <v>5721</v>
      </c>
      <c r="H2369" s="65" t="str">
        <f t="shared" si="108"/>
        <v>Other</v>
      </c>
      <c r="I2369" s="65" t="str">
        <f t="shared" si="109"/>
        <v>600514</v>
      </c>
      <c r="J2369" s="65" t="str">
        <f t="shared" si="110"/>
        <v>611904</v>
      </c>
    </row>
    <row r="2370" spans="1:10" x14ac:dyDescent="0.3">
      <c r="A2370" s="27" t="s">
        <v>5722</v>
      </c>
      <c r="B2370" s="27" t="str">
        <f>"60.0515"</f>
        <v>60.0515</v>
      </c>
      <c r="C2370" s="64" t="s">
        <v>5723</v>
      </c>
      <c r="D2370" s="27" t="s">
        <v>2274</v>
      </c>
      <c r="E2370" s="27" t="s">
        <v>2232</v>
      </c>
      <c r="F2370" s="27" t="str">
        <f>"61.2604"</f>
        <v>61.2604</v>
      </c>
      <c r="G2370" s="27" t="s">
        <v>5723</v>
      </c>
      <c r="H2370" s="65" t="str">
        <f t="shared" si="108"/>
        <v>Other</v>
      </c>
      <c r="I2370" s="65" t="str">
        <f t="shared" si="109"/>
        <v>600515</v>
      </c>
      <c r="J2370" s="65" t="str">
        <f t="shared" si="110"/>
        <v>612604</v>
      </c>
    </row>
    <row r="2371" spans="1:10" x14ac:dyDescent="0.3">
      <c r="A2371" s="27" t="s">
        <v>5724</v>
      </c>
      <c r="B2371" s="27" t="str">
        <f>"60.0516"</f>
        <v>60.0516</v>
      </c>
      <c r="C2371" s="64" t="s">
        <v>5725</v>
      </c>
      <c r="D2371" s="27" t="s">
        <v>2274</v>
      </c>
      <c r="E2371" s="27" t="s">
        <v>2230</v>
      </c>
      <c r="F2371" s="27" t="str">
        <f>"61.0806"</f>
        <v>61.0806</v>
      </c>
      <c r="G2371" s="27" t="s">
        <v>5726</v>
      </c>
      <c r="H2371" s="65" t="str">
        <f t="shared" ref="H2371:H2434" si="111">IF(I2371=J2371,"No Change","Other")</f>
        <v>Other</v>
      </c>
      <c r="I2371" s="65" t="str">
        <f t="shared" ref="I2371:I2434" si="112">SUBSTITUTE(IF(SUM(LEN(B2371))&lt;7,"",B2371),".","")</f>
        <v>600516</v>
      </c>
      <c r="J2371" s="65" t="str">
        <f t="shared" ref="J2371:J2434" si="113">SUBSTITUTE(IF(SUM(LEN(F2371))&lt;7,"",F2371),".","")</f>
        <v>610806</v>
      </c>
    </row>
    <row r="2372" spans="1:10" x14ac:dyDescent="0.3">
      <c r="A2372" s="27" t="s">
        <v>5727</v>
      </c>
      <c r="B2372" s="27" t="str">
        <f>"60.0517"</f>
        <v>60.0517</v>
      </c>
      <c r="C2372" s="64" t="s">
        <v>5728</v>
      </c>
      <c r="D2372" s="27" t="s">
        <v>2274</v>
      </c>
      <c r="E2372" s="27" t="s">
        <v>2230</v>
      </c>
      <c r="F2372" s="27" t="str">
        <f>"61.1807"</f>
        <v>61.1807</v>
      </c>
      <c r="G2372" s="27" t="s">
        <v>5729</v>
      </c>
      <c r="H2372" s="65" t="str">
        <f t="shared" si="111"/>
        <v>Other</v>
      </c>
      <c r="I2372" s="65" t="str">
        <f t="shared" si="112"/>
        <v>600517</v>
      </c>
      <c r="J2372" s="65" t="str">
        <f t="shared" si="113"/>
        <v>611807</v>
      </c>
    </row>
    <row r="2373" spans="1:10" x14ac:dyDescent="0.3">
      <c r="A2373" s="27" t="s">
        <v>5730</v>
      </c>
      <c r="B2373" s="27" t="str">
        <f>"60.0518"</f>
        <v>60.0518</v>
      </c>
      <c r="C2373" s="64" t="s">
        <v>5731</v>
      </c>
      <c r="D2373" s="27" t="s">
        <v>2274</v>
      </c>
      <c r="E2373" s="27" t="s">
        <v>2230</v>
      </c>
      <c r="F2373" s="27" t="str">
        <f>"61.2405"</f>
        <v>61.2405</v>
      </c>
      <c r="G2373" s="27" t="s">
        <v>5732</v>
      </c>
      <c r="H2373" s="65" t="str">
        <f t="shared" si="111"/>
        <v>Other</v>
      </c>
      <c r="I2373" s="65" t="str">
        <f t="shared" si="112"/>
        <v>600518</v>
      </c>
      <c r="J2373" s="65" t="str">
        <f t="shared" si="113"/>
        <v>612405</v>
      </c>
    </row>
    <row r="2374" spans="1:10" x14ac:dyDescent="0.3">
      <c r="A2374" s="27" t="s">
        <v>5733</v>
      </c>
      <c r="B2374" s="27" t="str">
        <f>"60.0519"</f>
        <v>60.0519</v>
      </c>
      <c r="C2374" s="64" t="s">
        <v>5734</v>
      </c>
      <c r="D2374" s="27" t="s">
        <v>2274</v>
      </c>
      <c r="E2374" s="27" t="s">
        <v>2230</v>
      </c>
      <c r="F2374" s="27" t="str">
        <f>"61.0807"</f>
        <v>61.0807</v>
      </c>
      <c r="G2374" s="27" t="s">
        <v>5735</v>
      </c>
      <c r="H2374" s="65" t="str">
        <f t="shared" si="111"/>
        <v>Other</v>
      </c>
      <c r="I2374" s="65" t="str">
        <f t="shared" si="112"/>
        <v>600519</v>
      </c>
      <c r="J2374" s="65" t="str">
        <f t="shared" si="113"/>
        <v>610807</v>
      </c>
    </row>
    <row r="2375" spans="1:10" x14ac:dyDescent="0.3">
      <c r="A2375" s="27" t="s">
        <v>5736</v>
      </c>
      <c r="B2375" s="27" t="str">
        <f>"60.0520"</f>
        <v>60.0520</v>
      </c>
      <c r="C2375" s="64" t="s">
        <v>5737</v>
      </c>
      <c r="D2375" s="27" t="s">
        <v>2274</v>
      </c>
      <c r="E2375" s="27" t="s">
        <v>2230</v>
      </c>
      <c r="F2375" s="27" t="str">
        <f>"61.0212"</f>
        <v>61.0212</v>
      </c>
      <c r="G2375" s="27" t="s">
        <v>5738</v>
      </c>
      <c r="H2375" s="65" t="str">
        <f t="shared" si="111"/>
        <v>Other</v>
      </c>
      <c r="I2375" s="65" t="str">
        <f t="shared" si="112"/>
        <v>600520</v>
      </c>
      <c r="J2375" s="65" t="str">
        <f t="shared" si="113"/>
        <v>610212</v>
      </c>
    </row>
    <row r="2376" spans="1:10" x14ac:dyDescent="0.3">
      <c r="A2376" s="27" t="s">
        <v>5739</v>
      </c>
      <c r="B2376" s="27" t="str">
        <f>"60.0521"</f>
        <v>60.0521</v>
      </c>
      <c r="C2376" s="64" t="s">
        <v>5740</v>
      </c>
      <c r="D2376" s="27" t="s">
        <v>2274</v>
      </c>
      <c r="E2376" s="27" t="s">
        <v>2230</v>
      </c>
      <c r="F2376" s="27" t="str">
        <f>"61.2406"</f>
        <v>61.2406</v>
      </c>
      <c r="G2376" s="27" t="s">
        <v>5741</v>
      </c>
      <c r="H2376" s="65" t="str">
        <f t="shared" si="111"/>
        <v>Other</v>
      </c>
      <c r="I2376" s="65" t="str">
        <f t="shared" si="112"/>
        <v>600521</v>
      </c>
      <c r="J2376" s="65" t="str">
        <f t="shared" si="113"/>
        <v>612406</v>
      </c>
    </row>
    <row r="2377" spans="1:10" x14ac:dyDescent="0.3">
      <c r="A2377" s="27" t="s">
        <v>5742</v>
      </c>
      <c r="B2377" s="27" t="str">
        <f>"60.0522"</f>
        <v>60.0522</v>
      </c>
      <c r="C2377" s="64" t="s">
        <v>5743</v>
      </c>
      <c r="D2377" s="27" t="s">
        <v>2274</v>
      </c>
      <c r="E2377" s="27" t="s">
        <v>2230</v>
      </c>
      <c r="F2377" s="27" t="str">
        <f>"61.1303"</f>
        <v>61.1303</v>
      </c>
      <c r="G2377" s="27" t="s">
        <v>5744</v>
      </c>
      <c r="H2377" s="65" t="str">
        <f t="shared" si="111"/>
        <v>Other</v>
      </c>
      <c r="I2377" s="65" t="str">
        <f t="shared" si="112"/>
        <v>600522</v>
      </c>
      <c r="J2377" s="65" t="str">
        <f t="shared" si="113"/>
        <v>611303</v>
      </c>
    </row>
    <row r="2378" spans="1:10" x14ac:dyDescent="0.3">
      <c r="A2378" s="27" t="s">
        <v>5745</v>
      </c>
      <c r="B2378" s="27" t="str">
        <f>"60.0523"</f>
        <v>60.0523</v>
      </c>
      <c r="C2378" s="64" t="s">
        <v>5746</v>
      </c>
      <c r="D2378" s="27" t="s">
        <v>2274</v>
      </c>
      <c r="E2378" s="27" t="s">
        <v>2230</v>
      </c>
      <c r="F2378" s="27" t="str">
        <f>"61.1808"</f>
        <v>61.1808</v>
      </c>
      <c r="G2378" s="27" t="s">
        <v>5747</v>
      </c>
      <c r="H2378" s="65" t="str">
        <f t="shared" si="111"/>
        <v>Other</v>
      </c>
      <c r="I2378" s="65" t="str">
        <f t="shared" si="112"/>
        <v>600523</v>
      </c>
      <c r="J2378" s="65" t="str">
        <f t="shared" si="113"/>
        <v>611808</v>
      </c>
    </row>
    <row r="2379" spans="1:10" x14ac:dyDescent="0.3">
      <c r="A2379" s="27" t="s">
        <v>5748</v>
      </c>
      <c r="B2379" s="27" t="str">
        <f>"60.0524"</f>
        <v>60.0524</v>
      </c>
      <c r="C2379" s="64" t="s">
        <v>5749</v>
      </c>
      <c r="D2379" s="27" t="s">
        <v>2274</v>
      </c>
      <c r="E2379" s="27" t="s">
        <v>2230</v>
      </c>
      <c r="F2379" s="27" t="str">
        <f>"61.0808"</f>
        <v>61.0808</v>
      </c>
      <c r="G2379" s="27" t="s">
        <v>5750</v>
      </c>
      <c r="H2379" s="65" t="str">
        <f t="shared" si="111"/>
        <v>Other</v>
      </c>
      <c r="I2379" s="65" t="str">
        <f t="shared" si="112"/>
        <v>600524</v>
      </c>
      <c r="J2379" s="65" t="str">
        <f t="shared" si="113"/>
        <v>610808</v>
      </c>
    </row>
    <row r="2380" spans="1:10" x14ac:dyDescent="0.3">
      <c r="A2380" s="27" t="s">
        <v>5751</v>
      </c>
      <c r="B2380" s="27" t="str">
        <f>"60.0525"</f>
        <v>60.0525</v>
      </c>
      <c r="C2380" s="64" t="s">
        <v>5752</v>
      </c>
      <c r="D2380" s="27" t="s">
        <v>2274</v>
      </c>
      <c r="E2380" s="27" t="s">
        <v>2230</v>
      </c>
      <c r="F2380" s="27" t="str">
        <f>"61.0216"</f>
        <v>61.0216</v>
      </c>
      <c r="G2380" s="27" t="s">
        <v>5753</v>
      </c>
      <c r="H2380" s="65" t="str">
        <f t="shared" si="111"/>
        <v>Other</v>
      </c>
      <c r="I2380" s="65" t="str">
        <f t="shared" si="112"/>
        <v>600525</v>
      </c>
      <c r="J2380" s="65" t="str">
        <f t="shared" si="113"/>
        <v>610216</v>
      </c>
    </row>
    <row r="2381" spans="1:10" x14ac:dyDescent="0.3">
      <c r="A2381" s="27" t="s">
        <v>5754</v>
      </c>
      <c r="B2381" s="27" t="str">
        <f>"60.0526"</f>
        <v>60.0526</v>
      </c>
      <c r="C2381" s="64" t="s">
        <v>5755</v>
      </c>
      <c r="D2381" s="27" t="s">
        <v>2274</v>
      </c>
      <c r="E2381" s="27" t="s">
        <v>2230</v>
      </c>
      <c r="F2381" s="27" t="str">
        <f>"61.1809"</f>
        <v>61.1809</v>
      </c>
      <c r="G2381" s="27" t="s">
        <v>5756</v>
      </c>
      <c r="H2381" s="65" t="str">
        <f t="shared" si="111"/>
        <v>Other</v>
      </c>
      <c r="I2381" s="65" t="str">
        <f t="shared" si="112"/>
        <v>600526</v>
      </c>
      <c r="J2381" s="65" t="str">
        <f t="shared" si="113"/>
        <v>611809</v>
      </c>
    </row>
    <row r="2382" spans="1:10" x14ac:dyDescent="0.3">
      <c r="A2382" s="27" t="s">
        <v>5757</v>
      </c>
      <c r="B2382" s="27" t="str">
        <f>"60.0527"</f>
        <v>60.0527</v>
      </c>
      <c r="C2382" s="64" t="s">
        <v>5758</v>
      </c>
      <c r="D2382" s="27" t="s">
        <v>2274</v>
      </c>
      <c r="E2382" s="27" t="s">
        <v>2230</v>
      </c>
      <c r="F2382" s="27" t="str">
        <f>"61.0810"</f>
        <v>61.0810</v>
      </c>
      <c r="G2382" s="27" t="s">
        <v>5759</v>
      </c>
      <c r="H2382" s="65" t="str">
        <f t="shared" si="111"/>
        <v>Other</v>
      </c>
      <c r="I2382" s="65" t="str">
        <f t="shared" si="112"/>
        <v>600527</v>
      </c>
      <c r="J2382" s="65" t="str">
        <f t="shared" si="113"/>
        <v>610810</v>
      </c>
    </row>
    <row r="2383" spans="1:10" x14ac:dyDescent="0.3">
      <c r="A2383" s="27" t="s">
        <v>5760</v>
      </c>
      <c r="B2383" s="27" t="str">
        <f>"60.0528"</f>
        <v>60.0528</v>
      </c>
      <c r="C2383" s="64" t="s">
        <v>5761</v>
      </c>
      <c r="D2383" s="27" t="s">
        <v>2274</v>
      </c>
      <c r="E2383" s="27" t="s">
        <v>2230</v>
      </c>
      <c r="F2383" s="27" t="str">
        <f>"61.0811"</f>
        <v>61.0811</v>
      </c>
      <c r="G2383" s="27" t="s">
        <v>5762</v>
      </c>
      <c r="H2383" s="65" t="str">
        <f t="shared" si="111"/>
        <v>Other</v>
      </c>
      <c r="I2383" s="65" t="str">
        <f t="shared" si="112"/>
        <v>600528</v>
      </c>
      <c r="J2383" s="65" t="str">
        <f t="shared" si="113"/>
        <v>610811</v>
      </c>
    </row>
    <row r="2384" spans="1:10" x14ac:dyDescent="0.3">
      <c r="A2384" s="27" t="s">
        <v>5763</v>
      </c>
      <c r="B2384" s="27" t="str">
        <f>"60.0529"</f>
        <v>60.0529</v>
      </c>
      <c r="C2384" s="64" t="s">
        <v>5764</v>
      </c>
      <c r="D2384" s="27" t="s">
        <v>2274</v>
      </c>
      <c r="E2384" s="27" t="s">
        <v>2230</v>
      </c>
      <c r="F2384" s="27" t="str">
        <f>"61.1810"</f>
        <v>61.1810</v>
      </c>
      <c r="G2384" s="27" t="s">
        <v>5765</v>
      </c>
      <c r="H2384" s="65" t="str">
        <f t="shared" si="111"/>
        <v>Other</v>
      </c>
      <c r="I2384" s="65" t="str">
        <f t="shared" si="112"/>
        <v>600529</v>
      </c>
      <c r="J2384" s="65" t="str">
        <f t="shared" si="113"/>
        <v>611810</v>
      </c>
    </row>
    <row r="2385" spans="1:10" x14ac:dyDescent="0.3">
      <c r="A2385" s="27" t="s">
        <v>5766</v>
      </c>
      <c r="B2385" s="27" t="str">
        <f>"60.0530"</f>
        <v>60.0530</v>
      </c>
      <c r="C2385" s="64" t="s">
        <v>5767</v>
      </c>
      <c r="D2385" s="27" t="s">
        <v>2274</v>
      </c>
      <c r="E2385" s="27" t="s">
        <v>2230</v>
      </c>
      <c r="F2385" s="27" t="str">
        <f>"61.1304"</f>
        <v>61.1304</v>
      </c>
      <c r="G2385" s="27" t="s">
        <v>5768</v>
      </c>
      <c r="H2385" s="65" t="str">
        <f t="shared" si="111"/>
        <v>Other</v>
      </c>
      <c r="I2385" s="65" t="str">
        <f t="shared" si="112"/>
        <v>600530</v>
      </c>
      <c r="J2385" s="65" t="str">
        <f t="shared" si="113"/>
        <v>611304</v>
      </c>
    </row>
    <row r="2386" spans="1:10" x14ac:dyDescent="0.3">
      <c r="A2386" s="27" t="s">
        <v>5769</v>
      </c>
      <c r="B2386" s="27" t="str">
        <f>"60.0531"</f>
        <v>60.0531</v>
      </c>
      <c r="C2386" s="64" t="s">
        <v>5770</v>
      </c>
      <c r="D2386" s="27" t="s">
        <v>2274</v>
      </c>
      <c r="E2386" s="27" t="s">
        <v>2230</v>
      </c>
      <c r="F2386" s="27" t="str">
        <f>"61.0904"</f>
        <v>61.0904</v>
      </c>
      <c r="G2386" s="27" t="s">
        <v>5770</v>
      </c>
      <c r="H2386" s="65" t="str">
        <f t="shared" si="111"/>
        <v>Other</v>
      </c>
      <c r="I2386" s="65" t="str">
        <f t="shared" si="112"/>
        <v>600531</v>
      </c>
      <c r="J2386" s="65" t="str">
        <f t="shared" si="113"/>
        <v>610904</v>
      </c>
    </row>
    <row r="2387" spans="1:10" x14ac:dyDescent="0.3">
      <c r="A2387" s="27" t="s">
        <v>5771</v>
      </c>
      <c r="B2387" s="27" t="str">
        <f>"60.0532"</f>
        <v>60.0532</v>
      </c>
      <c r="C2387" s="64" t="s">
        <v>5772</v>
      </c>
      <c r="D2387" s="27" t="s">
        <v>2274</v>
      </c>
      <c r="E2387" s="27" t="s">
        <v>2230</v>
      </c>
      <c r="F2387" s="27" t="str">
        <f>"61.1811"</f>
        <v>61.1811</v>
      </c>
      <c r="G2387" s="27" t="s">
        <v>5773</v>
      </c>
      <c r="H2387" s="65" t="str">
        <f t="shared" si="111"/>
        <v>Other</v>
      </c>
      <c r="I2387" s="65" t="str">
        <f t="shared" si="112"/>
        <v>600532</v>
      </c>
      <c r="J2387" s="65" t="str">
        <f t="shared" si="113"/>
        <v>611811</v>
      </c>
    </row>
    <row r="2388" spans="1:10" x14ac:dyDescent="0.3">
      <c r="A2388" s="27" t="s">
        <v>5774</v>
      </c>
      <c r="B2388" s="27" t="str">
        <f>"60.0533"</f>
        <v>60.0533</v>
      </c>
      <c r="C2388" s="64" t="s">
        <v>5775</v>
      </c>
      <c r="D2388" s="27" t="s">
        <v>2274</v>
      </c>
      <c r="E2388" s="27" t="s">
        <v>2232</v>
      </c>
      <c r="F2388" s="27" t="str">
        <f>"61.2605"</f>
        <v>61.2605</v>
      </c>
      <c r="G2388" s="27" t="s">
        <v>5775</v>
      </c>
      <c r="H2388" s="65" t="str">
        <f t="shared" si="111"/>
        <v>Other</v>
      </c>
      <c r="I2388" s="65" t="str">
        <f t="shared" si="112"/>
        <v>600533</v>
      </c>
      <c r="J2388" s="65" t="str">
        <f t="shared" si="113"/>
        <v>612605</v>
      </c>
    </row>
    <row r="2389" spans="1:10" x14ac:dyDescent="0.3">
      <c r="A2389" s="27" t="s">
        <v>5776</v>
      </c>
      <c r="B2389" s="27" t="str">
        <f>"60.0534"</f>
        <v>60.0534</v>
      </c>
      <c r="C2389" s="64" t="s">
        <v>5777</v>
      </c>
      <c r="D2389" s="27" t="s">
        <v>2274</v>
      </c>
      <c r="E2389" s="27" t="s">
        <v>2230</v>
      </c>
      <c r="F2389" s="27" t="str">
        <f>"61.0813"</f>
        <v>61.0813</v>
      </c>
      <c r="G2389" s="27" t="s">
        <v>5778</v>
      </c>
      <c r="H2389" s="65" t="str">
        <f t="shared" si="111"/>
        <v>Other</v>
      </c>
      <c r="I2389" s="65" t="str">
        <f t="shared" si="112"/>
        <v>600534</v>
      </c>
      <c r="J2389" s="65" t="str">
        <f t="shared" si="113"/>
        <v>610813</v>
      </c>
    </row>
    <row r="2390" spans="1:10" x14ac:dyDescent="0.3">
      <c r="A2390" s="27" t="s">
        <v>5779</v>
      </c>
      <c r="B2390" s="27" t="str">
        <f>"60.0535"</f>
        <v>60.0535</v>
      </c>
      <c r="C2390" s="64" t="s">
        <v>5780</v>
      </c>
      <c r="D2390" s="27" t="s">
        <v>2274</v>
      </c>
      <c r="E2390" s="27" t="s">
        <v>2230</v>
      </c>
      <c r="F2390" s="27" t="str">
        <f>"61.0220"</f>
        <v>61.0220</v>
      </c>
      <c r="G2390" s="27" t="s">
        <v>5781</v>
      </c>
      <c r="H2390" s="65" t="str">
        <f t="shared" si="111"/>
        <v>Other</v>
      </c>
      <c r="I2390" s="65" t="str">
        <f t="shared" si="112"/>
        <v>600535</v>
      </c>
      <c r="J2390" s="65" t="str">
        <f t="shared" si="113"/>
        <v>610220</v>
      </c>
    </row>
    <row r="2391" spans="1:10" x14ac:dyDescent="0.3">
      <c r="A2391" s="27" t="s">
        <v>5782</v>
      </c>
      <c r="B2391" s="27" t="str">
        <f>"60.0536"</f>
        <v>60.0536</v>
      </c>
      <c r="C2391" s="64" t="s">
        <v>5783</v>
      </c>
      <c r="D2391" s="27" t="s">
        <v>2274</v>
      </c>
      <c r="E2391" s="27" t="s">
        <v>2230</v>
      </c>
      <c r="F2391" s="27" t="str">
        <f>"61.1812"</f>
        <v>61.1812</v>
      </c>
      <c r="G2391" s="27" t="s">
        <v>5784</v>
      </c>
      <c r="H2391" s="65" t="str">
        <f t="shared" si="111"/>
        <v>Other</v>
      </c>
      <c r="I2391" s="65" t="str">
        <f t="shared" si="112"/>
        <v>600536</v>
      </c>
      <c r="J2391" s="65" t="str">
        <f t="shared" si="113"/>
        <v>611812</v>
      </c>
    </row>
    <row r="2392" spans="1:10" x14ac:dyDescent="0.3">
      <c r="A2392" s="27" t="s">
        <v>5785</v>
      </c>
      <c r="B2392" s="27" t="str">
        <f>"60.0537"</f>
        <v>60.0537</v>
      </c>
      <c r="C2392" s="64" t="s">
        <v>5786</v>
      </c>
      <c r="D2392" s="27" t="s">
        <v>2274</v>
      </c>
      <c r="E2392" s="27" t="s">
        <v>2230</v>
      </c>
      <c r="F2392" s="27" t="str">
        <f>"61.1504"</f>
        <v>61.1504</v>
      </c>
      <c r="G2392" s="27" t="s">
        <v>5787</v>
      </c>
      <c r="H2392" s="65" t="str">
        <f t="shared" si="111"/>
        <v>Other</v>
      </c>
      <c r="I2392" s="65" t="str">
        <f t="shared" si="112"/>
        <v>600537</v>
      </c>
      <c r="J2392" s="65" t="str">
        <f t="shared" si="113"/>
        <v>611504</v>
      </c>
    </row>
    <row r="2393" spans="1:10" x14ac:dyDescent="0.3">
      <c r="A2393" s="27" t="s">
        <v>5788</v>
      </c>
      <c r="B2393" s="27" t="str">
        <f>"60.0538"</f>
        <v>60.0538</v>
      </c>
      <c r="C2393" s="64" t="s">
        <v>5789</v>
      </c>
      <c r="D2393" s="27" t="s">
        <v>2274</v>
      </c>
      <c r="E2393" s="27" t="s">
        <v>2230</v>
      </c>
      <c r="F2393" s="27" t="str">
        <f>"61.1905"</f>
        <v>61.1905</v>
      </c>
      <c r="G2393" s="27" t="s">
        <v>5790</v>
      </c>
      <c r="H2393" s="65" t="str">
        <f t="shared" si="111"/>
        <v>Other</v>
      </c>
      <c r="I2393" s="65" t="str">
        <f t="shared" si="112"/>
        <v>600538</v>
      </c>
      <c r="J2393" s="65" t="str">
        <f t="shared" si="113"/>
        <v>611905</v>
      </c>
    </row>
    <row r="2394" spans="1:10" x14ac:dyDescent="0.3">
      <c r="A2394" s="27" t="s">
        <v>5791</v>
      </c>
      <c r="B2394" s="27" t="str">
        <f>"60.0539"</f>
        <v>60.0539</v>
      </c>
      <c r="C2394" s="64" t="s">
        <v>5792</v>
      </c>
      <c r="D2394" s="27" t="s">
        <v>2274</v>
      </c>
      <c r="E2394" s="27" t="s">
        <v>2230</v>
      </c>
      <c r="F2394" s="27" t="str">
        <f>"61.0812"</f>
        <v>61.0812</v>
      </c>
      <c r="G2394" s="27" t="s">
        <v>5793</v>
      </c>
      <c r="H2394" s="65" t="str">
        <f t="shared" si="111"/>
        <v>Other</v>
      </c>
      <c r="I2394" s="65" t="str">
        <f t="shared" si="112"/>
        <v>600539</v>
      </c>
      <c r="J2394" s="65" t="str">
        <f t="shared" si="113"/>
        <v>610812</v>
      </c>
    </row>
    <row r="2395" spans="1:10" x14ac:dyDescent="0.3">
      <c r="A2395" s="27" t="s">
        <v>5794</v>
      </c>
      <c r="B2395" s="27" t="str">
        <f>"60.0540"</f>
        <v>60.0540</v>
      </c>
      <c r="C2395" s="64" t="s">
        <v>5795</v>
      </c>
      <c r="D2395" s="27" t="s">
        <v>2274</v>
      </c>
      <c r="E2395" s="27" t="s">
        <v>2230</v>
      </c>
      <c r="F2395" s="27" t="str">
        <f>"61.1106"</f>
        <v>61.1106</v>
      </c>
      <c r="G2395" s="27" t="s">
        <v>5796</v>
      </c>
      <c r="H2395" s="65" t="str">
        <f t="shared" si="111"/>
        <v>Other</v>
      </c>
      <c r="I2395" s="65" t="str">
        <f t="shared" si="112"/>
        <v>600540</v>
      </c>
      <c r="J2395" s="65" t="str">
        <f t="shared" si="113"/>
        <v>611106</v>
      </c>
    </row>
    <row r="2396" spans="1:10" x14ac:dyDescent="0.3">
      <c r="A2396" s="27" t="s">
        <v>5797</v>
      </c>
      <c r="B2396" s="27" t="str">
        <f>"60.0541"</f>
        <v>60.0541</v>
      </c>
      <c r="C2396" s="64" t="s">
        <v>5798</v>
      </c>
      <c r="D2396" s="27" t="s">
        <v>2274</v>
      </c>
      <c r="E2396" s="27" t="s">
        <v>2230</v>
      </c>
      <c r="F2396" s="27" t="str">
        <f>"61.0222"</f>
        <v>61.0222</v>
      </c>
      <c r="G2396" s="27" t="s">
        <v>5799</v>
      </c>
      <c r="H2396" s="65" t="str">
        <f t="shared" si="111"/>
        <v>Other</v>
      </c>
      <c r="I2396" s="65" t="str">
        <f t="shared" si="112"/>
        <v>600541</v>
      </c>
      <c r="J2396" s="65" t="str">
        <f t="shared" si="113"/>
        <v>610222</v>
      </c>
    </row>
    <row r="2397" spans="1:10" x14ac:dyDescent="0.3">
      <c r="A2397" s="27" t="s">
        <v>5800</v>
      </c>
      <c r="B2397" s="27" t="str">
        <f>"60.0542"</f>
        <v>60.0542</v>
      </c>
      <c r="C2397" s="64" t="s">
        <v>5801</v>
      </c>
      <c r="D2397" s="27" t="s">
        <v>2274</v>
      </c>
      <c r="E2397" s="27" t="s">
        <v>2230</v>
      </c>
      <c r="F2397" s="27" t="str">
        <f>"61.1813"</f>
        <v>61.1813</v>
      </c>
      <c r="G2397" s="27" t="s">
        <v>5802</v>
      </c>
      <c r="H2397" s="65" t="str">
        <f t="shared" si="111"/>
        <v>Other</v>
      </c>
      <c r="I2397" s="65" t="str">
        <f t="shared" si="112"/>
        <v>600542</v>
      </c>
      <c r="J2397" s="65" t="str">
        <f t="shared" si="113"/>
        <v>611813</v>
      </c>
    </row>
    <row r="2398" spans="1:10" x14ac:dyDescent="0.3">
      <c r="A2398" s="27" t="s">
        <v>5803</v>
      </c>
      <c r="B2398" s="27" t="str">
        <f>"60.0543"</f>
        <v>60.0543</v>
      </c>
      <c r="C2398" s="64" t="s">
        <v>5804</v>
      </c>
      <c r="D2398" s="27" t="s">
        <v>2274</v>
      </c>
      <c r="E2398" s="27" t="s">
        <v>2230</v>
      </c>
      <c r="F2398" s="27" t="str">
        <f>"61.2607"</f>
        <v>61.2607</v>
      </c>
      <c r="G2398" s="27" t="s">
        <v>5805</v>
      </c>
      <c r="H2398" s="65" t="str">
        <f t="shared" si="111"/>
        <v>Other</v>
      </c>
      <c r="I2398" s="65" t="str">
        <f t="shared" si="112"/>
        <v>600543</v>
      </c>
      <c r="J2398" s="65" t="str">
        <f t="shared" si="113"/>
        <v>612607</v>
      </c>
    </row>
    <row r="2399" spans="1:10" x14ac:dyDescent="0.3">
      <c r="A2399" s="27" t="s">
        <v>5806</v>
      </c>
      <c r="B2399" s="27" t="str">
        <f>"60.0544"</f>
        <v>60.0544</v>
      </c>
      <c r="C2399" s="64" t="s">
        <v>5807</v>
      </c>
      <c r="D2399" s="27" t="s">
        <v>2274</v>
      </c>
      <c r="E2399" s="27" t="s">
        <v>2230</v>
      </c>
      <c r="F2399" s="27" t="str">
        <f>"61.1702"</f>
        <v>61.1702</v>
      </c>
      <c r="G2399" s="27" t="s">
        <v>5808</v>
      </c>
      <c r="H2399" s="65" t="str">
        <f t="shared" si="111"/>
        <v>Other</v>
      </c>
      <c r="I2399" s="65" t="str">
        <f t="shared" si="112"/>
        <v>600544</v>
      </c>
      <c r="J2399" s="65" t="str">
        <f t="shared" si="113"/>
        <v>611702</v>
      </c>
    </row>
    <row r="2400" spans="1:10" x14ac:dyDescent="0.3">
      <c r="A2400" s="27" t="s">
        <v>5809</v>
      </c>
      <c r="B2400" s="27" t="str">
        <f>"60.0545"</f>
        <v>60.0545</v>
      </c>
      <c r="C2400" s="64" t="s">
        <v>5810</v>
      </c>
      <c r="D2400" s="27" t="s">
        <v>2274</v>
      </c>
      <c r="E2400" s="27" t="s">
        <v>2230</v>
      </c>
      <c r="F2400" s="27" t="str">
        <f>"61.2608"</f>
        <v>61.2608</v>
      </c>
      <c r="G2400" s="27" t="s">
        <v>5811</v>
      </c>
      <c r="H2400" s="65" t="str">
        <f t="shared" si="111"/>
        <v>Other</v>
      </c>
      <c r="I2400" s="65" t="str">
        <f t="shared" si="112"/>
        <v>600545</v>
      </c>
      <c r="J2400" s="65" t="str">
        <f t="shared" si="113"/>
        <v>612608</v>
      </c>
    </row>
    <row r="2401" spans="1:10" x14ac:dyDescent="0.3">
      <c r="A2401" s="27" t="s">
        <v>5812</v>
      </c>
      <c r="B2401" s="27" t="str">
        <f>"60.0546"</f>
        <v>60.0546</v>
      </c>
      <c r="C2401" s="64" t="s">
        <v>5813</v>
      </c>
      <c r="D2401" s="27" t="s">
        <v>2274</v>
      </c>
      <c r="E2401" s="27" t="s">
        <v>2230</v>
      </c>
      <c r="F2401" s="27" t="str">
        <f>"61.1505"</f>
        <v>61.1505</v>
      </c>
      <c r="G2401" s="27" t="s">
        <v>5814</v>
      </c>
      <c r="H2401" s="65" t="str">
        <f t="shared" si="111"/>
        <v>Other</v>
      </c>
      <c r="I2401" s="65" t="str">
        <f t="shared" si="112"/>
        <v>600546</v>
      </c>
      <c r="J2401" s="65" t="str">
        <f t="shared" si="113"/>
        <v>611505</v>
      </c>
    </row>
    <row r="2402" spans="1:10" x14ac:dyDescent="0.3">
      <c r="A2402" s="27" t="s">
        <v>5815</v>
      </c>
      <c r="B2402" s="27" t="str">
        <f>"60.0547"</f>
        <v>60.0547</v>
      </c>
      <c r="C2402" s="64" t="s">
        <v>5816</v>
      </c>
      <c r="D2402" s="27" t="s">
        <v>2274</v>
      </c>
      <c r="E2402" s="27" t="s">
        <v>2230</v>
      </c>
      <c r="F2402" s="27" t="str">
        <f>"61.1506"</f>
        <v>61.1506</v>
      </c>
      <c r="G2402" s="27" t="s">
        <v>5817</v>
      </c>
      <c r="H2402" s="65" t="str">
        <f t="shared" si="111"/>
        <v>Other</v>
      </c>
      <c r="I2402" s="65" t="str">
        <f t="shared" si="112"/>
        <v>600547</v>
      </c>
      <c r="J2402" s="65" t="str">
        <f t="shared" si="113"/>
        <v>611506</v>
      </c>
    </row>
    <row r="2403" spans="1:10" x14ac:dyDescent="0.3">
      <c r="A2403" s="27" t="s">
        <v>5818</v>
      </c>
      <c r="B2403" s="27" t="str">
        <f>"60.0548"</f>
        <v>60.0548</v>
      </c>
      <c r="C2403" s="64" t="s">
        <v>5819</v>
      </c>
      <c r="D2403" s="27" t="s">
        <v>2274</v>
      </c>
      <c r="E2403" s="27" t="s">
        <v>2230</v>
      </c>
      <c r="F2403" s="27" t="str">
        <f>"61.0224"</f>
        <v>61.0224</v>
      </c>
      <c r="G2403" s="27" t="s">
        <v>5820</v>
      </c>
      <c r="H2403" s="65" t="str">
        <f t="shared" si="111"/>
        <v>Other</v>
      </c>
      <c r="I2403" s="65" t="str">
        <f t="shared" si="112"/>
        <v>600548</v>
      </c>
      <c r="J2403" s="65" t="str">
        <f t="shared" si="113"/>
        <v>610224</v>
      </c>
    </row>
    <row r="2404" spans="1:10" x14ac:dyDescent="0.3">
      <c r="A2404" s="27" t="s">
        <v>5821</v>
      </c>
      <c r="B2404" s="27" t="str">
        <f>"60.0549"</f>
        <v>60.0549</v>
      </c>
      <c r="C2404" s="64" t="s">
        <v>5822</v>
      </c>
      <c r="D2404" s="27" t="s">
        <v>2274</v>
      </c>
      <c r="E2404" s="27" t="s">
        <v>2230</v>
      </c>
      <c r="F2404" s="27" t="str">
        <f>"61.1906"</f>
        <v>61.1906</v>
      </c>
      <c r="G2404" s="27" t="s">
        <v>5823</v>
      </c>
      <c r="H2404" s="65" t="str">
        <f t="shared" si="111"/>
        <v>Other</v>
      </c>
      <c r="I2404" s="65" t="str">
        <f t="shared" si="112"/>
        <v>600549</v>
      </c>
      <c r="J2404" s="65" t="str">
        <f t="shared" si="113"/>
        <v>611906</v>
      </c>
    </row>
    <row r="2405" spans="1:10" x14ac:dyDescent="0.3">
      <c r="A2405" s="27" t="s">
        <v>5824</v>
      </c>
      <c r="B2405" s="27" t="str">
        <f>"60.0550"</f>
        <v>60.0550</v>
      </c>
      <c r="C2405" s="64" t="s">
        <v>5825</v>
      </c>
      <c r="D2405" s="27" t="s">
        <v>2274</v>
      </c>
      <c r="E2405" s="27" t="s">
        <v>2230</v>
      </c>
      <c r="F2405" s="27" t="str">
        <f>"61.1907"</f>
        <v>61.1907</v>
      </c>
      <c r="G2405" s="27" t="s">
        <v>5826</v>
      </c>
      <c r="H2405" s="65" t="str">
        <f t="shared" si="111"/>
        <v>Other</v>
      </c>
      <c r="I2405" s="65" t="str">
        <f t="shared" si="112"/>
        <v>600550</v>
      </c>
      <c r="J2405" s="65" t="str">
        <f t="shared" si="113"/>
        <v>611907</v>
      </c>
    </row>
    <row r="2406" spans="1:10" x14ac:dyDescent="0.3">
      <c r="A2406" s="27" t="s">
        <v>5827</v>
      </c>
      <c r="B2406" s="27" t="str">
        <f>"60.0551"</f>
        <v>60.0551</v>
      </c>
      <c r="C2406" s="64" t="s">
        <v>5828</v>
      </c>
      <c r="D2406" s="27" t="s">
        <v>2274</v>
      </c>
      <c r="E2406" s="27" t="s">
        <v>2230</v>
      </c>
      <c r="F2406" s="27" t="str">
        <f>"61.0504"</f>
        <v>61.0504</v>
      </c>
      <c r="G2406" s="27" t="s">
        <v>5829</v>
      </c>
      <c r="H2406" s="65" t="str">
        <f t="shared" si="111"/>
        <v>Other</v>
      </c>
      <c r="I2406" s="65" t="str">
        <f t="shared" si="112"/>
        <v>600551</v>
      </c>
      <c r="J2406" s="65" t="str">
        <f t="shared" si="113"/>
        <v>610504</v>
      </c>
    </row>
    <row r="2407" spans="1:10" x14ac:dyDescent="0.3">
      <c r="A2407" s="27" t="s">
        <v>5830</v>
      </c>
      <c r="B2407" s="27" t="str">
        <f>"60.0552"</f>
        <v>60.0552</v>
      </c>
      <c r="C2407" s="64" t="s">
        <v>5831</v>
      </c>
      <c r="D2407" s="27" t="s">
        <v>2274</v>
      </c>
      <c r="E2407" s="27" t="s">
        <v>2230</v>
      </c>
      <c r="F2407" s="27" t="str">
        <f>"61.1908"</f>
        <v>61.1908</v>
      </c>
      <c r="G2407" s="27" t="s">
        <v>5832</v>
      </c>
      <c r="H2407" s="65" t="str">
        <f t="shared" si="111"/>
        <v>Other</v>
      </c>
      <c r="I2407" s="65" t="str">
        <f t="shared" si="112"/>
        <v>600552</v>
      </c>
      <c r="J2407" s="65" t="str">
        <f t="shared" si="113"/>
        <v>611908</v>
      </c>
    </row>
    <row r="2408" spans="1:10" x14ac:dyDescent="0.3">
      <c r="A2408" s="27" t="s">
        <v>5833</v>
      </c>
      <c r="B2408" s="27" t="str">
        <f>"60.0553"</f>
        <v>60.0553</v>
      </c>
      <c r="C2408" s="64" t="s">
        <v>5834</v>
      </c>
      <c r="D2408" s="27" t="s">
        <v>2274</v>
      </c>
      <c r="E2408" s="27" t="s">
        <v>2230</v>
      </c>
      <c r="F2408" s="27" t="str">
        <f>"61.1909"</f>
        <v>61.1909</v>
      </c>
      <c r="G2408" s="27" t="s">
        <v>5835</v>
      </c>
      <c r="H2408" s="65" t="str">
        <f t="shared" si="111"/>
        <v>Other</v>
      </c>
      <c r="I2408" s="65" t="str">
        <f t="shared" si="112"/>
        <v>600553</v>
      </c>
      <c r="J2408" s="65" t="str">
        <f t="shared" si="113"/>
        <v>611909</v>
      </c>
    </row>
    <row r="2409" spans="1:10" x14ac:dyDescent="0.3">
      <c r="A2409" s="27" t="s">
        <v>5836</v>
      </c>
      <c r="B2409" s="27" t="str">
        <f>"60.0554"</f>
        <v>60.0554</v>
      </c>
      <c r="C2409" s="64" t="s">
        <v>5837</v>
      </c>
      <c r="D2409" s="27" t="s">
        <v>2274</v>
      </c>
      <c r="E2409" s="27" t="s">
        <v>2230</v>
      </c>
      <c r="F2409" s="27" t="str">
        <f>"61.1910"</f>
        <v>61.1910</v>
      </c>
      <c r="G2409" s="27" t="s">
        <v>5838</v>
      </c>
      <c r="H2409" s="65" t="str">
        <f t="shared" si="111"/>
        <v>Other</v>
      </c>
      <c r="I2409" s="65" t="str">
        <f t="shared" si="112"/>
        <v>600554</v>
      </c>
      <c r="J2409" s="65" t="str">
        <f t="shared" si="113"/>
        <v>611910</v>
      </c>
    </row>
    <row r="2410" spans="1:10" x14ac:dyDescent="0.3">
      <c r="A2410" s="27" t="s">
        <v>5839</v>
      </c>
      <c r="B2410" s="27" t="str">
        <f>"60.0555"</f>
        <v>60.0555</v>
      </c>
      <c r="C2410" s="64" t="s">
        <v>5840</v>
      </c>
      <c r="D2410" s="27" t="s">
        <v>2274</v>
      </c>
      <c r="E2410" s="27" t="s">
        <v>2230</v>
      </c>
      <c r="F2410" s="27" t="str">
        <f>"61.1911"</f>
        <v>61.1911</v>
      </c>
      <c r="G2410" s="27" t="s">
        <v>5841</v>
      </c>
      <c r="H2410" s="65" t="str">
        <f t="shared" si="111"/>
        <v>Other</v>
      </c>
      <c r="I2410" s="65" t="str">
        <f t="shared" si="112"/>
        <v>600555</v>
      </c>
      <c r="J2410" s="65" t="str">
        <f t="shared" si="113"/>
        <v>611911</v>
      </c>
    </row>
    <row r="2411" spans="1:10" x14ac:dyDescent="0.3">
      <c r="A2411" s="27" t="s">
        <v>5842</v>
      </c>
      <c r="B2411" s="27" t="str">
        <f>"60.0556"</f>
        <v>60.0556</v>
      </c>
      <c r="C2411" s="64" t="s">
        <v>5843</v>
      </c>
      <c r="D2411" s="27" t="s">
        <v>2274</v>
      </c>
      <c r="E2411" s="27" t="s">
        <v>2230</v>
      </c>
      <c r="F2411" s="27" t="str">
        <f>"61.1912"</f>
        <v>61.1912</v>
      </c>
      <c r="G2411" s="27" t="s">
        <v>5844</v>
      </c>
      <c r="H2411" s="65" t="str">
        <f t="shared" si="111"/>
        <v>Other</v>
      </c>
      <c r="I2411" s="65" t="str">
        <f t="shared" si="112"/>
        <v>600556</v>
      </c>
      <c r="J2411" s="65" t="str">
        <f t="shared" si="113"/>
        <v>611912</v>
      </c>
    </row>
    <row r="2412" spans="1:10" x14ac:dyDescent="0.3">
      <c r="A2412" s="27" t="s">
        <v>5845</v>
      </c>
      <c r="B2412" s="27" t="str">
        <f>"60.0557"</f>
        <v>60.0557</v>
      </c>
      <c r="C2412" s="64" t="s">
        <v>5846</v>
      </c>
      <c r="D2412" s="27" t="s">
        <v>2274</v>
      </c>
      <c r="E2412" s="27" t="s">
        <v>2230</v>
      </c>
      <c r="F2412" s="27" t="str">
        <f>"61.1913"</f>
        <v>61.1913</v>
      </c>
      <c r="G2412" s="27" t="s">
        <v>5847</v>
      </c>
      <c r="H2412" s="65" t="str">
        <f t="shared" si="111"/>
        <v>Other</v>
      </c>
      <c r="I2412" s="65" t="str">
        <f t="shared" si="112"/>
        <v>600557</v>
      </c>
      <c r="J2412" s="65" t="str">
        <f t="shared" si="113"/>
        <v>611913</v>
      </c>
    </row>
    <row r="2413" spans="1:10" x14ac:dyDescent="0.3">
      <c r="A2413" s="27" t="s">
        <v>5848</v>
      </c>
      <c r="B2413" s="27" t="str">
        <f>"60.0558"</f>
        <v>60.0558</v>
      </c>
      <c r="C2413" s="64" t="s">
        <v>5849</v>
      </c>
      <c r="D2413" s="27" t="s">
        <v>2274</v>
      </c>
      <c r="E2413" s="27" t="s">
        <v>2230</v>
      </c>
      <c r="F2413" s="27" t="str">
        <f>"61.1507"</f>
        <v>61.1507</v>
      </c>
      <c r="G2413" s="27" t="s">
        <v>5850</v>
      </c>
      <c r="H2413" s="65" t="str">
        <f t="shared" si="111"/>
        <v>Other</v>
      </c>
      <c r="I2413" s="65" t="str">
        <f t="shared" si="112"/>
        <v>600558</v>
      </c>
      <c r="J2413" s="65" t="str">
        <f t="shared" si="113"/>
        <v>611507</v>
      </c>
    </row>
    <row r="2414" spans="1:10" x14ac:dyDescent="0.3">
      <c r="A2414" s="27" t="s">
        <v>5851</v>
      </c>
      <c r="B2414" s="27" t="str">
        <f>"60.0559"</f>
        <v>60.0559</v>
      </c>
      <c r="C2414" s="64" t="s">
        <v>5852</v>
      </c>
      <c r="D2414" s="27" t="s">
        <v>2274</v>
      </c>
      <c r="E2414" s="27" t="s">
        <v>2230</v>
      </c>
      <c r="F2414" s="27" t="str">
        <f>"61.1703"</f>
        <v>61.1703</v>
      </c>
      <c r="G2414" s="27" t="s">
        <v>5853</v>
      </c>
      <c r="H2414" s="65" t="str">
        <f t="shared" si="111"/>
        <v>Other</v>
      </c>
      <c r="I2414" s="65" t="str">
        <f t="shared" si="112"/>
        <v>600559</v>
      </c>
      <c r="J2414" s="65" t="str">
        <f t="shared" si="113"/>
        <v>611703</v>
      </c>
    </row>
    <row r="2415" spans="1:10" x14ac:dyDescent="0.3">
      <c r="A2415" s="27" t="s">
        <v>5854</v>
      </c>
      <c r="B2415" s="27" t="str">
        <f>"60.0560"</f>
        <v>60.0560</v>
      </c>
      <c r="C2415" s="64" t="s">
        <v>5855</v>
      </c>
      <c r="D2415" s="27" t="s">
        <v>2274</v>
      </c>
      <c r="E2415" s="27" t="s">
        <v>2230</v>
      </c>
      <c r="F2415" s="27" t="str">
        <f>"61.1814"</f>
        <v>61.1814</v>
      </c>
      <c r="G2415" s="27" t="s">
        <v>5856</v>
      </c>
      <c r="H2415" s="65" t="str">
        <f t="shared" si="111"/>
        <v>Other</v>
      </c>
      <c r="I2415" s="65" t="str">
        <f t="shared" si="112"/>
        <v>600560</v>
      </c>
      <c r="J2415" s="65" t="str">
        <f t="shared" si="113"/>
        <v>611814</v>
      </c>
    </row>
    <row r="2416" spans="1:10" x14ac:dyDescent="0.3">
      <c r="A2416" s="27" t="s">
        <v>5857</v>
      </c>
      <c r="B2416" s="27" t="str">
        <f>"60.0561"</f>
        <v>60.0561</v>
      </c>
      <c r="C2416" s="64" t="s">
        <v>5858</v>
      </c>
      <c r="D2416" s="27" t="s">
        <v>2274</v>
      </c>
      <c r="E2416" s="27" t="s">
        <v>2230</v>
      </c>
      <c r="F2416" s="27" t="str">
        <f>"61.1914"</f>
        <v>61.1914</v>
      </c>
      <c r="G2416" s="27" t="s">
        <v>5859</v>
      </c>
      <c r="H2416" s="65" t="str">
        <f t="shared" si="111"/>
        <v>Other</v>
      </c>
      <c r="I2416" s="65" t="str">
        <f t="shared" si="112"/>
        <v>600561</v>
      </c>
      <c r="J2416" s="65" t="str">
        <f t="shared" si="113"/>
        <v>611914</v>
      </c>
    </row>
    <row r="2417" spans="1:10" x14ac:dyDescent="0.3">
      <c r="A2417" s="27" t="s">
        <v>5860</v>
      </c>
      <c r="B2417" s="27" t="str">
        <f>"60.0562"</f>
        <v>60.0562</v>
      </c>
      <c r="C2417" s="64" t="s">
        <v>5861</v>
      </c>
      <c r="D2417" s="27" t="s">
        <v>2274</v>
      </c>
      <c r="E2417" s="27" t="s">
        <v>2230</v>
      </c>
      <c r="F2417" s="27" t="str">
        <f>"61.2609"</f>
        <v>61.2609</v>
      </c>
      <c r="G2417" s="27" t="s">
        <v>5862</v>
      </c>
      <c r="H2417" s="65" t="str">
        <f t="shared" si="111"/>
        <v>Other</v>
      </c>
      <c r="I2417" s="65" t="str">
        <f t="shared" si="112"/>
        <v>600562</v>
      </c>
      <c r="J2417" s="65" t="str">
        <f t="shared" si="113"/>
        <v>612609</v>
      </c>
    </row>
    <row r="2418" spans="1:10" x14ac:dyDescent="0.3">
      <c r="A2418" s="27" t="s">
        <v>5863</v>
      </c>
      <c r="B2418" s="27" t="str">
        <f>"60.0563"</f>
        <v>60.0563</v>
      </c>
      <c r="C2418" s="64" t="s">
        <v>5864</v>
      </c>
      <c r="D2418" s="27" t="s">
        <v>2274</v>
      </c>
      <c r="E2418" s="27" t="s">
        <v>2230</v>
      </c>
      <c r="F2418" s="27" t="str">
        <f>"61.2003"</f>
        <v>61.2003</v>
      </c>
      <c r="G2418" s="27" t="s">
        <v>5865</v>
      </c>
      <c r="H2418" s="65" t="str">
        <f t="shared" si="111"/>
        <v>Other</v>
      </c>
      <c r="I2418" s="65" t="str">
        <f t="shared" si="112"/>
        <v>600563</v>
      </c>
      <c r="J2418" s="65" t="str">
        <f t="shared" si="113"/>
        <v>612003</v>
      </c>
    </row>
    <row r="2419" spans="1:10" x14ac:dyDescent="0.3">
      <c r="A2419" s="27" t="s">
        <v>5866</v>
      </c>
      <c r="B2419" s="27" t="str">
        <f>"60.0564"</f>
        <v>60.0564</v>
      </c>
      <c r="C2419" s="64" t="s">
        <v>5867</v>
      </c>
      <c r="D2419" s="27" t="s">
        <v>2274</v>
      </c>
      <c r="E2419" s="27" t="s">
        <v>2230</v>
      </c>
      <c r="F2419" s="27" t="str">
        <f>"61.1915"</f>
        <v>61.1915</v>
      </c>
      <c r="G2419" s="27" t="s">
        <v>5868</v>
      </c>
      <c r="H2419" s="65" t="str">
        <f t="shared" si="111"/>
        <v>Other</v>
      </c>
      <c r="I2419" s="65" t="str">
        <f t="shared" si="112"/>
        <v>600564</v>
      </c>
      <c r="J2419" s="65" t="str">
        <f t="shared" si="113"/>
        <v>611915</v>
      </c>
    </row>
    <row r="2420" spans="1:10" x14ac:dyDescent="0.3">
      <c r="A2420" s="27" t="s">
        <v>5869</v>
      </c>
      <c r="B2420" s="27" t="str">
        <f>"60.0565"</f>
        <v>60.0565</v>
      </c>
      <c r="C2420" s="64" t="s">
        <v>5870</v>
      </c>
      <c r="D2420" s="27" t="s">
        <v>2274</v>
      </c>
      <c r="E2420" s="27" t="s">
        <v>2230</v>
      </c>
      <c r="F2420" s="27" t="str">
        <f>"61.2705"</f>
        <v>61.2705</v>
      </c>
      <c r="G2420" s="27" t="s">
        <v>5871</v>
      </c>
      <c r="H2420" s="65" t="str">
        <f t="shared" si="111"/>
        <v>Other</v>
      </c>
      <c r="I2420" s="65" t="str">
        <f t="shared" si="112"/>
        <v>600565</v>
      </c>
      <c r="J2420" s="65" t="str">
        <f t="shared" si="113"/>
        <v>612705</v>
      </c>
    </row>
    <row r="2421" spans="1:10" x14ac:dyDescent="0.3">
      <c r="A2421" s="27" t="s">
        <v>5872</v>
      </c>
      <c r="B2421" s="27" t="str">
        <f>"60.0566"</f>
        <v>60.0566</v>
      </c>
      <c r="C2421" s="64" t="s">
        <v>5873</v>
      </c>
      <c r="D2421" s="27" t="s">
        <v>2274</v>
      </c>
      <c r="E2421" s="27" t="s">
        <v>2230</v>
      </c>
      <c r="F2421" s="27" t="str">
        <f>"61.1917"</f>
        <v>61.1917</v>
      </c>
      <c r="G2421" s="27" t="s">
        <v>5874</v>
      </c>
      <c r="H2421" s="65" t="str">
        <f t="shared" si="111"/>
        <v>Other</v>
      </c>
      <c r="I2421" s="65" t="str">
        <f t="shared" si="112"/>
        <v>600566</v>
      </c>
      <c r="J2421" s="65" t="str">
        <f t="shared" si="113"/>
        <v>611917</v>
      </c>
    </row>
    <row r="2422" spans="1:10" x14ac:dyDescent="0.3">
      <c r="A2422" s="27" t="s">
        <v>5875</v>
      </c>
      <c r="B2422" s="27" t="str">
        <f>"60.0567"</f>
        <v>60.0567</v>
      </c>
      <c r="C2422" s="64" t="s">
        <v>5876</v>
      </c>
      <c r="D2422" s="27" t="s">
        <v>2274</v>
      </c>
      <c r="E2422" s="27" t="s">
        <v>2230</v>
      </c>
      <c r="F2422" s="27" t="str">
        <f>"61.2802"</f>
        <v>61.2802</v>
      </c>
      <c r="G2422" s="27" t="s">
        <v>5877</v>
      </c>
      <c r="H2422" s="65" t="str">
        <f t="shared" si="111"/>
        <v>Other</v>
      </c>
      <c r="I2422" s="65" t="str">
        <f t="shared" si="112"/>
        <v>600567</v>
      </c>
      <c r="J2422" s="65" t="str">
        <f t="shared" si="113"/>
        <v>612802</v>
      </c>
    </row>
    <row r="2423" spans="1:10" ht="28.8" x14ac:dyDescent="0.3">
      <c r="A2423" s="27" t="s">
        <v>5878</v>
      </c>
      <c r="B2423" s="27" t="str">
        <f>"60.0568"</f>
        <v>60.0568</v>
      </c>
      <c r="C2423" s="64" t="s">
        <v>5879</v>
      </c>
      <c r="D2423" s="27" t="s">
        <v>4581</v>
      </c>
      <c r="E2423" s="27" t="s">
        <v>2232</v>
      </c>
      <c r="F2423" s="27" t="str">
        <f>"60.0568"</f>
        <v>60.0568</v>
      </c>
      <c r="G2423" s="27" t="s">
        <v>5880</v>
      </c>
      <c r="H2423" s="65" t="str">
        <f t="shared" si="111"/>
        <v>No Change</v>
      </c>
      <c r="I2423" s="65" t="str">
        <f t="shared" si="112"/>
        <v>600568</v>
      </c>
      <c r="J2423" s="65" t="str">
        <f t="shared" si="113"/>
        <v>600568</v>
      </c>
    </row>
    <row r="2424" spans="1:10" x14ac:dyDescent="0.3">
      <c r="A2424" s="27" t="s">
        <v>5881</v>
      </c>
      <c r="B2424" s="27" t="str">
        <f>"60.0569"</f>
        <v>60.0569</v>
      </c>
      <c r="C2424" s="64" t="s">
        <v>5882</v>
      </c>
      <c r="D2424" s="27" t="s">
        <v>2274</v>
      </c>
      <c r="E2424" s="27" t="s">
        <v>2230</v>
      </c>
      <c r="F2424" s="27" t="str">
        <f>"61.2103"</f>
        <v>61.2103</v>
      </c>
      <c r="G2424" s="27" t="s">
        <v>5883</v>
      </c>
      <c r="H2424" s="65" t="str">
        <f t="shared" si="111"/>
        <v>Other</v>
      </c>
      <c r="I2424" s="65" t="str">
        <f t="shared" si="112"/>
        <v>600569</v>
      </c>
      <c r="J2424" s="65" t="str">
        <f t="shared" si="113"/>
        <v>612103</v>
      </c>
    </row>
    <row r="2425" spans="1:10" x14ac:dyDescent="0.3">
      <c r="A2425" s="27" t="s">
        <v>5884</v>
      </c>
      <c r="B2425" s="27" t="str">
        <f>"60.0570"</f>
        <v>60.0570</v>
      </c>
      <c r="C2425" s="64" t="s">
        <v>5885</v>
      </c>
      <c r="D2425" s="27" t="s">
        <v>2274</v>
      </c>
      <c r="E2425" s="27" t="s">
        <v>2230</v>
      </c>
      <c r="F2425" s="27" t="str">
        <f>"61.2404"</f>
        <v>61.2404</v>
      </c>
      <c r="G2425" s="27" t="s">
        <v>5886</v>
      </c>
      <c r="H2425" s="65" t="str">
        <f t="shared" si="111"/>
        <v>Other</v>
      </c>
      <c r="I2425" s="65" t="str">
        <f t="shared" si="112"/>
        <v>600570</v>
      </c>
      <c r="J2425" s="65" t="str">
        <f t="shared" si="113"/>
        <v>612404</v>
      </c>
    </row>
    <row r="2426" spans="1:10" x14ac:dyDescent="0.3">
      <c r="A2426" s="27" t="s">
        <v>5887</v>
      </c>
      <c r="B2426" s="27" t="str">
        <f>"60.0571"</f>
        <v>60.0571</v>
      </c>
      <c r="C2426" s="64" t="s">
        <v>5888</v>
      </c>
      <c r="D2426" s="27" t="s">
        <v>2274</v>
      </c>
      <c r="E2426" s="27" t="s">
        <v>2230</v>
      </c>
      <c r="F2426" s="27" t="str">
        <f>"61.0814"</f>
        <v>61.0814</v>
      </c>
      <c r="G2426" s="27" t="s">
        <v>5889</v>
      </c>
      <c r="H2426" s="65" t="str">
        <f t="shared" si="111"/>
        <v>Other</v>
      </c>
      <c r="I2426" s="65" t="str">
        <f t="shared" si="112"/>
        <v>600571</v>
      </c>
      <c r="J2426" s="65" t="str">
        <f t="shared" si="113"/>
        <v>610814</v>
      </c>
    </row>
    <row r="2427" spans="1:10" x14ac:dyDescent="0.3">
      <c r="A2427" s="27" t="s">
        <v>5890</v>
      </c>
      <c r="B2427" s="27" t="str">
        <f>"60.0572"</f>
        <v>60.0572</v>
      </c>
      <c r="C2427" s="64" t="s">
        <v>5891</v>
      </c>
      <c r="D2427" s="27" t="s">
        <v>2274</v>
      </c>
      <c r="E2427" s="27" t="s">
        <v>2230</v>
      </c>
      <c r="F2427" s="27" t="str">
        <f>"61.1815"</f>
        <v>61.1815</v>
      </c>
      <c r="G2427" s="27" t="s">
        <v>5892</v>
      </c>
      <c r="H2427" s="65" t="str">
        <f t="shared" si="111"/>
        <v>Other</v>
      </c>
      <c r="I2427" s="65" t="str">
        <f t="shared" si="112"/>
        <v>600572</v>
      </c>
      <c r="J2427" s="65" t="str">
        <f t="shared" si="113"/>
        <v>611815</v>
      </c>
    </row>
    <row r="2428" spans="1:10" x14ac:dyDescent="0.3">
      <c r="A2428" s="27" t="s">
        <v>5893</v>
      </c>
      <c r="B2428" s="27" t="str">
        <f>"60.0573"</f>
        <v>60.0573</v>
      </c>
      <c r="C2428" s="64" t="s">
        <v>5894</v>
      </c>
      <c r="D2428" s="27" t="s">
        <v>2274</v>
      </c>
      <c r="E2428" s="27" t="s">
        <v>2230</v>
      </c>
      <c r="F2428" s="27" t="str">
        <f>"61.1305"</f>
        <v>61.1305</v>
      </c>
      <c r="G2428" s="27" t="s">
        <v>5895</v>
      </c>
      <c r="H2428" s="65" t="str">
        <f t="shared" si="111"/>
        <v>Other</v>
      </c>
      <c r="I2428" s="65" t="str">
        <f t="shared" si="112"/>
        <v>600573</v>
      </c>
      <c r="J2428" s="65" t="str">
        <f t="shared" si="113"/>
        <v>611305</v>
      </c>
    </row>
    <row r="2429" spans="1:10" x14ac:dyDescent="0.3">
      <c r="A2429" s="27" t="s">
        <v>5896</v>
      </c>
      <c r="B2429" s="27" t="str">
        <f>"60.0574"</f>
        <v>60.0574</v>
      </c>
      <c r="C2429" s="64" t="s">
        <v>5897</v>
      </c>
      <c r="D2429" s="27" t="s">
        <v>2274</v>
      </c>
      <c r="E2429" s="27" t="s">
        <v>2230</v>
      </c>
      <c r="F2429" s="27" t="str">
        <f>"61.0816"</f>
        <v>61.0816</v>
      </c>
      <c r="G2429" s="27" t="s">
        <v>5898</v>
      </c>
      <c r="H2429" s="65" t="str">
        <f t="shared" si="111"/>
        <v>Other</v>
      </c>
      <c r="I2429" s="65" t="str">
        <f t="shared" si="112"/>
        <v>600574</v>
      </c>
      <c r="J2429" s="65" t="str">
        <f t="shared" si="113"/>
        <v>610816</v>
      </c>
    </row>
    <row r="2430" spans="1:10" x14ac:dyDescent="0.3">
      <c r="A2430" s="27" t="s">
        <v>5899</v>
      </c>
      <c r="B2430" s="27" t="str">
        <f>"60.0575"</f>
        <v>60.0575</v>
      </c>
      <c r="C2430" s="64" t="s">
        <v>5900</v>
      </c>
      <c r="D2430" s="27" t="s">
        <v>2274</v>
      </c>
      <c r="E2430" s="27" t="s">
        <v>2230</v>
      </c>
      <c r="F2430" s="27" t="str">
        <f>"61.0226"</f>
        <v>61.0226</v>
      </c>
      <c r="G2430" s="27" t="s">
        <v>5901</v>
      </c>
      <c r="H2430" s="65" t="str">
        <f t="shared" si="111"/>
        <v>Other</v>
      </c>
      <c r="I2430" s="65" t="str">
        <f t="shared" si="112"/>
        <v>600575</v>
      </c>
      <c r="J2430" s="65" t="str">
        <f t="shared" si="113"/>
        <v>610226</v>
      </c>
    </row>
    <row r="2431" spans="1:10" x14ac:dyDescent="0.3">
      <c r="A2431" s="27" t="s">
        <v>5902</v>
      </c>
      <c r="B2431" s="27" t="str">
        <f>"60.0576"</f>
        <v>60.0576</v>
      </c>
      <c r="C2431" s="64" t="s">
        <v>5903</v>
      </c>
      <c r="D2431" s="27" t="s">
        <v>2274</v>
      </c>
      <c r="E2431" s="27" t="s">
        <v>2230</v>
      </c>
      <c r="F2431" s="27" t="str">
        <f>"61.2002"</f>
        <v>61.2002</v>
      </c>
      <c r="G2431" s="27" t="s">
        <v>5904</v>
      </c>
      <c r="H2431" s="65" t="str">
        <f t="shared" si="111"/>
        <v>Other</v>
      </c>
      <c r="I2431" s="65" t="str">
        <f t="shared" si="112"/>
        <v>600576</v>
      </c>
      <c r="J2431" s="65" t="str">
        <f t="shared" si="113"/>
        <v>612002</v>
      </c>
    </row>
    <row r="2432" spans="1:10" x14ac:dyDescent="0.3">
      <c r="A2432" s="27" t="s">
        <v>5905</v>
      </c>
      <c r="B2432" s="27" t="str">
        <f>"60.0577"</f>
        <v>60.0577</v>
      </c>
      <c r="C2432" s="64" t="s">
        <v>5906</v>
      </c>
      <c r="D2432" s="27" t="s">
        <v>2274</v>
      </c>
      <c r="E2432" s="27" t="s">
        <v>2230</v>
      </c>
      <c r="F2432" s="27" t="str">
        <f>"61.0228"</f>
        <v>61.0228</v>
      </c>
      <c r="G2432" s="27" t="s">
        <v>5907</v>
      </c>
      <c r="H2432" s="65" t="str">
        <f t="shared" si="111"/>
        <v>Other</v>
      </c>
      <c r="I2432" s="65" t="str">
        <f t="shared" si="112"/>
        <v>600577</v>
      </c>
      <c r="J2432" s="65" t="str">
        <f t="shared" si="113"/>
        <v>610228</v>
      </c>
    </row>
    <row r="2433" spans="1:10" x14ac:dyDescent="0.3">
      <c r="A2433" s="27" t="s">
        <v>5908</v>
      </c>
      <c r="B2433" s="27" t="str">
        <f>"60.0578"</f>
        <v>60.0578</v>
      </c>
      <c r="C2433" s="64" t="s">
        <v>5909</v>
      </c>
      <c r="D2433" s="27" t="s">
        <v>2274</v>
      </c>
      <c r="E2433" s="27" t="s">
        <v>2230</v>
      </c>
      <c r="F2433" s="27" t="str">
        <f>"61.0214"</f>
        <v>61.0214</v>
      </c>
      <c r="G2433" s="27" t="s">
        <v>5910</v>
      </c>
      <c r="H2433" s="65" t="str">
        <f t="shared" si="111"/>
        <v>Other</v>
      </c>
      <c r="I2433" s="65" t="str">
        <f t="shared" si="112"/>
        <v>600578</v>
      </c>
      <c r="J2433" s="65" t="str">
        <f t="shared" si="113"/>
        <v>610214</v>
      </c>
    </row>
    <row r="2434" spans="1:10" x14ac:dyDescent="0.3">
      <c r="A2434" s="27" t="s">
        <v>5911</v>
      </c>
      <c r="B2434" s="27" t="str">
        <f>"60.0579"</f>
        <v>60.0579</v>
      </c>
      <c r="C2434" s="64" t="s">
        <v>5912</v>
      </c>
      <c r="D2434" s="27" t="s">
        <v>2274</v>
      </c>
      <c r="E2434" s="27" t="s">
        <v>2230</v>
      </c>
      <c r="F2434" s="27" t="str">
        <f>"61.2706"</f>
        <v>61.2706</v>
      </c>
      <c r="G2434" s="27" t="s">
        <v>5913</v>
      </c>
      <c r="H2434" s="65" t="str">
        <f t="shared" si="111"/>
        <v>Other</v>
      </c>
      <c r="I2434" s="65" t="str">
        <f t="shared" si="112"/>
        <v>600579</v>
      </c>
      <c r="J2434" s="65" t="str">
        <f t="shared" si="113"/>
        <v>612706</v>
      </c>
    </row>
    <row r="2435" spans="1:10" x14ac:dyDescent="0.3">
      <c r="A2435" s="27" t="s">
        <v>5914</v>
      </c>
      <c r="B2435" s="27" t="str">
        <f>"60.0580"</f>
        <v>60.0580</v>
      </c>
      <c r="C2435" s="64" t="s">
        <v>5915</v>
      </c>
      <c r="D2435" s="27" t="s">
        <v>2274</v>
      </c>
      <c r="E2435" s="27" t="s">
        <v>2232</v>
      </c>
      <c r="F2435" s="27" t="str">
        <f>"61.2611"</f>
        <v>61.2611</v>
      </c>
      <c r="G2435" s="27" t="s">
        <v>5915</v>
      </c>
      <c r="H2435" s="65" t="str">
        <f t="shared" ref="H2435:H2498" si="114">IF(I2435=J2435,"No Change","Other")</f>
        <v>Other</v>
      </c>
      <c r="I2435" s="65" t="str">
        <f t="shared" ref="I2435:I2498" si="115">SUBSTITUTE(IF(SUM(LEN(B2435))&lt;7,"",B2435),".","")</f>
        <v>600580</v>
      </c>
      <c r="J2435" s="65" t="str">
        <f t="shared" ref="J2435:J2498" si="116">SUBSTITUTE(IF(SUM(LEN(F2435))&lt;7,"",F2435),".","")</f>
        <v>612611</v>
      </c>
    </row>
    <row r="2436" spans="1:10" x14ac:dyDescent="0.3">
      <c r="A2436" s="27" t="s">
        <v>5916</v>
      </c>
      <c r="B2436" s="27" t="str">
        <f>"60.0581"</f>
        <v>60.0581</v>
      </c>
      <c r="C2436" s="64" t="s">
        <v>5917</v>
      </c>
      <c r="D2436" s="27" t="s">
        <v>2274</v>
      </c>
      <c r="E2436" s="27" t="s">
        <v>2230</v>
      </c>
      <c r="F2436" s="27" t="str">
        <f>"61.0818"</f>
        <v>61.0818</v>
      </c>
      <c r="G2436" s="27" t="s">
        <v>5918</v>
      </c>
      <c r="H2436" s="65" t="str">
        <f t="shared" si="114"/>
        <v>Other</v>
      </c>
      <c r="I2436" s="65" t="str">
        <f t="shared" si="115"/>
        <v>600581</v>
      </c>
      <c r="J2436" s="65" t="str">
        <f t="shared" si="116"/>
        <v>610818</v>
      </c>
    </row>
    <row r="2437" spans="1:10" x14ac:dyDescent="0.3">
      <c r="A2437" s="27" t="s">
        <v>5919</v>
      </c>
      <c r="B2437" s="27" t="str">
        <f>"60.0582"</f>
        <v>60.0582</v>
      </c>
      <c r="C2437" s="64" t="s">
        <v>5920</v>
      </c>
      <c r="D2437" s="27" t="s">
        <v>2274</v>
      </c>
      <c r="E2437" s="27" t="s">
        <v>2230</v>
      </c>
      <c r="F2437" s="27" t="str">
        <f>"61.0230"</f>
        <v>61.0230</v>
      </c>
      <c r="G2437" s="27" t="s">
        <v>5921</v>
      </c>
      <c r="H2437" s="65" t="str">
        <f t="shared" si="114"/>
        <v>Other</v>
      </c>
      <c r="I2437" s="65" t="str">
        <f t="shared" si="115"/>
        <v>600582</v>
      </c>
      <c r="J2437" s="65" t="str">
        <f t="shared" si="116"/>
        <v>610230</v>
      </c>
    </row>
    <row r="2438" spans="1:10" x14ac:dyDescent="0.3">
      <c r="A2438" s="27" t="s">
        <v>5922</v>
      </c>
      <c r="B2438" s="27" t="str">
        <f>"60.0583"</f>
        <v>60.0583</v>
      </c>
      <c r="C2438" s="64" t="s">
        <v>5923</v>
      </c>
      <c r="D2438" s="27" t="s">
        <v>2274</v>
      </c>
      <c r="E2438" s="27" t="s">
        <v>2230</v>
      </c>
      <c r="F2438" s="27" t="str">
        <f>"61.2612"</f>
        <v>61.2612</v>
      </c>
      <c r="G2438" s="27" t="s">
        <v>5924</v>
      </c>
      <c r="H2438" s="65" t="str">
        <f t="shared" si="114"/>
        <v>Other</v>
      </c>
      <c r="I2438" s="65" t="str">
        <f t="shared" si="115"/>
        <v>600583</v>
      </c>
      <c r="J2438" s="65" t="str">
        <f t="shared" si="116"/>
        <v>612612</v>
      </c>
    </row>
    <row r="2439" spans="1:10" x14ac:dyDescent="0.3">
      <c r="A2439" s="27" t="s">
        <v>5925</v>
      </c>
      <c r="B2439" s="27" t="str">
        <f>"60.0584"</f>
        <v>60.0584</v>
      </c>
      <c r="C2439" s="64" t="s">
        <v>5926</v>
      </c>
      <c r="D2439" s="27" t="s">
        <v>2274</v>
      </c>
      <c r="E2439" s="27" t="s">
        <v>2230</v>
      </c>
      <c r="F2439" s="27" t="str">
        <f>"61.1107"</f>
        <v>61.1107</v>
      </c>
      <c r="G2439" s="27" t="s">
        <v>5927</v>
      </c>
      <c r="H2439" s="65" t="str">
        <f t="shared" si="114"/>
        <v>Other</v>
      </c>
      <c r="I2439" s="65" t="str">
        <f t="shared" si="115"/>
        <v>600584</v>
      </c>
      <c r="J2439" s="65" t="str">
        <f t="shared" si="116"/>
        <v>611107</v>
      </c>
    </row>
    <row r="2440" spans="1:10" x14ac:dyDescent="0.3">
      <c r="A2440" s="27" t="s">
        <v>5928</v>
      </c>
      <c r="B2440" s="27" t="str">
        <f>"60.0599"</f>
        <v>60.0599</v>
      </c>
      <c r="C2440" s="64" t="s">
        <v>5929</v>
      </c>
      <c r="D2440" s="27" t="s">
        <v>4581</v>
      </c>
      <c r="E2440" s="27" t="s">
        <v>2232</v>
      </c>
      <c r="F2440" s="27" t="str">
        <f>"60.0599"</f>
        <v>60.0599</v>
      </c>
      <c r="G2440" s="27" t="s">
        <v>4581</v>
      </c>
      <c r="H2440" s="65" t="str">
        <f t="shared" si="114"/>
        <v>No Change</v>
      </c>
      <c r="I2440" s="65" t="str">
        <f t="shared" si="115"/>
        <v>600599</v>
      </c>
      <c r="J2440" s="65" t="str">
        <f t="shared" si="116"/>
        <v>600599</v>
      </c>
    </row>
    <row r="2441" spans="1:10" x14ac:dyDescent="0.3">
      <c r="A2441" s="27" t="s">
        <v>1869</v>
      </c>
      <c r="B2441" s="27" t="str">
        <f>"60.06"</f>
        <v>60.06</v>
      </c>
      <c r="C2441" s="64" t="s">
        <v>5930</v>
      </c>
      <c r="D2441" s="27" t="s">
        <v>2274</v>
      </c>
      <c r="E2441" s="27" t="s">
        <v>2230</v>
      </c>
      <c r="F2441" s="27" t="str">
        <f>"61.22"</f>
        <v>61.22</v>
      </c>
      <c r="G2441" s="27" t="s">
        <v>5931</v>
      </c>
      <c r="H2441" s="65" t="str">
        <f t="shared" si="114"/>
        <v>No Change</v>
      </c>
      <c r="I2441" s="65" t="str">
        <f t="shared" si="115"/>
        <v/>
      </c>
      <c r="J2441" s="65" t="str">
        <f t="shared" si="116"/>
        <v/>
      </c>
    </row>
    <row r="2442" spans="1:10" x14ac:dyDescent="0.3">
      <c r="A2442" s="27" t="s">
        <v>5932</v>
      </c>
      <c r="B2442" s="27" t="str">
        <f>"60.0601"</f>
        <v>60.0601</v>
      </c>
      <c r="C2442" s="64" t="s">
        <v>5933</v>
      </c>
      <c r="D2442" s="27" t="s">
        <v>4581</v>
      </c>
      <c r="E2442" s="27" t="s">
        <v>2232</v>
      </c>
      <c r="F2442" s="27" t="str">
        <f>"60.0601"</f>
        <v>60.0601</v>
      </c>
      <c r="G2442" s="27" t="s">
        <v>5934</v>
      </c>
      <c r="H2442" s="65" t="str">
        <f t="shared" si="114"/>
        <v>No Change</v>
      </c>
      <c r="I2442" s="65" t="str">
        <f t="shared" si="115"/>
        <v>600601</v>
      </c>
      <c r="J2442" s="65" t="str">
        <f t="shared" si="116"/>
        <v>600601</v>
      </c>
    </row>
    <row r="2443" spans="1:10" x14ac:dyDescent="0.3">
      <c r="A2443" s="27" t="s">
        <v>5935</v>
      </c>
      <c r="B2443" s="27" t="str">
        <f>"60.0602"</f>
        <v>60.0602</v>
      </c>
      <c r="C2443" s="64" t="s">
        <v>5936</v>
      </c>
      <c r="D2443" s="27" t="s">
        <v>4581</v>
      </c>
      <c r="E2443" s="27" t="s">
        <v>2232</v>
      </c>
      <c r="F2443" s="27" t="str">
        <f>"60.0602"</f>
        <v>60.0602</v>
      </c>
      <c r="G2443" s="27" t="s">
        <v>5934</v>
      </c>
      <c r="H2443" s="65" t="str">
        <f t="shared" si="114"/>
        <v>No Change</v>
      </c>
      <c r="I2443" s="65" t="str">
        <f t="shared" si="115"/>
        <v>600602</v>
      </c>
      <c r="J2443" s="65" t="str">
        <f t="shared" si="116"/>
        <v>600602</v>
      </c>
    </row>
    <row r="2444" spans="1:10" x14ac:dyDescent="0.3">
      <c r="A2444" s="27" t="s">
        <v>1869</v>
      </c>
      <c r="D2444" s="27" t="s">
        <v>2255</v>
      </c>
      <c r="E2444" s="27" t="s">
        <v>2232</v>
      </c>
      <c r="F2444" s="27" t="str">
        <f>"60.07"</f>
        <v>60.07</v>
      </c>
      <c r="G2444" s="27" t="s">
        <v>5937</v>
      </c>
      <c r="H2444" s="65" t="str">
        <f t="shared" si="114"/>
        <v>No Change</v>
      </c>
      <c r="I2444" s="65" t="str">
        <f t="shared" si="115"/>
        <v/>
      </c>
      <c r="J2444" s="65" t="str">
        <f t="shared" si="116"/>
        <v/>
      </c>
    </row>
    <row r="2445" spans="1:10" x14ac:dyDescent="0.3">
      <c r="A2445" s="27" t="s">
        <v>1869</v>
      </c>
      <c r="D2445" s="27" t="s">
        <v>2255</v>
      </c>
      <c r="E2445" s="27" t="s">
        <v>2232</v>
      </c>
      <c r="F2445" s="27" t="str">
        <f>"60.0701"</f>
        <v>60.0701</v>
      </c>
      <c r="G2445" s="27" t="s">
        <v>5938</v>
      </c>
      <c r="H2445" s="65" t="str">
        <f t="shared" si="114"/>
        <v>Other</v>
      </c>
      <c r="I2445" s="65" t="str">
        <f t="shared" si="115"/>
        <v/>
      </c>
      <c r="J2445" s="65" t="str">
        <f t="shared" si="116"/>
        <v>600701</v>
      </c>
    </row>
    <row r="2446" spans="1:10" x14ac:dyDescent="0.3">
      <c r="A2446" s="27" t="s">
        <v>1869</v>
      </c>
      <c r="D2446" s="27" t="s">
        <v>2255</v>
      </c>
      <c r="E2446" s="27" t="s">
        <v>2232</v>
      </c>
      <c r="F2446" s="27" t="str">
        <f>"60.0702"</f>
        <v>60.0702</v>
      </c>
      <c r="G2446" s="27" t="s">
        <v>5939</v>
      </c>
      <c r="H2446" s="65" t="str">
        <f t="shared" si="114"/>
        <v>Other</v>
      </c>
      <c r="I2446" s="65" t="str">
        <f t="shared" si="115"/>
        <v/>
      </c>
      <c r="J2446" s="65" t="str">
        <f t="shared" si="116"/>
        <v>600702</v>
      </c>
    </row>
    <row r="2447" spans="1:10" x14ac:dyDescent="0.3">
      <c r="A2447" s="27" t="s">
        <v>1869</v>
      </c>
      <c r="D2447" s="27" t="s">
        <v>2255</v>
      </c>
      <c r="E2447" s="27" t="s">
        <v>2232</v>
      </c>
      <c r="F2447" s="27" t="str">
        <f>"60.0703"</f>
        <v>60.0703</v>
      </c>
      <c r="G2447" s="27" t="s">
        <v>5940</v>
      </c>
      <c r="H2447" s="65" t="str">
        <f t="shared" si="114"/>
        <v>Other</v>
      </c>
      <c r="I2447" s="65" t="str">
        <f t="shared" si="115"/>
        <v/>
      </c>
      <c r="J2447" s="65" t="str">
        <f t="shared" si="116"/>
        <v>600703</v>
      </c>
    </row>
    <row r="2448" spans="1:10" x14ac:dyDescent="0.3">
      <c r="A2448" s="27" t="s">
        <v>1869</v>
      </c>
      <c r="D2448" s="27" t="s">
        <v>2255</v>
      </c>
      <c r="E2448" s="27" t="s">
        <v>2232</v>
      </c>
      <c r="F2448" s="27" t="str">
        <f>"60.0704"</f>
        <v>60.0704</v>
      </c>
      <c r="G2448" s="27" t="s">
        <v>5941</v>
      </c>
      <c r="H2448" s="65" t="str">
        <f t="shared" si="114"/>
        <v>Other</v>
      </c>
      <c r="I2448" s="65" t="str">
        <f t="shared" si="115"/>
        <v/>
      </c>
      <c r="J2448" s="65" t="str">
        <f t="shared" si="116"/>
        <v>600704</v>
      </c>
    </row>
    <row r="2449" spans="1:10" x14ac:dyDescent="0.3">
      <c r="A2449" s="27" t="s">
        <v>1869</v>
      </c>
      <c r="D2449" s="27" t="s">
        <v>2255</v>
      </c>
      <c r="E2449" s="27" t="s">
        <v>2232</v>
      </c>
      <c r="F2449" s="27" t="str">
        <f>"60.0705"</f>
        <v>60.0705</v>
      </c>
      <c r="G2449" s="27" t="s">
        <v>5942</v>
      </c>
      <c r="H2449" s="65" t="str">
        <f t="shared" si="114"/>
        <v>Other</v>
      </c>
      <c r="I2449" s="65" t="str">
        <f t="shared" si="115"/>
        <v/>
      </c>
      <c r="J2449" s="65" t="str">
        <f t="shared" si="116"/>
        <v>600705</v>
      </c>
    </row>
    <row r="2450" spans="1:10" x14ac:dyDescent="0.3">
      <c r="A2450" s="27" t="s">
        <v>1869</v>
      </c>
      <c r="D2450" s="27" t="s">
        <v>2255</v>
      </c>
      <c r="E2450" s="27" t="s">
        <v>2232</v>
      </c>
      <c r="F2450" s="27" t="str">
        <f>"60.0706"</f>
        <v>60.0706</v>
      </c>
      <c r="G2450" s="27" t="s">
        <v>5943</v>
      </c>
      <c r="H2450" s="65" t="str">
        <f t="shared" si="114"/>
        <v>Other</v>
      </c>
      <c r="I2450" s="65" t="str">
        <f t="shared" si="115"/>
        <v/>
      </c>
      <c r="J2450" s="65" t="str">
        <f t="shared" si="116"/>
        <v>600706</v>
      </c>
    </row>
    <row r="2451" spans="1:10" x14ac:dyDescent="0.3">
      <c r="A2451" s="27" t="s">
        <v>1869</v>
      </c>
      <c r="D2451" s="27" t="s">
        <v>2255</v>
      </c>
      <c r="E2451" s="27" t="s">
        <v>2232</v>
      </c>
      <c r="F2451" s="27" t="str">
        <f>"60.0707"</f>
        <v>60.0707</v>
      </c>
      <c r="G2451" s="27" t="s">
        <v>5944</v>
      </c>
      <c r="H2451" s="65" t="str">
        <f t="shared" si="114"/>
        <v>Other</v>
      </c>
      <c r="I2451" s="65" t="str">
        <f t="shared" si="115"/>
        <v/>
      </c>
      <c r="J2451" s="65" t="str">
        <f t="shared" si="116"/>
        <v>600707</v>
      </c>
    </row>
    <row r="2452" spans="1:10" x14ac:dyDescent="0.3">
      <c r="A2452" s="27" t="s">
        <v>1869</v>
      </c>
      <c r="D2452" s="27" t="s">
        <v>2255</v>
      </c>
      <c r="E2452" s="27" t="s">
        <v>2232</v>
      </c>
      <c r="F2452" s="27" t="str">
        <f>"60.0708"</f>
        <v>60.0708</v>
      </c>
      <c r="G2452" s="27" t="s">
        <v>5945</v>
      </c>
      <c r="H2452" s="65" t="str">
        <f t="shared" si="114"/>
        <v>Other</v>
      </c>
      <c r="I2452" s="65" t="str">
        <f t="shared" si="115"/>
        <v/>
      </c>
      <c r="J2452" s="65" t="str">
        <f t="shared" si="116"/>
        <v>600708</v>
      </c>
    </row>
    <row r="2453" spans="1:10" x14ac:dyDescent="0.3">
      <c r="A2453" s="27" t="s">
        <v>1869</v>
      </c>
      <c r="D2453" s="27" t="s">
        <v>2255</v>
      </c>
      <c r="E2453" s="27" t="s">
        <v>2232</v>
      </c>
      <c r="F2453" s="27" t="str">
        <f>"60.0709"</f>
        <v>60.0709</v>
      </c>
      <c r="G2453" s="27" t="s">
        <v>5946</v>
      </c>
      <c r="H2453" s="65" t="str">
        <f t="shared" si="114"/>
        <v>Other</v>
      </c>
      <c r="I2453" s="65" t="str">
        <f t="shared" si="115"/>
        <v/>
      </c>
      <c r="J2453" s="65" t="str">
        <f t="shared" si="116"/>
        <v>600709</v>
      </c>
    </row>
    <row r="2454" spans="1:10" x14ac:dyDescent="0.3">
      <c r="A2454" s="27" t="s">
        <v>1869</v>
      </c>
      <c r="D2454" s="27" t="s">
        <v>2255</v>
      </c>
      <c r="E2454" s="27" t="s">
        <v>2232</v>
      </c>
      <c r="F2454" s="27" t="str">
        <f>"60.0710"</f>
        <v>60.0710</v>
      </c>
      <c r="G2454" s="27" t="s">
        <v>5947</v>
      </c>
      <c r="H2454" s="65" t="str">
        <f t="shared" si="114"/>
        <v>Other</v>
      </c>
      <c r="I2454" s="65" t="str">
        <f t="shared" si="115"/>
        <v/>
      </c>
      <c r="J2454" s="65" t="str">
        <f t="shared" si="116"/>
        <v>600710</v>
      </c>
    </row>
    <row r="2455" spans="1:10" x14ac:dyDescent="0.3">
      <c r="A2455" s="27" t="s">
        <v>1869</v>
      </c>
      <c r="D2455" s="27" t="s">
        <v>2255</v>
      </c>
      <c r="E2455" s="27" t="s">
        <v>2232</v>
      </c>
      <c r="F2455" s="27" t="str">
        <f>"60.0711"</f>
        <v>60.0711</v>
      </c>
      <c r="G2455" s="27" t="s">
        <v>5948</v>
      </c>
      <c r="H2455" s="65" t="str">
        <f t="shared" si="114"/>
        <v>Other</v>
      </c>
      <c r="I2455" s="65" t="str">
        <f t="shared" si="115"/>
        <v/>
      </c>
      <c r="J2455" s="65" t="str">
        <f t="shared" si="116"/>
        <v>600711</v>
      </c>
    </row>
    <row r="2456" spans="1:10" x14ac:dyDescent="0.3">
      <c r="A2456" s="27" t="s">
        <v>1869</v>
      </c>
      <c r="D2456" s="27" t="s">
        <v>2255</v>
      </c>
      <c r="E2456" s="27" t="s">
        <v>2232</v>
      </c>
      <c r="F2456" s="27" t="str">
        <f>"60.0712"</f>
        <v>60.0712</v>
      </c>
      <c r="G2456" s="27" t="s">
        <v>5949</v>
      </c>
      <c r="H2456" s="65" t="str">
        <f t="shared" si="114"/>
        <v>Other</v>
      </c>
      <c r="I2456" s="65" t="str">
        <f t="shared" si="115"/>
        <v/>
      </c>
      <c r="J2456" s="65" t="str">
        <f t="shared" si="116"/>
        <v>600712</v>
      </c>
    </row>
    <row r="2457" spans="1:10" x14ac:dyDescent="0.3">
      <c r="A2457" s="27" t="s">
        <v>1869</v>
      </c>
      <c r="D2457" s="27" t="s">
        <v>2255</v>
      </c>
      <c r="E2457" s="27" t="s">
        <v>2232</v>
      </c>
      <c r="F2457" s="27" t="str">
        <f>"60.0713"</f>
        <v>60.0713</v>
      </c>
      <c r="G2457" s="27" t="s">
        <v>5950</v>
      </c>
      <c r="H2457" s="65" t="str">
        <f t="shared" si="114"/>
        <v>Other</v>
      </c>
      <c r="I2457" s="65" t="str">
        <f t="shared" si="115"/>
        <v/>
      </c>
      <c r="J2457" s="65" t="str">
        <f t="shared" si="116"/>
        <v>600713</v>
      </c>
    </row>
    <row r="2458" spans="1:10" x14ac:dyDescent="0.3">
      <c r="A2458" s="27" t="s">
        <v>1869</v>
      </c>
      <c r="D2458" s="27" t="s">
        <v>2255</v>
      </c>
      <c r="E2458" s="27" t="s">
        <v>2232</v>
      </c>
      <c r="F2458" s="27" t="str">
        <f>"60.0714"</f>
        <v>60.0714</v>
      </c>
      <c r="G2458" s="27" t="s">
        <v>5951</v>
      </c>
      <c r="H2458" s="65" t="str">
        <f t="shared" si="114"/>
        <v>Other</v>
      </c>
      <c r="I2458" s="65" t="str">
        <f t="shared" si="115"/>
        <v/>
      </c>
      <c r="J2458" s="65" t="str">
        <f t="shared" si="116"/>
        <v>600714</v>
      </c>
    </row>
    <row r="2459" spans="1:10" x14ac:dyDescent="0.3">
      <c r="A2459" s="27" t="s">
        <v>1869</v>
      </c>
      <c r="D2459" s="27" t="s">
        <v>2255</v>
      </c>
      <c r="E2459" s="27" t="s">
        <v>2232</v>
      </c>
      <c r="F2459" s="27" t="str">
        <f>"60.0715"</f>
        <v>60.0715</v>
      </c>
      <c r="G2459" s="27" t="s">
        <v>5952</v>
      </c>
      <c r="H2459" s="65" t="str">
        <f t="shared" si="114"/>
        <v>Other</v>
      </c>
      <c r="I2459" s="65" t="str">
        <f t="shared" si="115"/>
        <v/>
      </c>
      <c r="J2459" s="65" t="str">
        <f t="shared" si="116"/>
        <v>600715</v>
      </c>
    </row>
    <row r="2460" spans="1:10" x14ac:dyDescent="0.3">
      <c r="A2460" s="27" t="s">
        <v>1869</v>
      </c>
      <c r="D2460" s="27" t="s">
        <v>2255</v>
      </c>
      <c r="E2460" s="27" t="s">
        <v>2232</v>
      </c>
      <c r="F2460" s="27" t="str">
        <f>"60.0716"</f>
        <v>60.0716</v>
      </c>
      <c r="G2460" s="27" t="s">
        <v>5953</v>
      </c>
      <c r="H2460" s="65" t="str">
        <f t="shared" si="114"/>
        <v>Other</v>
      </c>
      <c r="I2460" s="65" t="str">
        <f t="shared" si="115"/>
        <v/>
      </c>
      <c r="J2460" s="65" t="str">
        <f t="shared" si="116"/>
        <v>600716</v>
      </c>
    </row>
    <row r="2461" spans="1:10" x14ac:dyDescent="0.3">
      <c r="A2461" s="27" t="s">
        <v>1869</v>
      </c>
      <c r="D2461" s="27" t="s">
        <v>2255</v>
      </c>
      <c r="E2461" s="27" t="s">
        <v>2232</v>
      </c>
      <c r="F2461" s="27" t="str">
        <f>"60.0717"</f>
        <v>60.0717</v>
      </c>
      <c r="G2461" s="27" t="s">
        <v>5954</v>
      </c>
      <c r="H2461" s="65" t="str">
        <f t="shared" si="114"/>
        <v>Other</v>
      </c>
      <c r="I2461" s="65" t="str">
        <f t="shared" si="115"/>
        <v/>
      </c>
      <c r="J2461" s="65" t="str">
        <f t="shared" si="116"/>
        <v>600717</v>
      </c>
    </row>
    <row r="2462" spans="1:10" x14ac:dyDescent="0.3">
      <c r="A2462" s="27" t="s">
        <v>1869</v>
      </c>
      <c r="D2462" s="27" t="s">
        <v>2255</v>
      </c>
      <c r="E2462" s="27" t="s">
        <v>2232</v>
      </c>
      <c r="F2462" s="27" t="str">
        <f>"60.0718"</f>
        <v>60.0718</v>
      </c>
      <c r="G2462" s="27" t="s">
        <v>5955</v>
      </c>
      <c r="H2462" s="65" t="str">
        <f t="shared" si="114"/>
        <v>Other</v>
      </c>
      <c r="I2462" s="65" t="str">
        <f t="shared" si="115"/>
        <v/>
      </c>
      <c r="J2462" s="65" t="str">
        <f t="shared" si="116"/>
        <v>600718</v>
      </c>
    </row>
    <row r="2463" spans="1:10" x14ac:dyDescent="0.3">
      <c r="A2463" s="27" t="s">
        <v>1869</v>
      </c>
      <c r="D2463" s="27" t="s">
        <v>2255</v>
      </c>
      <c r="E2463" s="27" t="s">
        <v>2232</v>
      </c>
      <c r="F2463" s="27" t="str">
        <f>"60.0719"</f>
        <v>60.0719</v>
      </c>
      <c r="G2463" s="27" t="s">
        <v>5956</v>
      </c>
      <c r="H2463" s="65" t="str">
        <f t="shared" si="114"/>
        <v>Other</v>
      </c>
      <c r="I2463" s="65" t="str">
        <f t="shared" si="115"/>
        <v/>
      </c>
      <c r="J2463" s="65" t="str">
        <f t="shared" si="116"/>
        <v>600719</v>
      </c>
    </row>
    <row r="2464" spans="1:10" x14ac:dyDescent="0.3">
      <c r="A2464" s="27" t="s">
        <v>1869</v>
      </c>
      <c r="D2464" s="27" t="s">
        <v>2255</v>
      </c>
      <c r="E2464" s="27" t="s">
        <v>2232</v>
      </c>
      <c r="F2464" s="27" t="str">
        <f>"60.0720"</f>
        <v>60.0720</v>
      </c>
      <c r="G2464" s="27" t="s">
        <v>5957</v>
      </c>
      <c r="H2464" s="65" t="str">
        <f t="shared" si="114"/>
        <v>Other</v>
      </c>
      <c r="I2464" s="65" t="str">
        <f t="shared" si="115"/>
        <v/>
      </c>
      <c r="J2464" s="65" t="str">
        <f t="shared" si="116"/>
        <v>600720</v>
      </c>
    </row>
    <row r="2465" spans="1:10" x14ac:dyDescent="0.3">
      <c r="A2465" s="27" t="s">
        <v>1869</v>
      </c>
      <c r="D2465" s="27" t="s">
        <v>2255</v>
      </c>
      <c r="E2465" s="27" t="s">
        <v>2232</v>
      </c>
      <c r="F2465" s="27" t="str">
        <f>"60.0721"</f>
        <v>60.0721</v>
      </c>
      <c r="G2465" s="27" t="s">
        <v>5958</v>
      </c>
      <c r="H2465" s="65" t="str">
        <f t="shared" si="114"/>
        <v>Other</v>
      </c>
      <c r="I2465" s="65" t="str">
        <f t="shared" si="115"/>
        <v/>
      </c>
      <c r="J2465" s="65" t="str">
        <f t="shared" si="116"/>
        <v>600721</v>
      </c>
    </row>
    <row r="2466" spans="1:10" x14ac:dyDescent="0.3">
      <c r="A2466" s="27" t="s">
        <v>1869</v>
      </c>
      <c r="D2466" s="27" t="s">
        <v>2255</v>
      </c>
      <c r="E2466" s="27" t="s">
        <v>2232</v>
      </c>
      <c r="F2466" s="27" t="str">
        <f>"60.0722"</f>
        <v>60.0722</v>
      </c>
      <c r="G2466" s="27" t="s">
        <v>5959</v>
      </c>
      <c r="H2466" s="65" t="str">
        <f t="shared" si="114"/>
        <v>Other</v>
      </c>
      <c r="I2466" s="65" t="str">
        <f t="shared" si="115"/>
        <v/>
      </c>
      <c r="J2466" s="65" t="str">
        <f t="shared" si="116"/>
        <v>600722</v>
      </c>
    </row>
    <row r="2467" spans="1:10" x14ac:dyDescent="0.3">
      <c r="A2467" s="27" t="s">
        <v>1869</v>
      </c>
      <c r="D2467" s="27" t="s">
        <v>2255</v>
      </c>
      <c r="E2467" s="27" t="s">
        <v>2232</v>
      </c>
      <c r="F2467" s="27" t="str">
        <f>"60.0723"</f>
        <v>60.0723</v>
      </c>
      <c r="G2467" s="27" t="s">
        <v>5960</v>
      </c>
      <c r="H2467" s="65" t="str">
        <f t="shared" si="114"/>
        <v>Other</v>
      </c>
      <c r="I2467" s="65" t="str">
        <f t="shared" si="115"/>
        <v/>
      </c>
      <c r="J2467" s="65" t="str">
        <f t="shared" si="116"/>
        <v>600723</v>
      </c>
    </row>
    <row r="2468" spans="1:10" x14ac:dyDescent="0.3">
      <c r="A2468" s="27" t="s">
        <v>1869</v>
      </c>
      <c r="D2468" s="27" t="s">
        <v>2255</v>
      </c>
      <c r="E2468" s="27" t="s">
        <v>2232</v>
      </c>
      <c r="F2468" s="27" t="str">
        <f>"60.0724"</f>
        <v>60.0724</v>
      </c>
      <c r="G2468" s="27" t="s">
        <v>5961</v>
      </c>
      <c r="H2468" s="65" t="str">
        <f t="shared" si="114"/>
        <v>Other</v>
      </c>
      <c r="I2468" s="65" t="str">
        <f t="shared" si="115"/>
        <v/>
      </c>
      <c r="J2468" s="65" t="str">
        <f t="shared" si="116"/>
        <v>600724</v>
      </c>
    </row>
    <row r="2469" spans="1:10" x14ac:dyDescent="0.3">
      <c r="A2469" s="27" t="s">
        <v>1869</v>
      </c>
      <c r="D2469" s="27" t="s">
        <v>2255</v>
      </c>
      <c r="E2469" s="27" t="s">
        <v>2232</v>
      </c>
      <c r="F2469" s="27" t="str">
        <f>"60.0725"</f>
        <v>60.0725</v>
      </c>
      <c r="G2469" s="27" t="s">
        <v>5962</v>
      </c>
      <c r="H2469" s="65" t="str">
        <f t="shared" si="114"/>
        <v>Other</v>
      </c>
      <c r="I2469" s="65" t="str">
        <f t="shared" si="115"/>
        <v/>
      </c>
      <c r="J2469" s="65" t="str">
        <f t="shared" si="116"/>
        <v>600725</v>
      </c>
    </row>
    <row r="2470" spans="1:10" x14ac:dyDescent="0.3">
      <c r="A2470" s="27" t="s">
        <v>1869</v>
      </c>
      <c r="D2470" s="27" t="s">
        <v>2255</v>
      </c>
      <c r="E2470" s="27" t="s">
        <v>2232</v>
      </c>
      <c r="F2470" s="27" t="str">
        <f>"60.0726"</f>
        <v>60.0726</v>
      </c>
      <c r="G2470" s="27" t="s">
        <v>5963</v>
      </c>
      <c r="H2470" s="65" t="str">
        <f t="shared" si="114"/>
        <v>Other</v>
      </c>
      <c r="I2470" s="65" t="str">
        <f t="shared" si="115"/>
        <v/>
      </c>
      <c r="J2470" s="65" t="str">
        <f t="shared" si="116"/>
        <v>600726</v>
      </c>
    </row>
    <row r="2471" spans="1:10" x14ac:dyDescent="0.3">
      <c r="A2471" s="27" t="s">
        <v>1869</v>
      </c>
      <c r="D2471" s="27" t="s">
        <v>2255</v>
      </c>
      <c r="E2471" s="27" t="s">
        <v>2232</v>
      </c>
      <c r="F2471" s="27" t="str">
        <f>"60.0727"</f>
        <v>60.0727</v>
      </c>
      <c r="G2471" s="27" t="s">
        <v>5964</v>
      </c>
      <c r="H2471" s="65" t="str">
        <f t="shared" si="114"/>
        <v>Other</v>
      </c>
      <c r="I2471" s="65" t="str">
        <f t="shared" si="115"/>
        <v/>
      </c>
      <c r="J2471" s="65" t="str">
        <f t="shared" si="116"/>
        <v>600727</v>
      </c>
    </row>
    <row r="2472" spans="1:10" x14ac:dyDescent="0.3">
      <c r="A2472" s="27" t="s">
        <v>1869</v>
      </c>
      <c r="D2472" s="27" t="s">
        <v>2255</v>
      </c>
      <c r="E2472" s="27" t="s">
        <v>2232</v>
      </c>
      <c r="F2472" s="27" t="str">
        <f>"60.0728"</f>
        <v>60.0728</v>
      </c>
      <c r="G2472" s="27" t="s">
        <v>5965</v>
      </c>
      <c r="H2472" s="65" t="str">
        <f t="shared" si="114"/>
        <v>Other</v>
      </c>
      <c r="I2472" s="65" t="str">
        <f t="shared" si="115"/>
        <v/>
      </c>
      <c r="J2472" s="65" t="str">
        <f t="shared" si="116"/>
        <v>600728</v>
      </c>
    </row>
    <row r="2473" spans="1:10" x14ac:dyDescent="0.3">
      <c r="A2473" s="27" t="s">
        <v>1869</v>
      </c>
      <c r="D2473" s="27" t="s">
        <v>2255</v>
      </c>
      <c r="E2473" s="27" t="s">
        <v>2232</v>
      </c>
      <c r="F2473" s="27" t="str">
        <f>"60.0729"</f>
        <v>60.0729</v>
      </c>
      <c r="G2473" s="27" t="s">
        <v>5966</v>
      </c>
      <c r="H2473" s="65" t="str">
        <f t="shared" si="114"/>
        <v>Other</v>
      </c>
      <c r="I2473" s="65" t="str">
        <f t="shared" si="115"/>
        <v/>
      </c>
      <c r="J2473" s="65" t="str">
        <f t="shared" si="116"/>
        <v>600729</v>
      </c>
    </row>
    <row r="2474" spans="1:10" x14ac:dyDescent="0.3">
      <c r="A2474" s="27" t="s">
        <v>1869</v>
      </c>
      <c r="D2474" s="27" t="s">
        <v>2255</v>
      </c>
      <c r="E2474" s="27" t="s">
        <v>2232</v>
      </c>
      <c r="F2474" s="27" t="str">
        <f>"60.0730"</f>
        <v>60.0730</v>
      </c>
      <c r="G2474" s="27" t="s">
        <v>5967</v>
      </c>
      <c r="H2474" s="65" t="str">
        <f t="shared" si="114"/>
        <v>Other</v>
      </c>
      <c r="I2474" s="65" t="str">
        <f t="shared" si="115"/>
        <v/>
      </c>
      <c r="J2474" s="65" t="str">
        <f t="shared" si="116"/>
        <v>600730</v>
      </c>
    </row>
    <row r="2475" spans="1:10" x14ac:dyDescent="0.3">
      <c r="A2475" s="27" t="s">
        <v>1869</v>
      </c>
      <c r="D2475" s="27" t="s">
        <v>2255</v>
      </c>
      <c r="E2475" s="27" t="s">
        <v>2232</v>
      </c>
      <c r="F2475" s="27" t="str">
        <f>"60.0731"</f>
        <v>60.0731</v>
      </c>
      <c r="G2475" s="27" t="s">
        <v>5968</v>
      </c>
      <c r="H2475" s="65" t="str">
        <f t="shared" si="114"/>
        <v>Other</v>
      </c>
      <c r="I2475" s="65" t="str">
        <f t="shared" si="115"/>
        <v/>
      </c>
      <c r="J2475" s="65" t="str">
        <f t="shared" si="116"/>
        <v>600731</v>
      </c>
    </row>
    <row r="2476" spans="1:10" x14ac:dyDescent="0.3">
      <c r="A2476" s="27" t="s">
        <v>1869</v>
      </c>
      <c r="D2476" s="27" t="s">
        <v>2255</v>
      </c>
      <c r="E2476" s="27" t="s">
        <v>2232</v>
      </c>
      <c r="F2476" s="27" t="str">
        <f>"60.0732"</f>
        <v>60.0732</v>
      </c>
      <c r="G2476" s="27" t="s">
        <v>5969</v>
      </c>
      <c r="H2476" s="65" t="str">
        <f t="shared" si="114"/>
        <v>Other</v>
      </c>
      <c r="I2476" s="65" t="str">
        <f t="shared" si="115"/>
        <v/>
      </c>
      <c r="J2476" s="65" t="str">
        <f t="shared" si="116"/>
        <v>600732</v>
      </c>
    </row>
    <row r="2477" spans="1:10" x14ac:dyDescent="0.3">
      <c r="A2477" s="27" t="s">
        <v>1869</v>
      </c>
      <c r="D2477" s="27" t="s">
        <v>2255</v>
      </c>
      <c r="E2477" s="27" t="s">
        <v>2232</v>
      </c>
      <c r="F2477" s="27" t="str">
        <f>"60.0733"</f>
        <v>60.0733</v>
      </c>
      <c r="G2477" s="27" t="s">
        <v>5970</v>
      </c>
      <c r="H2477" s="65" t="str">
        <f t="shared" si="114"/>
        <v>Other</v>
      </c>
      <c r="I2477" s="65" t="str">
        <f t="shared" si="115"/>
        <v/>
      </c>
      <c r="J2477" s="65" t="str">
        <f t="shared" si="116"/>
        <v>600733</v>
      </c>
    </row>
    <row r="2478" spans="1:10" x14ac:dyDescent="0.3">
      <c r="A2478" s="27" t="s">
        <v>1869</v>
      </c>
      <c r="D2478" s="27" t="s">
        <v>2255</v>
      </c>
      <c r="E2478" s="27" t="s">
        <v>2232</v>
      </c>
      <c r="F2478" s="27" t="str">
        <f>"60.0734"</f>
        <v>60.0734</v>
      </c>
      <c r="G2478" s="27" t="s">
        <v>5971</v>
      </c>
      <c r="H2478" s="65" t="str">
        <f t="shared" si="114"/>
        <v>Other</v>
      </c>
      <c r="I2478" s="65" t="str">
        <f t="shared" si="115"/>
        <v/>
      </c>
      <c r="J2478" s="65" t="str">
        <f t="shared" si="116"/>
        <v>600734</v>
      </c>
    </row>
    <row r="2479" spans="1:10" x14ac:dyDescent="0.3">
      <c r="A2479" s="27" t="s">
        <v>1869</v>
      </c>
      <c r="D2479" s="27" t="s">
        <v>2255</v>
      </c>
      <c r="E2479" s="27" t="s">
        <v>2232</v>
      </c>
      <c r="F2479" s="27" t="str">
        <f>"60.0735"</f>
        <v>60.0735</v>
      </c>
      <c r="G2479" s="27" t="s">
        <v>5972</v>
      </c>
      <c r="H2479" s="65" t="str">
        <f t="shared" si="114"/>
        <v>Other</v>
      </c>
      <c r="I2479" s="65" t="str">
        <f t="shared" si="115"/>
        <v/>
      </c>
      <c r="J2479" s="65" t="str">
        <f t="shared" si="116"/>
        <v>600735</v>
      </c>
    </row>
    <row r="2480" spans="1:10" x14ac:dyDescent="0.3">
      <c r="A2480" s="27" t="s">
        <v>1869</v>
      </c>
      <c r="D2480" s="27" t="s">
        <v>2255</v>
      </c>
      <c r="E2480" s="27" t="s">
        <v>2232</v>
      </c>
      <c r="F2480" s="27" t="str">
        <f>"60.0736"</f>
        <v>60.0736</v>
      </c>
      <c r="G2480" s="27" t="s">
        <v>5973</v>
      </c>
      <c r="H2480" s="65" t="str">
        <f t="shared" si="114"/>
        <v>Other</v>
      </c>
      <c r="I2480" s="65" t="str">
        <f t="shared" si="115"/>
        <v/>
      </c>
      <c r="J2480" s="65" t="str">
        <f t="shared" si="116"/>
        <v>600736</v>
      </c>
    </row>
    <row r="2481" spans="1:10" x14ac:dyDescent="0.3">
      <c r="A2481" s="27" t="s">
        <v>1869</v>
      </c>
      <c r="D2481" s="27" t="s">
        <v>2255</v>
      </c>
      <c r="E2481" s="27" t="s">
        <v>2232</v>
      </c>
      <c r="F2481" s="27" t="str">
        <f>"60.0737"</f>
        <v>60.0737</v>
      </c>
      <c r="G2481" s="27" t="s">
        <v>5974</v>
      </c>
      <c r="H2481" s="65" t="str">
        <f t="shared" si="114"/>
        <v>Other</v>
      </c>
      <c r="I2481" s="65" t="str">
        <f t="shared" si="115"/>
        <v/>
      </c>
      <c r="J2481" s="65" t="str">
        <f t="shared" si="116"/>
        <v>600737</v>
      </c>
    </row>
    <row r="2482" spans="1:10" x14ac:dyDescent="0.3">
      <c r="A2482" s="27" t="s">
        <v>1869</v>
      </c>
      <c r="D2482" s="27" t="s">
        <v>2255</v>
      </c>
      <c r="E2482" s="27" t="s">
        <v>2232</v>
      </c>
      <c r="F2482" s="27" t="str">
        <f>"60.0738"</f>
        <v>60.0738</v>
      </c>
      <c r="G2482" s="27" t="s">
        <v>5975</v>
      </c>
      <c r="H2482" s="65" t="str">
        <f t="shared" si="114"/>
        <v>Other</v>
      </c>
      <c r="I2482" s="65" t="str">
        <f t="shared" si="115"/>
        <v/>
      </c>
      <c r="J2482" s="65" t="str">
        <f t="shared" si="116"/>
        <v>600738</v>
      </c>
    </row>
    <row r="2483" spans="1:10" x14ac:dyDescent="0.3">
      <c r="A2483" s="27" t="s">
        <v>1869</v>
      </c>
      <c r="D2483" s="27" t="s">
        <v>2255</v>
      </c>
      <c r="E2483" s="27" t="s">
        <v>2232</v>
      </c>
      <c r="F2483" s="27" t="str">
        <f>"60.0739"</f>
        <v>60.0739</v>
      </c>
      <c r="G2483" s="27" t="s">
        <v>5976</v>
      </c>
      <c r="H2483" s="65" t="str">
        <f t="shared" si="114"/>
        <v>Other</v>
      </c>
      <c r="I2483" s="65" t="str">
        <f t="shared" si="115"/>
        <v/>
      </c>
      <c r="J2483" s="65" t="str">
        <f t="shared" si="116"/>
        <v>600739</v>
      </c>
    </row>
    <row r="2484" spans="1:10" x14ac:dyDescent="0.3">
      <c r="A2484" s="27" t="s">
        <v>1869</v>
      </c>
      <c r="D2484" s="27" t="s">
        <v>2255</v>
      </c>
      <c r="E2484" s="27" t="s">
        <v>2232</v>
      </c>
      <c r="F2484" s="27" t="str">
        <f>"60.0740"</f>
        <v>60.0740</v>
      </c>
      <c r="G2484" s="27" t="s">
        <v>5977</v>
      </c>
      <c r="H2484" s="65" t="str">
        <f t="shared" si="114"/>
        <v>Other</v>
      </c>
      <c r="I2484" s="65" t="str">
        <f t="shared" si="115"/>
        <v/>
      </c>
      <c r="J2484" s="65" t="str">
        <f t="shared" si="116"/>
        <v>600740</v>
      </c>
    </row>
    <row r="2485" spans="1:10" x14ac:dyDescent="0.3">
      <c r="A2485" s="27" t="s">
        <v>1869</v>
      </c>
      <c r="D2485" s="27" t="s">
        <v>2255</v>
      </c>
      <c r="E2485" s="27" t="s">
        <v>2232</v>
      </c>
      <c r="F2485" s="27" t="str">
        <f>"60.0741"</f>
        <v>60.0741</v>
      </c>
      <c r="G2485" s="27" t="s">
        <v>5978</v>
      </c>
      <c r="H2485" s="65" t="str">
        <f t="shared" si="114"/>
        <v>Other</v>
      </c>
      <c r="I2485" s="65" t="str">
        <f t="shared" si="115"/>
        <v/>
      </c>
      <c r="J2485" s="65" t="str">
        <f t="shared" si="116"/>
        <v>600741</v>
      </c>
    </row>
    <row r="2486" spans="1:10" x14ac:dyDescent="0.3">
      <c r="A2486" s="27" t="s">
        <v>1869</v>
      </c>
      <c r="D2486" s="27" t="s">
        <v>2255</v>
      </c>
      <c r="E2486" s="27" t="s">
        <v>2232</v>
      </c>
      <c r="F2486" s="27" t="str">
        <f>"60.0742"</f>
        <v>60.0742</v>
      </c>
      <c r="G2486" s="27" t="s">
        <v>5979</v>
      </c>
      <c r="H2486" s="65" t="str">
        <f t="shared" si="114"/>
        <v>Other</v>
      </c>
      <c r="I2486" s="65" t="str">
        <f t="shared" si="115"/>
        <v/>
      </c>
      <c r="J2486" s="65" t="str">
        <f t="shared" si="116"/>
        <v>600742</v>
      </c>
    </row>
    <row r="2487" spans="1:10" x14ac:dyDescent="0.3">
      <c r="A2487" s="27" t="s">
        <v>1869</v>
      </c>
      <c r="D2487" s="27" t="s">
        <v>2255</v>
      </c>
      <c r="E2487" s="27" t="s">
        <v>2232</v>
      </c>
      <c r="F2487" s="27" t="str">
        <f>"60.0743"</f>
        <v>60.0743</v>
      </c>
      <c r="G2487" s="27" t="s">
        <v>5980</v>
      </c>
      <c r="H2487" s="65" t="str">
        <f t="shared" si="114"/>
        <v>Other</v>
      </c>
      <c r="I2487" s="65" t="str">
        <f t="shared" si="115"/>
        <v/>
      </c>
      <c r="J2487" s="65" t="str">
        <f t="shared" si="116"/>
        <v>600743</v>
      </c>
    </row>
    <row r="2488" spans="1:10" x14ac:dyDescent="0.3">
      <c r="A2488" s="27" t="s">
        <v>1869</v>
      </c>
      <c r="D2488" s="27" t="s">
        <v>2255</v>
      </c>
      <c r="E2488" s="27" t="s">
        <v>2232</v>
      </c>
      <c r="F2488" s="27" t="str">
        <f>"60.0744"</f>
        <v>60.0744</v>
      </c>
      <c r="G2488" s="27" t="s">
        <v>5981</v>
      </c>
      <c r="H2488" s="65" t="str">
        <f t="shared" si="114"/>
        <v>Other</v>
      </c>
      <c r="I2488" s="65" t="str">
        <f t="shared" si="115"/>
        <v/>
      </c>
      <c r="J2488" s="65" t="str">
        <f t="shared" si="116"/>
        <v>600744</v>
      </c>
    </row>
    <row r="2489" spans="1:10" x14ac:dyDescent="0.3">
      <c r="A2489" s="27" t="s">
        <v>1869</v>
      </c>
      <c r="D2489" s="27" t="s">
        <v>2255</v>
      </c>
      <c r="E2489" s="27" t="s">
        <v>2232</v>
      </c>
      <c r="F2489" s="27" t="str">
        <f>"60.0745"</f>
        <v>60.0745</v>
      </c>
      <c r="G2489" s="27" t="s">
        <v>5982</v>
      </c>
      <c r="H2489" s="65" t="str">
        <f t="shared" si="114"/>
        <v>Other</v>
      </c>
      <c r="I2489" s="65" t="str">
        <f t="shared" si="115"/>
        <v/>
      </c>
      <c r="J2489" s="65" t="str">
        <f t="shared" si="116"/>
        <v>600745</v>
      </c>
    </row>
    <row r="2490" spans="1:10" x14ac:dyDescent="0.3">
      <c r="A2490" s="27" t="s">
        <v>1869</v>
      </c>
      <c r="D2490" s="27" t="s">
        <v>2255</v>
      </c>
      <c r="E2490" s="27" t="s">
        <v>2232</v>
      </c>
      <c r="F2490" s="27" t="str">
        <f>"60.0746"</f>
        <v>60.0746</v>
      </c>
      <c r="G2490" s="27" t="s">
        <v>5983</v>
      </c>
      <c r="H2490" s="65" t="str">
        <f t="shared" si="114"/>
        <v>Other</v>
      </c>
      <c r="I2490" s="65" t="str">
        <f t="shared" si="115"/>
        <v/>
      </c>
      <c r="J2490" s="65" t="str">
        <f t="shared" si="116"/>
        <v>600746</v>
      </c>
    </row>
    <row r="2491" spans="1:10" x14ac:dyDescent="0.3">
      <c r="A2491" s="27" t="s">
        <v>1869</v>
      </c>
      <c r="D2491" s="27" t="s">
        <v>2255</v>
      </c>
      <c r="E2491" s="27" t="s">
        <v>2232</v>
      </c>
      <c r="F2491" s="27" t="str">
        <f>"60.0747"</f>
        <v>60.0747</v>
      </c>
      <c r="G2491" s="27" t="s">
        <v>5984</v>
      </c>
      <c r="H2491" s="65" t="str">
        <f t="shared" si="114"/>
        <v>Other</v>
      </c>
      <c r="I2491" s="65" t="str">
        <f t="shared" si="115"/>
        <v/>
      </c>
      <c r="J2491" s="65" t="str">
        <f t="shared" si="116"/>
        <v>600747</v>
      </c>
    </row>
    <row r="2492" spans="1:10" x14ac:dyDescent="0.3">
      <c r="A2492" s="27" t="s">
        <v>1869</v>
      </c>
      <c r="D2492" s="27" t="s">
        <v>2255</v>
      </c>
      <c r="E2492" s="27" t="s">
        <v>2232</v>
      </c>
      <c r="F2492" s="27" t="str">
        <f>"60.0748"</f>
        <v>60.0748</v>
      </c>
      <c r="G2492" s="27" t="s">
        <v>5985</v>
      </c>
      <c r="H2492" s="65" t="str">
        <f t="shared" si="114"/>
        <v>Other</v>
      </c>
      <c r="I2492" s="65" t="str">
        <f t="shared" si="115"/>
        <v/>
      </c>
      <c r="J2492" s="65" t="str">
        <f t="shared" si="116"/>
        <v>600748</v>
      </c>
    </row>
    <row r="2493" spans="1:10" x14ac:dyDescent="0.3">
      <c r="A2493" s="27" t="s">
        <v>1869</v>
      </c>
      <c r="D2493" s="27" t="s">
        <v>2255</v>
      </c>
      <c r="E2493" s="27" t="s">
        <v>2232</v>
      </c>
      <c r="F2493" s="27" t="str">
        <f>"60.0749"</f>
        <v>60.0749</v>
      </c>
      <c r="G2493" s="27" t="s">
        <v>5986</v>
      </c>
      <c r="H2493" s="65" t="str">
        <f t="shared" si="114"/>
        <v>Other</v>
      </c>
      <c r="I2493" s="65" t="str">
        <f t="shared" si="115"/>
        <v/>
      </c>
      <c r="J2493" s="65" t="str">
        <f t="shared" si="116"/>
        <v>600749</v>
      </c>
    </row>
    <row r="2494" spans="1:10" x14ac:dyDescent="0.3">
      <c r="A2494" s="27" t="s">
        <v>1869</v>
      </c>
      <c r="D2494" s="27" t="s">
        <v>2255</v>
      </c>
      <c r="E2494" s="27" t="s">
        <v>2232</v>
      </c>
      <c r="F2494" s="27" t="str">
        <f>"60.0750"</f>
        <v>60.0750</v>
      </c>
      <c r="G2494" s="27" t="s">
        <v>5987</v>
      </c>
      <c r="H2494" s="65" t="str">
        <f t="shared" si="114"/>
        <v>Other</v>
      </c>
      <c r="I2494" s="65" t="str">
        <f t="shared" si="115"/>
        <v/>
      </c>
      <c r="J2494" s="65" t="str">
        <f t="shared" si="116"/>
        <v>600750</v>
      </c>
    </row>
    <row r="2495" spans="1:10" x14ac:dyDescent="0.3">
      <c r="A2495" s="27" t="s">
        <v>1869</v>
      </c>
      <c r="D2495" s="27" t="s">
        <v>2255</v>
      </c>
      <c r="E2495" s="27" t="s">
        <v>2232</v>
      </c>
      <c r="F2495" s="27" t="str">
        <f>"60.0751"</f>
        <v>60.0751</v>
      </c>
      <c r="G2495" s="27" t="s">
        <v>5988</v>
      </c>
      <c r="H2495" s="65" t="str">
        <f t="shared" si="114"/>
        <v>Other</v>
      </c>
      <c r="I2495" s="65" t="str">
        <f t="shared" si="115"/>
        <v/>
      </c>
      <c r="J2495" s="65" t="str">
        <f t="shared" si="116"/>
        <v>600751</v>
      </c>
    </row>
    <row r="2496" spans="1:10" x14ac:dyDescent="0.3">
      <c r="A2496" s="27" t="s">
        <v>1869</v>
      </c>
      <c r="D2496" s="27" t="s">
        <v>2255</v>
      </c>
      <c r="E2496" s="27" t="s">
        <v>2232</v>
      </c>
      <c r="F2496" s="27" t="str">
        <f>"60.0799"</f>
        <v>60.0799</v>
      </c>
      <c r="G2496" s="27" t="s">
        <v>5989</v>
      </c>
      <c r="H2496" s="65" t="str">
        <f t="shared" si="114"/>
        <v>Other</v>
      </c>
      <c r="I2496" s="65" t="str">
        <f t="shared" si="115"/>
        <v/>
      </c>
      <c r="J2496" s="65" t="str">
        <f t="shared" si="116"/>
        <v>600799</v>
      </c>
    </row>
    <row r="2497" spans="1:10" x14ac:dyDescent="0.3">
      <c r="A2497" s="27" t="s">
        <v>1869</v>
      </c>
      <c r="D2497" s="27" t="s">
        <v>2255</v>
      </c>
      <c r="E2497" s="27" t="s">
        <v>2232</v>
      </c>
      <c r="F2497" s="27" t="str">
        <f>"60.08"</f>
        <v>60.08</v>
      </c>
      <c r="G2497" s="27" t="s">
        <v>5990</v>
      </c>
      <c r="H2497" s="65" t="str">
        <f t="shared" si="114"/>
        <v>No Change</v>
      </c>
      <c r="I2497" s="65" t="str">
        <f t="shared" si="115"/>
        <v/>
      </c>
      <c r="J2497" s="65" t="str">
        <f t="shared" si="116"/>
        <v/>
      </c>
    </row>
    <row r="2498" spans="1:10" x14ac:dyDescent="0.3">
      <c r="A2498" s="27" t="s">
        <v>1869</v>
      </c>
      <c r="D2498" s="27" t="s">
        <v>2255</v>
      </c>
      <c r="E2498" s="27" t="s">
        <v>2232</v>
      </c>
      <c r="F2498" s="27" t="str">
        <f>"60.0801"</f>
        <v>60.0801</v>
      </c>
      <c r="G2498" s="27" t="s">
        <v>5991</v>
      </c>
      <c r="H2498" s="65" t="str">
        <f t="shared" si="114"/>
        <v>Other</v>
      </c>
      <c r="I2498" s="65" t="str">
        <f t="shared" si="115"/>
        <v/>
      </c>
      <c r="J2498" s="65" t="str">
        <f t="shared" si="116"/>
        <v>600801</v>
      </c>
    </row>
    <row r="2499" spans="1:10" x14ac:dyDescent="0.3">
      <c r="A2499" s="27" t="s">
        <v>1869</v>
      </c>
      <c r="D2499" s="27" t="s">
        <v>2255</v>
      </c>
      <c r="E2499" s="27" t="s">
        <v>2232</v>
      </c>
      <c r="F2499" s="27" t="str">
        <f>"60.0802"</f>
        <v>60.0802</v>
      </c>
      <c r="G2499" s="27" t="s">
        <v>5992</v>
      </c>
      <c r="H2499" s="65" t="str">
        <f t="shared" ref="H2499:H2562" si="117">IF(I2499=J2499,"No Change","Other")</f>
        <v>Other</v>
      </c>
      <c r="I2499" s="65" t="str">
        <f t="shared" ref="I2499:I2562" si="118">SUBSTITUTE(IF(SUM(LEN(B2499))&lt;7,"",B2499),".","")</f>
        <v/>
      </c>
      <c r="J2499" s="65" t="str">
        <f t="shared" ref="J2499:J2562" si="119">SUBSTITUTE(IF(SUM(LEN(F2499))&lt;7,"",F2499),".","")</f>
        <v>600802</v>
      </c>
    </row>
    <row r="2500" spans="1:10" x14ac:dyDescent="0.3">
      <c r="A2500" s="27" t="s">
        <v>1869</v>
      </c>
      <c r="D2500" s="27" t="s">
        <v>2255</v>
      </c>
      <c r="E2500" s="27" t="s">
        <v>2232</v>
      </c>
      <c r="F2500" s="27" t="str">
        <f>"60.0803"</f>
        <v>60.0803</v>
      </c>
      <c r="G2500" s="27" t="s">
        <v>5993</v>
      </c>
      <c r="H2500" s="65" t="str">
        <f t="shared" si="117"/>
        <v>Other</v>
      </c>
      <c r="I2500" s="65" t="str">
        <f t="shared" si="118"/>
        <v/>
      </c>
      <c r="J2500" s="65" t="str">
        <f t="shared" si="119"/>
        <v>600803</v>
      </c>
    </row>
    <row r="2501" spans="1:10" x14ac:dyDescent="0.3">
      <c r="A2501" s="27" t="s">
        <v>1869</v>
      </c>
      <c r="D2501" s="27" t="s">
        <v>2255</v>
      </c>
      <c r="E2501" s="27" t="s">
        <v>2232</v>
      </c>
      <c r="F2501" s="27" t="str">
        <f>"60.0804"</f>
        <v>60.0804</v>
      </c>
      <c r="G2501" s="27" t="s">
        <v>5994</v>
      </c>
      <c r="H2501" s="65" t="str">
        <f t="shared" si="117"/>
        <v>Other</v>
      </c>
      <c r="I2501" s="65" t="str">
        <f t="shared" si="118"/>
        <v/>
      </c>
      <c r="J2501" s="65" t="str">
        <f t="shared" si="119"/>
        <v>600804</v>
      </c>
    </row>
    <row r="2502" spans="1:10" x14ac:dyDescent="0.3">
      <c r="A2502" s="27" t="s">
        <v>1869</v>
      </c>
      <c r="D2502" s="27" t="s">
        <v>2255</v>
      </c>
      <c r="E2502" s="27" t="s">
        <v>2232</v>
      </c>
      <c r="F2502" s="27" t="str">
        <f>"60.0805"</f>
        <v>60.0805</v>
      </c>
      <c r="G2502" s="27" t="s">
        <v>5995</v>
      </c>
      <c r="H2502" s="65" t="str">
        <f t="shared" si="117"/>
        <v>Other</v>
      </c>
      <c r="I2502" s="65" t="str">
        <f t="shared" si="118"/>
        <v/>
      </c>
      <c r="J2502" s="65" t="str">
        <f t="shared" si="119"/>
        <v>600805</v>
      </c>
    </row>
    <row r="2503" spans="1:10" x14ac:dyDescent="0.3">
      <c r="A2503" s="27" t="s">
        <v>1869</v>
      </c>
      <c r="D2503" s="27" t="s">
        <v>2255</v>
      </c>
      <c r="E2503" s="27" t="s">
        <v>2232</v>
      </c>
      <c r="F2503" s="27" t="str">
        <f>"60.0806"</f>
        <v>60.0806</v>
      </c>
      <c r="G2503" s="27" t="s">
        <v>5996</v>
      </c>
      <c r="H2503" s="65" t="str">
        <f t="shared" si="117"/>
        <v>Other</v>
      </c>
      <c r="I2503" s="65" t="str">
        <f t="shared" si="118"/>
        <v/>
      </c>
      <c r="J2503" s="65" t="str">
        <f t="shared" si="119"/>
        <v>600806</v>
      </c>
    </row>
    <row r="2504" spans="1:10" x14ac:dyDescent="0.3">
      <c r="A2504" s="27" t="s">
        <v>1869</v>
      </c>
      <c r="D2504" s="27" t="s">
        <v>2255</v>
      </c>
      <c r="E2504" s="27" t="s">
        <v>2232</v>
      </c>
      <c r="F2504" s="27" t="str">
        <f>"60.0807"</f>
        <v>60.0807</v>
      </c>
      <c r="G2504" s="27" t="s">
        <v>5997</v>
      </c>
      <c r="H2504" s="65" t="str">
        <f t="shared" si="117"/>
        <v>Other</v>
      </c>
      <c r="I2504" s="65" t="str">
        <f t="shared" si="118"/>
        <v/>
      </c>
      <c r="J2504" s="65" t="str">
        <f t="shared" si="119"/>
        <v>600807</v>
      </c>
    </row>
    <row r="2505" spans="1:10" x14ac:dyDescent="0.3">
      <c r="A2505" s="27" t="s">
        <v>1869</v>
      </c>
      <c r="D2505" s="27" t="s">
        <v>2255</v>
      </c>
      <c r="E2505" s="27" t="s">
        <v>2232</v>
      </c>
      <c r="F2505" s="27" t="str">
        <f>"60.0808"</f>
        <v>60.0808</v>
      </c>
      <c r="G2505" s="27" t="s">
        <v>5998</v>
      </c>
      <c r="H2505" s="65" t="str">
        <f t="shared" si="117"/>
        <v>Other</v>
      </c>
      <c r="I2505" s="65" t="str">
        <f t="shared" si="118"/>
        <v/>
      </c>
      <c r="J2505" s="65" t="str">
        <f t="shared" si="119"/>
        <v>600808</v>
      </c>
    </row>
    <row r="2506" spans="1:10" x14ac:dyDescent="0.3">
      <c r="A2506" s="27" t="s">
        <v>1869</v>
      </c>
      <c r="D2506" s="27" t="s">
        <v>2255</v>
      </c>
      <c r="E2506" s="27" t="s">
        <v>2232</v>
      </c>
      <c r="F2506" s="27" t="str">
        <f>"60.0809"</f>
        <v>60.0809</v>
      </c>
      <c r="G2506" s="27" t="s">
        <v>5999</v>
      </c>
      <c r="H2506" s="65" t="str">
        <f t="shared" si="117"/>
        <v>Other</v>
      </c>
      <c r="I2506" s="65" t="str">
        <f t="shared" si="118"/>
        <v/>
      </c>
      <c r="J2506" s="65" t="str">
        <f t="shared" si="119"/>
        <v>600809</v>
      </c>
    </row>
    <row r="2507" spans="1:10" x14ac:dyDescent="0.3">
      <c r="A2507" s="27" t="s">
        <v>1869</v>
      </c>
      <c r="D2507" s="27" t="s">
        <v>2255</v>
      </c>
      <c r="E2507" s="27" t="s">
        <v>2232</v>
      </c>
      <c r="F2507" s="27" t="str">
        <f>"60.0810"</f>
        <v>60.0810</v>
      </c>
      <c r="G2507" s="27" t="s">
        <v>6000</v>
      </c>
      <c r="H2507" s="65" t="str">
        <f t="shared" si="117"/>
        <v>Other</v>
      </c>
      <c r="I2507" s="65" t="str">
        <f t="shared" si="118"/>
        <v/>
      </c>
      <c r="J2507" s="65" t="str">
        <f t="shared" si="119"/>
        <v>600810</v>
      </c>
    </row>
    <row r="2508" spans="1:10" x14ac:dyDescent="0.3">
      <c r="A2508" s="27" t="s">
        <v>1869</v>
      </c>
      <c r="D2508" s="27" t="s">
        <v>2255</v>
      </c>
      <c r="E2508" s="27" t="s">
        <v>2232</v>
      </c>
      <c r="F2508" s="27" t="str">
        <f>"60.0811"</f>
        <v>60.0811</v>
      </c>
      <c r="G2508" s="27" t="s">
        <v>6001</v>
      </c>
      <c r="H2508" s="65" t="str">
        <f t="shared" si="117"/>
        <v>Other</v>
      </c>
      <c r="I2508" s="65" t="str">
        <f t="shared" si="118"/>
        <v/>
      </c>
      <c r="J2508" s="65" t="str">
        <f t="shared" si="119"/>
        <v>600811</v>
      </c>
    </row>
    <row r="2509" spans="1:10" x14ac:dyDescent="0.3">
      <c r="A2509" s="27" t="s">
        <v>1869</v>
      </c>
      <c r="D2509" s="27" t="s">
        <v>2255</v>
      </c>
      <c r="E2509" s="27" t="s">
        <v>2232</v>
      </c>
      <c r="F2509" s="27" t="str">
        <f>"60.0812"</f>
        <v>60.0812</v>
      </c>
      <c r="G2509" s="27" t="s">
        <v>6002</v>
      </c>
      <c r="H2509" s="65" t="str">
        <f t="shared" si="117"/>
        <v>Other</v>
      </c>
      <c r="I2509" s="65" t="str">
        <f t="shared" si="118"/>
        <v/>
      </c>
      <c r="J2509" s="65" t="str">
        <f t="shared" si="119"/>
        <v>600812</v>
      </c>
    </row>
    <row r="2510" spans="1:10" x14ac:dyDescent="0.3">
      <c r="A2510" s="27" t="s">
        <v>1869</v>
      </c>
      <c r="D2510" s="27" t="s">
        <v>2255</v>
      </c>
      <c r="E2510" s="27" t="s">
        <v>2232</v>
      </c>
      <c r="F2510" s="27" t="str">
        <f>"60.0813"</f>
        <v>60.0813</v>
      </c>
      <c r="G2510" s="27" t="s">
        <v>6003</v>
      </c>
      <c r="H2510" s="65" t="str">
        <f t="shared" si="117"/>
        <v>Other</v>
      </c>
      <c r="I2510" s="65" t="str">
        <f t="shared" si="118"/>
        <v/>
      </c>
      <c r="J2510" s="65" t="str">
        <f t="shared" si="119"/>
        <v>600813</v>
      </c>
    </row>
    <row r="2511" spans="1:10" x14ac:dyDescent="0.3">
      <c r="A2511" s="27" t="s">
        <v>1869</v>
      </c>
      <c r="D2511" s="27" t="s">
        <v>2255</v>
      </c>
      <c r="E2511" s="27" t="s">
        <v>2232</v>
      </c>
      <c r="F2511" s="27" t="str">
        <f>"60.0814"</f>
        <v>60.0814</v>
      </c>
      <c r="G2511" s="27" t="s">
        <v>6004</v>
      </c>
      <c r="H2511" s="65" t="str">
        <f t="shared" si="117"/>
        <v>Other</v>
      </c>
      <c r="I2511" s="65" t="str">
        <f t="shared" si="118"/>
        <v/>
      </c>
      <c r="J2511" s="65" t="str">
        <f t="shared" si="119"/>
        <v>600814</v>
      </c>
    </row>
    <row r="2512" spans="1:10" x14ac:dyDescent="0.3">
      <c r="A2512" s="27" t="s">
        <v>1869</v>
      </c>
      <c r="D2512" s="27" t="s">
        <v>2255</v>
      </c>
      <c r="E2512" s="27" t="s">
        <v>2232</v>
      </c>
      <c r="F2512" s="27" t="str">
        <f>"60.0815"</f>
        <v>60.0815</v>
      </c>
      <c r="G2512" s="27" t="s">
        <v>6005</v>
      </c>
      <c r="H2512" s="65" t="str">
        <f t="shared" si="117"/>
        <v>Other</v>
      </c>
      <c r="I2512" s="65" t="str">
        <f t="shared" si="118"/>
        <v/>
      </c>
      <c r="J2512" s="65" t="str">
        <f t="shared" si="119"/>
        <v>600815</v>
      </c>
    </row>
    <row r="2513" spans="1:10" x14ac:dyDescent="0.3">
      <c r="A2513" s="27" t="s">
        <v>1869</v>
      </c>
      <c r="D2513" s="27" t="s">
        <v>2255</v>
      </c>
      <c r="E2513" s="27" t="s">
        <v>2232</v>
      </c>
      <c r="F2513" s="27" t="str">
        <f>"60.0816"</f>
        <v>60.0816</v>
      </c>
      <c r="G2513" s="27" t="s">
        <v>6006</v>
      </c>
      <c r="H2513" s="65" t="str">
        <f t="shared" si="117"/>
        <v>Other</v>
      </c>
      <c r="I2513" s="65" t="str">
        <f t="shared" si="118"/>
        <v/>
      </c>
      <c r="J2513" s="65" t="str">
        <f t="shared" si="119"/>
        <v>600816</v>
      </c>
    </row>
    <row r="2514" spans="1:10" x14ac:dyDescent="0.3">
      <c r="A2514" s="27" t="s">
        <v>1869</v>
      </c>
      <c r="D2514" s="27" t="s">
        <v>2255</v>
      </c>
      <c r="E2514" s="27" t="s">
        <v>2232</v>
      </c>
      <c r="F2514" s="27" t="str">
        <f>"60.0817"</f>
        <v>60.0817</v>
      </c>
      <c r="G2514" s="27" t="s">
        <v>6007</v>
      </c>
      <c r="H2514" s="65" t="str">
        <f t="shared" si="117"/>
        <v>Other</v>
      </c>
      <c r="I2514" s="65" t="str">
        <f t="shared" si="118"/>
        <v/>
      </c>
      <c r="J2514" s="65" t="str">
        <f t="shared" si="119"/>
        <v>600817</v>
      </c>
    </row>
    <row r="2515" spans="1:10" x14ac:dyDescent="0.3">
      <c r="A2515" s="27" t="s">
        <v>1869</v>
      </c>
      <c r="D2515" s="27" t="s">
        <v>2255</v>
      </c>
      <c r="E2515" s="27" t="s">
        <v>2232</v>
      </c>
      <c r="F2515" s="27" t="str">
        <f>"60.0818"</f>
        <v>60.0818</v>
      </c>
      <c r="G2515" s="27" t="s">
        <v>6008</v>
      </c>
      <c r="H2515" s="65" t="str">
        <f t="shared" si="117"/>
        <v>Other</v>
      </c>
      <c r="I2515" s="65" t="str">
        <f t="shared" si="118"/>
        <v/>
      </c>
      <c r="J2515" s="65" t="str">
        <f t="shared" si="119"/>
        <v>600818</v>
      </c>
    </row>
    <row r="2516" spans="1:10" x14ac:dyDescent="0.3">
      <c r="A2516" s="27" t="s">
        <v>1869</v>
      </c>
      <c r="D2516" s="27" t="s">
        <v>2255</v>
      </c>
      <c r="E2516" s="27" t="s">
        <v>2232</v>
      </c>
      <c r="F2516" s="27" t="str">
        <f>"60.0819"</f>
        <v>60.0819</v>
      </c>
      <c r="G2516" s="27" t="s">
        <v>6009</v>
      </c>
      <c r="H2516" s="65" t="str">
        <f t="shared" si="117"/>
        <v>Other</v>
      </c>
      <c r="I2516" s="65" t="str">
        <f t="shared" si="118"/>
        <v/>
      </c>
      <c r="J2516" s="65" t="str">
        <f t="shared" si="119"/>
        <v>600819</v>
      </c>
    </row>
    <row r="2517" spans="1:10" x14ac:dyDescent="0.3">
      <c r="A2517" s="27" t="s">
        <v>1869</v>
      </c>
      <c r="D2517" s="27" t="s">
        <v>2255</v>
      </c>
      <c r="E2517" s="27" t="s">
        <v>2232</v>
      </c>
      <c r="F2517" s="27" t="str">
        <f>"60.0820"</f>
        <v>60.0820</v>
      </c>
      <c r="G2517" s="27" t="s">
        <v>6010</v>
      </c>
      <c r="H2517" s="65" t="str">
        <f t="shared" si="117"/>
        <v>Other</v>
      </c>
      <c r="I2517" s="65" t="str">
        <f t="shared" si="118"/>
        <v/>
      </c>
      <c r="J2517" s="65" t="str">
        <f t="shared" si="119"/>
        <v>600820</v>
      </c>
    </row>
    <row r="2518" spans="1:10" x14ac:dyDescent="0.3">
      <c r="A2518" s="27" t="s">
        <v>1869</v>
      </c>
      <c r="D2518" s="27" t="s">
        <v>2255</v>
      </c>
      <c r="E2518" s="27" t="s">
        <v>2232</v>
      </c>
      <c r="F2518" s="27" t="str">
        <f>"60.0821"</f>
        <v>60.0821</v>
      </c>
      <c r="G2518" s="27" t="s">
        <v>6011</v>
      </c>
      <c r="H2518" s="65" t="str">
        <f t="shared" si="117"/>
        <v>Other</v>
      </c>
      <c r="I2518" s="65" t="str">
        <f t="shared" si="118"/>
        <v/>
      </c>
      <c r="J2518" s="65" t="str">
        <f t="shared" si="119"/>
        <v>600821</v>
      </c>
    </row>
    <row r="2519" spans="1:10" x14ac:dyDescent="0.3">
      <c r="A2519" s="27" t="s">
        <v>1869</v>
      </c>
      <c r="D2519" s="27" t="s">
        <v>2255</v>
      </c>
      <c r="E2519" s="27" t="s">
        <v>2232</v>
      </c>
      <c r="F2519" s="27" t="str">
        <f>"60.0822"</f>
        <v>60.0822</v>
      </c>
      <c r="G2519" s="27" t="s">
        <v>6012</v>
      </c>
      <c r="H2519" s="65" t="str">
        <f t="shared" si="117"/>
        <v>Other</v>
      </c>
      <c r="I2519" s="65" t="str">
        <f t="shared" si="118"/>
        <v/>
      </c>
      <c r="J2519" s="65" t="str">
        <f t="shared" si="119"/>
        <v>600822</v>
      </c>
    </row>
    <row r="2520" spans="1:10" x14ac:dyDescent="0.3">
      <c r="A2520" s="27" t="s">
        <v>1869</v>
      </c>
      <c r="D2520" s="27" t="s">
        <v>2255</v>
      </c>
      <c r="E2520" s="27" t="s">
        <v>2232</v>
      </c>
      <c r="F2520" s="27" t="str">
        <f>"60.0823"</f>
        <v>60.0823</v>
      </c>
      <c r="G2520" s="27" t="s">
        <v>6013</v>
      </c>
      <c r="H2520" s="65" t="str">
        <f t="shared" si="117"/>
        <v>Other</v>
      </c>
      <c r="I2520" s="65" t="str">
        <f t="shared" si="118"/>
        <v/>
      </c>
      <c r="J2520" s="65" t="str">
        <f t="shared" si="119"/>
        <v>600823</v>
      </c>
    </row>
    <row r="2521" spans="1:10" x14ac:dyDescent="0.3">
      <c r="A2521" s="27" t="s">
        <v>1869</v>
      </c>
      <c r="D2521" s="27" t="s">
        <v>2255</v>
      </c>
      <c r="E2521" s="27" t="s">
        <v>2232</v>
      </c>
      <c r="F2521" s="27" t="str">
        <f>"60.0824"</f>
        <v>60.0824</v>
      </c>
      <c r="G2521" s="27" t="s">
        <v>6014</v>
      </c>
      <c r="H2521" s="65" t="str">
        <f t="shared" si="117"/>
        <v>Other</v>
      </c>
      <c r="I2521" s="65" t="str">
        <f t="shared" si="118"/>
        <v/>
      </c>
      <c r="J2521" s="65" t="str">
        <f t="shared" si="119"/>
        <v>600824</v>
      </c>
    </row>
    <row r="2522" spans="1:10" x14ac:dyDescent="0.3">
      <c r="A2522" s="27" t="s">
        <v>1869</v>
      </c>
      <c r="D2522" s="27" t="s">
        <v>2255</v>
      </c>
      <c r="E2522" s="27" t="s">
        <v>2232</v>
      </c>
      <c r="F2522" s="27" t="str">
        <f>"60.0825"</f>
        <v>60.0825</v>
      </c>
      <c r="G2522" s="27" t="s">
        <v>6015</v>
      </c>
      <c r="H2522" s="65" t="str">
        <f t="shared" si="117"/>
        <v>Other</v>
      </c>
      <c r="I2522" s="65" t="str">
        <f t="shared" si="118"/>
        <v/>
      </c>
      <c r="J2522" s="65" t="str">
        <f t="shared" si="119"/>
        <v>600825</v>
      </c>
    </row>
    <row r="2523" spans="1:10" x14ac:dyDescent="0.3">
      <c r="A2523" s="27" t="s">
        <v>1869</v>
      </c>
      <c r="D2523" s="27" t="s">
        <v>2255</v>
      </c>
      <c r="E2523" s="27" t="s">
        <v>2232</v>
      </c>
      <c r="F2523" s="27" t="str">
        <f>"60.0826"</f>
        <v>60.0826</v>
      </c>
      <c r="G2523" s="27" t="s">
        <v>6016</v>
      </c>
      <c r="H2523" s="65" t="str">
        <f t="shared" si="117"/>
        <v>Other</v>
      </c>
      <c r="I2523" s="65" t="str">
        <f t="shared" si="118"/>
        <v/>
      </c>
      <c r="J2523" s="65" t="str">
        <f t="shared" si="119"/>
        <v>600826</v>
      </c>
    </row>
    <row r="2524" spans="1:10" x14ac:dyDescent="0.3">
      <c r="A2524" s="27" t="s">
        <v>1869</v>
      </c>
      <c r="D2524" s="27" t="s">
        <v>2255</v>
      </c>
      <c r="E2524" s="27" t="s">
        <v>2232</v>
      </c>
      <c r="F2524" s="27" t="str">
        <f>"60.0827"</f>
        <v>60.0827</v>
      </c>
      <c r="G2524" s="27" t="s">
        <v>6017</v>
      </c>
      <c r="H2524" s="65" t="str">
        <f t="shared" si="117"/>
        <v>Other</v>
      </c>
      <c r="I2524" s="65" t="str">
        <f t="shared" si="118"/>
        <v/>
      </c>
      <c r="J2524" s="65" t="str">
        <f t="shared" si="119"/>
        <v>600827</v>
      </c>
    </row>
    <row r="2525" spans="1:10" x14ac:dyDescent="0.3">
      <c r="A2525" s="27" t="s">
        <v>1869</v>
      </c>
      <c r="D2525" s="27" t="s">
        <v>2255</v>
      </c>
      <c r="E2525" s="27" t="s">
        <v>2232</v>
      </c>
      <c r="F2525" s="27" t="str">
        <f>"60.0828"</f>
        <v>60.0828</v>
      </c>
      <c r="G2525" s="27" t="s">
        <v>6018</v>
      </c>
      <c r="H2525" s="65" t="str">
        <f t="shared" si="117"/>
        <v>Other</v>
      </c>
      <c r="I2525" s="65" t="str">
        <f t="shared" si="118"/>
        <v/>
      </c>
      <c r="J2525" s="65" t="str">
        <f t="shared" si="119"/>
        <v>600828</v>
      </c>
    </row>
    <row r="2526" spans="1:10" x14ac:dyDescent="0.3">
      <c r="A2526" s="27" t="s">
        <v>1869</v>
      </c>
      <c r="D2526" s="27" t="s">
        <v>2255</v>
      </c>
      <c r="E2526" s="27" t="s">
        <v>2232</v>
      </c>
      <c r="F2526" s="27" t="str">
        <f>"60.0829"</f>
        <v>60.0829</v>
      </c>
      <c r="G2526" s="27" t="s">
        <v>6019</v>
      </c>
      <c r="H2526" s="65" t="str">
        <f t="shared" si="117"/>
        <v>Other</v>
      </c>
      <c r="I2526" s="65" t="str">
        <f t="shared" si="118"/>
        <v/>
      </c>
      <c r="J2526" s="65" t="str">
        <f t="shared" si="119"/>
        <v>600829</v>
      </c>
    </row>
    <row r="2527" spans="1:10" x14ac:dyDescent="0.3">
      <c r="A2527" s="27" t="s">
        <v>1869</v>
      </c>
      <c r="D2527" s="27" t="s">
        <v>2255</v>
      </c>
      <c r="E2527" s="27" t="s">
        <v>2232</v>
      </c>
      <c r="F2527" s="27" t="str">
        <f>"60.0830"</f>
        <v>60.0830</v>
      </c>
      <c r="G2527" s="27" t="s">
        <v>6020</v>
      </c>
      <c r="H2527" s="65" t="str">
        <f t="shared" si="117"/>
        <v>Other</v>
      </c>
      <c r="I2527" s="65" t="str">
        <f t="shared" si="118"/>
        <v/>
      </c>
      <c r="J2527" s="65" t="str">
        <f t="shared" si="119"/>
        <v>600830</v>
      </c>
    </row>
    <row r="2528" spans="1:10" x14ac:dyDescent="0.3">
      <c r="A2528" s="27" t="s">
        <v>1869</v>
      </c>
      <c r="D2528" s="27" t="s">
        <v>2255</v>
      </c>
      <c r="E2528" s="27" t="s">
        <v>2232</v>
      </c>
      <c r="F2528" s="27" t="str">
        <f>"60.0831"</f>
        <v>60.0831</v>
      </c>
      <c r="G2528" s="27" t="s">
        <v>6021</v>
      </c>
      <c r="H2528" s="65" t="str">
        <f t="shared" si="117"/>
        <v>Other</v>
      </c>
      <c r="I2528" s="65" t="str">
        <f t="shared" si="118"/>
        <v/>
      </c>
      <c r="J2528" s="65" t="str">
        <f t="shared" si="119"/>
        <v>600831</v>
      </c>
    </row>
    <row r="2529" spans="1:10" x14ac:dyDescent="0.3">
      <c r="A2529" s="27" t="s">
        <v>1869</v>
      </c>
      <c r="D2529" s="27" t="s">
        <v>2255</v>
      </c>
      <c r="E2529" s="27" t="s">
        <v>2232</v>
      </c>
      <c r="F2529" s="27" t="str">
        <f>"60.0832"</f>
        <v>60.0832</v>
      </c>
      <c r="G2529" s="27" t="s">
        <v>6022</v>
      </c>
      <c r="H2529" s="65" t="str">
        <f t="shared" si="117"/>
        <v>Other</v>
      </c>
      <c r="I2529" s="65" t="str">
        <f t="shared" si="118"/>
        <v/>
      </c>
      <c r="J2529" s="65" t="str">
        <f t="shared" si="119"/>
        <v>600832</v>
      </c>
    </row>
    <row r="2530" spans="1:10" x14ac:dyDescent="0.3">
      <c r="A2530" s="27" t="s">
        <v>1869</v>
      </c>
      <c r="D2530" s="27" t="s">
        <v>2255</v>
      </c>
      <c r="E2530" s="27" t="s">
        <v>2232</v>
      </c>
      <c r="F2530" s="27" t="str">
        <f>"60.0899"</f>
        <v>60.0899</v>
      </c>
      <c r="G2530" s="27" t="s">
        <v>6023</v>
      </c>
      <c r="H2530" s="65" t="str">
        <f t="shared" si="117"/>
        <v>Other</v>
      </c>
      <c r="I2530" s="65" t="str">
        <f t="shared" si="118"/>
        <v/>
      </c>
      <c r="J2530" s="65" t="str">
        <f t="shared" si="119"/>
        <v>600899</v>
      </c>
    </row>
    <row r="2531" spans="1:10" x14ac:dyDescent="0.3">
      <c r="A2531" s="27" t="s">
        <v>1869</v>
      </c>
      <c r="D2531" s="27" t="s">
        <v>2255</v>
      </c>
      <c r="E2531" s="27" t="s">
        <v>2232</v>
      </c>
      <c r="F2531" s="27" t="str">
        <f>"60.09"</f>
        <v>60.09</v>
      </c>
      <c r="G2531" s="27" t="s">
        <v>6024</v>
      </c>
      <c r="H2531" s="65" t="str">
        <f t="shared" si="117"/>
        <v>No Change</v>
      </c>
      <c r="I2531" s="65" t="str">
        <f t="shared" si="118"/>
        <v/>
      </c>
      <c r="J2531" s="65" t="str">
        <f t="shared" si="119"/>
        <v/>
      </c>
    </row>
    <row r="2532" spans="1:10" x14ac:dyDescent="0.3">
      <c r="A2532" s="27" t="s">
        <v>1869</v>
      </c>
      <c r="D2532" s="27" t="s">
        <v>2255</v>
      </c>
      <c r="E2532" s="27" t="s">
        <v>2232</v>
      </c>
      <c r="F2532" s="27" t="str">
        <f>"60.0901"</f>
        <v>60.0901</v>
      </c>
      <c r="G2532" s="27" t="s">
        <v>6025</v>
      </c>
      <c r="H2532" s="65" t="str">
        <f t="shared" si="117"/>
        <v>Other</v>
      </c>
      <c r="I2532" s="65" t="str">
        <f t="shared" si="118"/>
        <v/>
      </c>
      <c r="J2532" s="65" t="str">
        <f t="shared" si="119"/>
        <v>600901</v>
      </c>
    </row>
    <row r="2533" spans="1:10" x14ac:dyDescent="0.3">
      <c r="A2533" s="27" t="s">
        <v>1869</v>
      </c>
      <c r="D2533" s="27" t="s">
        <v>2255</v>
      </c>
      <c r="E2533" s="27" t="s">
        <v>2232</v>
      </c>
      <c r="F2533" s="27" t="str">
        <f>"60.0902"</f>
        <v>60.0902</v>
      </c>
      <c r="G2533" s="27" t="s">
        <v>6026</v>
      </c>
      <c r="H2533" s="65" t="str">
        <f t="shared" si="117"/>
        <v>Other</v>
      </c>
      <c r="I2533" s="65" t="str">
        <f t="shared" si="118"/>
        <v/>
      </c>
      <c r="J2533" s="65" t="str">
        <f t="shared" si="119"/>
        <v>600902</v>
      </c>
    </row>
    <row r="2534" spans="1:10" x14ac:dyDescent="0.3">
      <c r="A2534" s="27" t="s">
        <v>1869</v>
      </c>
      <c r="D2534" s="27" t="s">
        <v>2255</v>
      </c>
      <c r="E2534" s="27" t="s">
        <v>2232</v>
      </c>
      <c r="F2534" s="27" t="str">
        <f>"60.0903"</f>
        <v>60.0903</v>
      </c>
      <c r="G2534" s="27" t="s">
        <v>6027</v>
      </c>
      <c r="H2534" s="65" t="str">
        <f t="shared" si="117"/>
        <v>Other</v>
      </c>
      <c r="I2534" s="65" t="str">
        <f t="shared" si="118"/>
        <v/>
      </c>
      <c r="J2534" s="65" t="str">
        <f t="shared" si="119"/>
        <v>600903</v>
      </c>
    </row>
    <row r="2535" spans="1:10" x14ac:dyDescent="0.3">
      <c r="A2535" s="27" t="s">
        <v>1869</v>
      </c>
      <c r="D2535" s="27" t="s">
        <v>2255</v>
      </c>
      <c r="E2535" s="27" t="s">
        <v>2232</v>
      </c>
      <c r="F2535" s="27" t="str">
        <f>"60.0904"</f>
        <v>60.0904</v>
      </c>
      <c r="G2535" s="27" t="s">
        <v>6028</v>
      </c>
      <c r="H2535" s="65" t="str">
        <f t="shared" si="117"/>
        <v>Other</v>
      </c>
      <c r="I2535" s="65" t="str">
        <f t="shared" si="118"/>
        <v/>
      </c>
      <c r="J2535" s="65" t="str">
        <f t="shared" si="119"/>
        <v>600904</v>
      </c>
    </row>
    <row r="2536" spans="1:10" x14ac:dyDescent="0.3">
      <c r="A2536" s="27" t="s">
        <v>1869</v>
      </c>
      <c r="D2536" s="27" t="s">
        <v>2255</v>
      </c>
      <c r="E2536" s="27" t="s">
        <v>2232</v>
      </c>
      <c r="F2536" s="27" t="str">
        <f>"60.0905"</f>
        <v>60.0905</v>
      </c>
      <c r="G2536" s="27" t="s">
        <v>6029</v>
      </c>
      <c r="H2536" s="65" t="str">
        <f t="shared" si="117"/>
        <v>Other</v>
      </c>
      <c r="I2536" s="65" t="str">
        <f t="shared" si="118"/>
        <v/>
      </c>
      <c r="J2536" s="65" t="str">
        <f t="shared" si="119"/>
        <v>600905</v>
      </c>
    </row>
    <row r="2537" spans="1:10" x14ac:dyDescent="0.3">
      <c r="A2537" s="27" t="s">
        <v>1869</v>
      </c>
      <c r="D2537" s="27" t="s">
        <v>2255</v>
      </c>
      <c r="E2537" s="27" t="s">
        <v>2232</v>
      </c>
      <c r="F2537" s="27" t="str">
        <f>"60.0906"</f>
        <v>60.0906</v>
      </c>
      <c r="G2537" s="27" t="s">
        <v>6030</v>
      </c>
      <c r="H2537" s="65" t="str">
        <f t="shared" si="117"/>
        <v>Other</v>
      </c>
      <c r="I2537" s="65" t="str">
        <f t="shared" si="118"/>
        <v/>
      </c>
      <c r="J2537" s="65" t="str">
        <f t="shared" si="119"/>
        <v>600906</v>
      </c>
    </row>
    <row r="2538" spans="1:10" x14ac:dyDescent="0.3">
      <c r="A2538" s="27" t="s">
        <v>1869</v>
      </c>
      <c r="D2538" s="27" t="s">
        <v>2255</v>
      </c>
      <c r="E2538" s="27" t="s">
        <v>2232</v>
      </c>
      <c r="F2538" s="27" t="str">
        <f>"60.0907"</f>
        <v>60.0907</v>
      </c>
      <c r="G2538" s="27" t="s">
        <v>6031</v>
      </c>
      <c r="H2538" s="65" t="str">
        <f t="shared" si="117"/>
        <v>Other</v>
      </c>
      <c r="I2538" s="65" t="str">
        <f t="shared" si="118"/>
        <v/>
      </c>
      <c r="J2538" s="65" t="str">
        <f t="shared" si="119"/>
        <v>600907</v>
      </c>
    </row>
    <row r="2539" spans="1:10" x14ac:dyDescent="0.3">
      <c r="A2539" s="27" t="s">
        <v>1869</v>
      </c>
      <c r="D2539" s="27" t="s">
        <v>2255</v>
      </c>
      <c r="E2539" s="27" t="s">
        <v>2232</v>
      </c>
      <c r="F2539" s="27" t="str">
        <f>"60.0908"</f>
        <v>60.0908</v>
      </c>
      <c r="G2539" s="27" t="s">
        <v>6032</v>
      </c>
      <c r="H2539" s="65" t="str">
        <f t="shared" si="117"/>
        <v>Other</v>
      </c>
      <c r="I2539" s="65" t="str">
        <f t="shared" si="118"/>
        <v/>
      </c>
      <c r="J2539" s="65" t="str">
        <f t="shared" si="119"/>
        <v>600908</v>
      </c>
    </row>
    <row r="2540" spans="1:10" x14ac:dyDescent="0.3">
      <c r="A2540" s="27" t="s">
        <v>1869</v>
      </c>
      <c r="D2540" s="27" t="s">
        <v>2255</v>
      </c>
      <c r="E2540" s="27" t="s">
        <v>2232</v>
      </c>
      <c r="F2540" s="27" t="str">
        <f>"60.0909"</f>
        <v>60.0909</v>
      </c>
      <c r="G2540" s="27" t="s">
        <v>6033</v>
      </c>
      <c r="H2540" s="65" t="str">
        <f t="shared" si="117"/>
        <v>Other</v>
      </c>
      <c r="I2540" s="65" t="str">
        <f t="shared" si="118"/>
        <v/>
      </c>
      <c r="J2540" s="65" t="str">
        <f t="shared" si="119"/>
        <v>600909</v>
      </c>
    </row>
    <row r="2541" spans="1:10" x14ac:dyDescent="0.3">
      <c r="A2541" s="27" t="s">
        <v>1869</v>
      </c>
      <c r="D2541" s="27" t="s">
        <v>2255</v>
      </c>
      <c r="E2541" s="27" t="s">
        <v>2232</v>
      </c>
      <c r="F2541" s="27" t="str">
        <f>"60.0910"</f>
        <v>60.0910</v>
      </c>
      <c r="G2541" s="27" t="s">
        <v>6034</v>
      </c>
      <c r="H2541" s="65" t="str">
        <f t="shared" si="117"/>
        <v>Other</v>
      </c>
      <c r="I2541" s="65" t="str">
        <f t="shared" si="118"/>
        <v/>
      </c>
      <c r="J2541" s="65" t="str">
        <f t="shared" si="119"/>
        <v>600910</v>
      </c>
    </row>
    <row r="2542" spans="1:10" x14ac:dyDescent="0.3">
      <c r="A2542" s="27" t="s">
        <v>1869</v>
      </c>
      <c r="D2542" s="27" t="s">
        <v>2255</v>
      </c>
      <c r="E2542" s="27" t="s">
        <v>2232</v>
      </c>
      <c r="F2542" s="27" t="str">
        <f>"60.0911"</f>
        <v>60.0911</v>
      </c>
      <c r="G2542" s="27" t="s">
        <v>6035</v>
      </c>
      <c r="H2542" s="65" t="str">
        <f t="shared" si="117"/>
        <v>Other</v>
      </c>
      <c r="I2542" s="65" t="str">
        <f t="shared" si="118"/>
        <v/>
      </c>
      <c r="J2542" s="65" t="str">
        <f t="shared" si="119"/>
        <v>600911</v>
      </c>
    </row>
    <row r="2543" spans="1:10" x14ac:dyDescent="0.3">
      <c r="A2543" s="27" t="s">
        <v>1869</v>
      </c>
      <c r="D2543" s="27" t="s">
        <v>2255</v>
      </c>
      <c r="E2543" s="27" t="s">
        <v>2232</v>
      </c>
      <c r="F2543" s="27" t="str">
        <f>"60.0912"</f>
        <v>60.0912</v>
      </c>
      <c r="G2543" s="27" t="s">
        <v>6036</v>
      </c>
      <c r="H2543" s="65" t="str">
        <f t="shared" si="117"/>
        <v>Other</v>
      </c>
      <c r="I2543" s="65" t="str">
        <f t="shared" si="118"/>
        <v/>
      </c>
      <c r="J2543" s="65" t="str">
        <f t="shared" si="119"/>
        <v>600912</v>
      </c>
    </row>
    <row r="2544" spans="1:10" x14ac:dyDescent="0.3">
      <c r="A2544" s="27" t="s">
        <v>1869</v>
      </c>
      <c r="D2544" s="27" t="s">
        <v>2255</v>
      </c>
      <c r="E2544" s="27" t="s">
        <v>2232</v>
      </c>
      <c r="F2544" s="27" t="str">
        <f>"60.0913"</f>
        <v>60.0913</v>
      </c>
      <c r="G2544" s="27" t="s">
        <v>6037</v>
      </c>
      <c r="H2544" s="65" t="str">
        <f t="shared" si="117"/>
        <v>Other</v>
      </c>
      <c r="I2544" s="65" t="str">
        <f t="shared" si="118"/>
        <v/>
      </c>
      <c r="J2544" s="65" t="str">
        <f t="shared" si="119"/>
        <v>600913</v>
      </c>
    </row>
    <row r="2545" spans="1:10" x14ac:dyDescent="0.3">
      <c r="A2545" s="27" t="s">
        <v>1869</v>
      </c>
      <c r="D2545" s="27" t="s">
        <v>2255</v>
      </c>
      <c r="E2545" s="27" t="s">
        <v>2232</v>
      </c>
      <c r="F2545" s="27" t="str">
        <f>"60.0914"</f>
        <v>60.0914</v>
      </c>
      <c r="G2545" s="27" t="s">
        <v>6038</v>
      </c>
      <c r="H2545" s="65" t="str">
        <f t="shared" si="117"/>
        <v>Other</v>
      </c>
      <c r="I2545" s="65" t="str">
        <f t="shared" si="118"/>
        <v/>
      </c>
      <c r="J2545" s="65" t="str">
        <f t="shared" si="119"/>
        <v>600914</v>
      </c>
    </row>
    <row r="2546" spans="1:10" x14ac:dyDescent="0.3">
      <c r="A2546" s="27" t="s">
        <v>1869</v>
      </c>
      <c r="D2546" s="27" t="s">
        <v>2255</v>
      </c>
      <c r="E2546" s="27" t="s">
        <v>2232</v>
      </c>
      <c r="F2546" s="27" t="str">
        <f>"60.0915"</f>
        <v>60.0915</v>
      </c>
      <c r="G2546" s="27" t="s">
        <v>6039</v>
      </c>
      <c r="H2546" s="65" t="str">
        <f t="shared" si="117"/>
        <v>Other</v>
      </c>
      <c r="I2546" s="65" t="str">
        <f t="shared" si="118"/>
        <v/>
      </c>
      <c r="J2546" s="65" t="str">
        <f t="shared" si="119"/>
        <v>600915</v>
      </c>
    </row>
    <row r="2547" spans="1:10" x14ac:dyDescent="0.3">
      <c r="A2547" s="27" t="s">
        <v>1869</v>
      </c>
      <c r="D2547" s="27" t="s">
        <v>2255</v>
      </c>
      <c r="E2547" s="27" t="s">
        <v>2232</v>
      </c>
      <c r="F2547" s="27" t="str">
        <f>"60.0916"</f>
        <v>60.0916</v>
      </c>
      <c r="G2547" s="27" t="s">
        <v>6040</v>
      </c>
      <c r="H2547" s="65" t="str">
        <f t="shared" si="117"/>
        <v>Other</v>
      </c>
      <c r="I2547" s="65" t="str">
        <f t="shared" si="118"/>
        <v/>
      </c>
      <c r="J2547" s="65" t="str">
        <f t="shared" si="119"/>
        <v>600916</v>
      </c>
    </row>
    <row r="2548" spans="1:10" x14ac:dyDescent="0.3">
      <c r="A2548" s="27" t="s">
        <v>1869</v>
      </c>
      <c r="D2548" s="27" t="s">
        <v>2255</v>
      </c>
      <c r="E2548" s="27" t="s">
        <v>2232</v>
      </c>
      <c r="F2548" s="27" t="str">
        <f>"60.0917"</f>
        <v>60.0917</v>
      </c>
      <c r="G2548" s="27" t="s">
        <v>6041</v>
      </c>
      <c r="H2548" s="65" t="str">
        <f t="shared" si="117"/>
        <v>Other</v>
      </c>
      <c r="I2548" s="65" t="str">
        <f t="shared" si="118"/>
        <v/>
      </c>
      <c r="J2548" s="65" t="str">
        <f t="shared" si="119"/>
        <v>600917</v>
      </c>
    </row>
    <row r="2549" spans="1:10" x14ac:dyDescent="0.3">
      <c r="A2549" s="27" t="s">
        <v>1869</v>
      </c>
      <c r="D2549" s="27" t="s">
        <v>2255</v>
      </c>
      <c r="E2549" s="27" t="s">
        <v>2232</v>
      </c>
      <c r="F2549" s="27" t="str">
        <f>"60.0918"</f>
        <v>60.0918</v>
      </c>
      <c r="G2549" s="27" t="s">
        <v>6042</v>
      </c>
      <c r="H2549" s="65" t="str">
        <f t="shared" si="117"/>
        <v>Other</v>
      </c>
      <c r="I2549" s="65" t="str">
        <f t="shared" si="118"/>
        <v/>
      </c>
      <c r="J2549" s="65" t="str">
        <f t="shared" si="119"/>
        <v>600918</v>
      </c>
    </row>
    <row r="2550" spans="1:10" x14ac:dyDescent="0.3">
      <c r="A2550" s="27" t="s">
        <v>1869</v>
      </c>
      <c r="D2550" s="27" t="s">
        <v>2255</v>
      </c>
      <c r="E2550" s="27" t="s">
        <v>2232</v>
      </c>
      <c r="F2550" s="27" t="str">
        <f>"60.0919"</f>
        <v>60.0919</v>
      </c>
      <c r="G2550" s="27" t="s">
        <v>6043</v>
      </c>
      <c r="H2550" s="65" t="str">
        <f t="shared" si="117"/>
        <v>Other</v>
      </c>
      <c r="I2550" s="65" t="str">
        <f t="shared" si="118"/>
        <v/>
      </c>
      <c r="J2550" s="65" t="str">
        <f t="shared" si="119"/>
        <v>600919</v>
      </c>
    </row>
    <row r="2551" spans="1:10" x14ac:dyDescent="0.3">
      <c r="A2551" s="27" t="s">
        <v>1869</v>
      </c>
      <c r="D2551" s="27" t="s">
        <v>2255</v>
      </c>
      <c r="E2551" s="27" t="s">
        <v>2232</v>
      </c>
      <c r="F2551" s="27" t="str">
        <f>"60.0920"</f>
        <v>60.0920</v>
      </c>
      <c r="G2551" s="27" t="s">
        <v>6044</v>
      </c>
      <c r="H2551" s="65" t="str">
        <f t="shared" si="117"/>
        <v>Other</v>
      </c>
      <c r="I2551" s="65" t="str">
        <f t="shared" si="118"/>
        <v/>
      </c>
      <c r="J2551" s="65" t="str">
        <f t="shared" si="119"/>
        <v>600920</v>
      </c>
    </row>
    <row r="2552" spans="1:10" x14ac:dyDescent="0.3">
      <c r="A2552" s="27" t="s">
        <v>1869</v>
      </c>
      <c r="D2552" s="27" t="s">
        <v>2255</v>
      </c>
      <c r="E2552" s="27" t="s">
        <v>2232</v>
      </c>
      <c r="F2552" s="27" t="str">
        <f>"60.0999"</f>
        <v>60.0999</v>
      </c>
      <c r="G2552" s="27" t="s">
        <v>6045</v>
      </c>
      <c r="H2552" s="65" t="str">
        <f t="shared" si="117"/>
        <v>Other</v>
      </c>
      <c r="I2552" s="65" t="str">
        <f t="shared" si="118"/>
        <v/>
      </c>
      <c r="J2552" s="65" t="str">
        <f t="shared" si="119"/>
        <v>600999</v>
      </c>
    </row>
    <row r="2553" spans="1:10" x14ac:dyDescent="0.3">
      <c r="A2553" s="27" t="s">
        <v>1869</v>
      </c>
      <c r="D2553" s="27" t="s">
        <v>2255</v>
      </c>
      <c r="E2553" s="27" t="s">
        <v>2232</v>
      </c>
      <c r="F2553" s="27" t="str">
        <f>"60.99"</f>
        <v>60.99</v>
      </c>
      <c r="G2553" s="27" t="s">
        <v>6046</v>
      </c>
      <c r="H2553" s="65" t="str">
        <f t="shared" si="117"/>
        <v>No Change</v>
      </c>
      <c r="I2553" s="65" t="str">
        <f t="shared" si="118"/>
        <v/>
      </c>
      <c r="J2553" s="65" t="str">
        <f t="shared" si="119"/>
        <v/>
      </c>
    </row>
    <row r="2554" spans="1:10" x14ac:dyDescent="0.3">
      <c r="A2554" s="27" t="s">
        <v>1869</v>
      </c>
      <c r="D2554" s="27" t="s">
        <v>2255</v>
      </c>
      <c r="E2554" s="27" t="s">
        <v>2232</v>
      </c>
      <c r="F2554" s="27" t="str">
        <f>"60.9999"</f>
        <v>60.9999</v>
      </c>
      <c r="G2554" s="27" t="s">
        <v>6046</v>
      </c>
      <c r="H2554" s="65" t="str">
        <f t="shared" si="117"/>
        <v>Other</v>
      </c>
      <c r="I2554" s="65" t="str">
        <f t="shared" si="118"/>
        <v/>
      </c>
      <c r="J2554" s="65" t="str">
        <f t="shared" si="119"/>
        <v>609999</v>
      </c>
    </row>
    <row r="2555" spans="1:10" x14ac:dyDescent="0.3">
      <c r="A2555" s="27" t="s">
        <v>1869</v>
      </c>
      <c r="D2555" s="27" t="s">
        <v>2255</v>
      </c>
      <c r="E2555" s="27" t="s">
        <v>2232</v>
      </c>
      <c r="F2555" s="27" t="str">
        <f>"61"</f>
        <v>61</v>
      </c>
      <c r="G2555" s="27" t="s">
        <v>6047</v>
      </c>
      <c r="H2555" s="65" t="str">
        <f t="shared" si="117"/>
        <v>No Change</v>
      </c>
      <c r="I2555" s="65" t="str">
        <f t="shared" si="118"/>
        <v/>
      </c>
      <c r="J2555" s="65" t="str">
        <f t="shared" si="119"/>
        <v/>
      </c>
    </row>
    <row r="2556" spans="1:10" x14ac:dyDescent="0.3">
      <c r="A2556" s="27" t="s">
        <v>1869</v>
      </c>
      <c r="D2556" s="27" t="s">
        <v>2255</v>
      </c>
      <c r="E2556" s="27" t="s">
        <v>2232</v>
      </c>
      <c r="F2556" s="27" t="str">
        <f>"61.01"</f>
        <v>61.01</v>
      </c>
      <c r="G2556" s="27" t="s">
        <v>6048</v>
      </c>
      <c r="H2556" s="65" t="str">
        <f t="shared" si="117"/>
        <v>No Change</v>
      </c>
      <c r="I2556" s="65" t="str">
        <f t="shared" si="118"/>
        <v/>
      </c>
      <c r="J2556" s="65" t="str">
        <f t="shared" si="119"/>
        <v/>
      </c>
    </row>
    <row r="2557" spans="1:10" x14ac:dyDescent="0.3">
      <c r="A2557" s="27" t="s">
        <v>1869</v>
      </c>
      <c r="D2557" s="27" t="s">
        <v>2255</v>
      </c>
      <c r="E2557" s="27" t="s">
        <v>2232</v>
      </c>
      <c r="F2557" s="27" t="str">
        <f>"61.0101"</f>
        <v>61.0101</v>
      </c>
      <c r="G2557" s="27" t="s">
        <v>6049</v>
      </c>
      <c r="H2557" s="65" t="str">
        <f t="shared" si="117"/>
        <v>Other</v>
      </c>
      <c r="I2557" s="65" t="str">
        <f t="shared" si="118"/>
        <v/>
      </c>
      <c r="J2557" s="65" t="str">
        <f t="shared" si="119"/>
        <v>610101</v>
      </c>
    </row>
    <row r="2558" spans="1:10" x14ac:dyDescent="0.3">
      <c r="A2558" s="27" t="s">
        <v>1869</v>
      </c>
      <c r="D2558" s="27" t="s">
        <v>2255</v>
      </c>
      <c r="E2558" s="27" t="s">
        <v>2232</v>
      </c>
      <c r="F2558" s="27" t="str">
        <f>"61.0102"</f>
        <v>61.0102</v>
      </c>
      <c r="G2558" s="27" t="s">
        <v>6050</v>
      </c>
      <c r="H2558" s="65" t="str">
        <f t="shared" si="117"/>
        <v>Other</v>
      </c>
      <c r="I2558" s="65" t="str">
        <f t="shared" si="118"/>
        <v/>
      </c>
      <c r="J2558" s="65" t="str">
        <f t="shared" si="119"/>
        <v>610102</v>
      </c>
    </row>
    <row r="2559" spans="1:10" x14ac:dyDescent="0.3">
      <c r="A2559" s="27" t="s">
        <v>1869</v>
      </c>
      <c r="D2559" s="27" t="s">
        <v>2255</v>
      </c>
      <c r="E2559" s="27" t="s">
        <v>2232</v>
      </c>
      <c r="F2559" s="27" t="str">
        <f>"61.0103"</f>
        <v>61.0103</v>
      </c>
      <c r="G2559" s="27" t="s">
        <v>6051</v>
      </c>
      <c r="H2559" s="65" t="str">
        <f t="shared" si="117"/>
        <v>Other</v>
      </c>
      <c r="I2559" s="65" t="str">
        <f t="shared" si="118"/>
        <v/>
      </c>
      <c r="J2559" s="65" t="str">
        <f t="shared" si="119"/>
        <v>610103</v>
      </c>
    </row>
    <row r="2560" spans="1:10" x14ac:dyDescent="0.3">
      <c r="A2560" s="27" t="s">
        <v>1869</v>
      </c>
      <c r="D2560" s="27" t="s">
        <v>2255</v>
      </c>
      <c r="E2560" s="27" t="s">
        <v>2232</v>
      </c>
      <c r="F2560" s="27" t="str">
        <f>"61.0104"</f>
        <v>61.0104</v>
      </c>
      <c r="G2560" s="27" t="s">
        <v>6052</v>
      </c>
      <c r="H2560" s="65" t="str">
        <f t="shared" si="117"/>
        <v>Other</v>
      </c>
      <c r="I2560" s="65" t="str">
        <f t="shared" si="118"/>
        <v/>
      </c>
      <c r="J2560" s="65" t="str">
        <f t="shared" si="119"/>
        <v>610104</v>
      </c>
    </row>
    <row r="2561" spans="1:10" x14ac:dyDescent="0.3">
      <c r="A2561" s="27" t="s">
        <v>1869</v>
      </c>
      <c r="D2561" s="27" t="s">
        <v>2255</v>
      </c>
      <c r="E2561" s="27" t="s">
        <v>2232</v>
      </c>
      <c r="F2561" s="27" t="str">
        <f>"61.0105"</f>
        <v>61.0105</v>
      </c>
      <c r="G2561" s="27" t="s">
        <v>6053</v>
      </c>
      <c r="H2561" s="65" t="str">
        <f t="shared" si="117"/>
        <v>Other</v>
      </c>
      <c r="I2561" s="65" t="str">
        <f t="shared" si="118"/>
        <v/>
      </c>
      <c r="J2561" s="65" t="str">
        <f t="shared" si="119"/>
        <v>610105</v>
      </c>
    </row>
    <row r="2562" spans="1:10" x14ac:dyDescent="0.3">
      <c r="A2562" s="27" t="s">
        <v>1869</v>
      </c>
      <c r="D2562" s="27" t="s">
        <v>2255</v>
      </c>
      <c r="E2562" s="27" t="s">
        <v>2232</v>
      </c>
      <c r="F2562" s="27" t="str">
        <f>"61.0106"</f>
        <v>61.0106</v>
      </c>
      <c r="G2562" s="27" t="s">
        <v>6054</v>
      </c>
      <c r="H2562" s="65" t="str">
        <f t="shared" si="117"/>
        <v>Other</v>
      </c>
      <c r="I2562" s="65" t="str">
        <f t="shared" si="118"/>
        <v/>
      </c>
      <c r="J2562" s="65" t="str">
        <f t="shared" si="119"/>
        <v>610106</v>
      </c>
    </row>
    <row r="2563" spans="1:10" x14ac:dyDescent="0.3">
      <c r="A2563" s="27" t="s">
        <v>1869</v>
      </c>
      <c r="D2563" s="27" t="s">
        <v>2255</v>
      </c>
      <c r="E2563" s="27" t="s">
        <v>2232</v>
      </c>
      <c r="F2563" s="27" t="str">
        <f>"61.0107"</f>
        <v>61.0107</v>
      </c>
      <c r="G2563" s="27" t="s">
        <v>6055</v>
      </c>
      <c r="H2563" s="65" t="str">
        <f t="shared" ref="H2563:H2626" si="120">IF(I2563=J2563,"No Change","Other")</f>
        <v>Other</v>
      </c>
      <c r="I2563" s="65" t="str">
        <f t="shared" ref="I2563:I2626" si="121">SUBSTITUTE(IF(SUM(LEN(B2563))&lt;7,"",B2563),".","")</f>
        <v/>
      </c>
      <c r="J2563" s="65" t="str">
        <f t="shared" ref="J2563:J2626" si="122">SUBSTITUTE(IF(SUM(LEN(F2563))&lt;7,"",F2563),".","")</f>
        <v>610107</v>
      </c>
    </row>
    <row r="2564" spans="1:10" x14ac:dyDescent="0.3">
      <c r="A2564" s="27" t="s">
        <v>1869</v>
      </c>
      <c r="D2564" s="27" t="s">
        <v>2255</v>
      </c>
      <c r="E2564" s="27" t="s">
        <v>2232</v>
      </c>
      <c r="F2564" s="27" t="str">
        <f>"61.0108"</f>
        <v>61.0108</v>
      </c>
      <c r="G2564" s="27" t="s">
        <v>6056</v>
      </c>
      <c r="H2564" s="65" t="str">
        <f t="shared" si="120"/>
        <v>Other</v>
      </c>
      <c r="I2564" s="65" t="str">
        <f t="shared" si="121"/>
        <v/>
      </c>
      <c r="J2564" s="65" t="str">
        <f t="shared" si="122"/>
        <v>610108</v>
      </c>
    </row>
    <row r="2565" spans="1:10" x14ac:dyDescent="0.3">
      <c r="A2565" s="27" t="s">
        <v>1869</v>
      </c>
      <c r="D2565" s="27" t="s">
        <v>2255</v>
      </c>
      <c r="E2565" s="27" t="s">
        <v>2232</v>
      </c>
      <c r="F2565" s="27" t="str">
        <f>"61.0109"</f>
        <v>61.0109</v>
      </c>
      <c r="G2565" s="27" t="s">
        <v>6057</v>
      </c>
      <c r="H2565" s="65" t="str">
        <f t="shared" si="120"/>
        <v>Other</v>
      </c>
      <c r="I2565" s="65" t="str">
        <f t="shared" si="121"/>
        <v/>
      </c>
      <c r="J2565" s="65" t="str">
        <f t="shared" si="122"/>
        <v>610109</v>
      </c>
    </row>
    <row r="2566" spans="1:10" x14ac:dyDescent="0.3">
      <c r="A2566" s="27" t="s">
        <v>1869</v>
      </c>
      <c r="D2566" s="27" t="s">
        <v>2255</v>
      </c>
      <c r="E2566" s="27" t="s">
        <v>2232</v>
      </c>
      <c r="F2566" s="27" t="str">
        <f>"61.0110"</f>
        <v>61.0110</v>
      </c>
      <c r="G2566" s="27" t="s">
        <v>6058</v>
      </c>
      <c r="H2566" s="65" t="str">
        <f t="shared" si="120"/>
        <v>Other</v>
      </c>
      <c r="I2566" s="65" t="str">
        <f t="shared" si="121"/>
        <v/>
      </c>
      <c r="J2566" s="65" t="str">
        <f t="shared" si="122"/>
        <v>610110</v>
      </c>
    </row>
    <row r="2567" spans="1:10" x14ac:dyDescent="0.3">
      <c r="A2567" s="27" t="s">
        <v>1869</v>
      </c>
      <c r="D2567" s="27" t="s">
        <v>2255</v>
      </c>
      <c r="E2567" s="27" t="s">
        <v>2232</v>
      </c>
      <c r="F2567" s="27" t="str">
        <f>"61.0111"</f>
        <v>61.0111</v>
      </c>
      <c r="G2567" s="27" t="s">
        <v>6059</v>
      </c>
      <c r="H2567" s="65" t="str">
        <f t="shared" si="120"/>
        <v>Other</v>
      </c>
      <c r="I2567" s="65" t="str">
        <f t="shared" si="121"/>
        <v/>
      </c>
      <c r="J2567" s="65" t="str">
        <f t="shared" si="122"/>
        <v>610111</v>
      </c>
    </row>
    <row r="2568" spans="1:10" x14ac:dyDescent="0.3">
      <c r="A2568" s="27" t="s">
        <v>1869</v>
      </c>
      <c r="D2568" s="27" t="s">
        <v>2255</v>
      </c>
      <c r="E2568" s="27" t="s">
        <v>2232</v>
      </c>
      <c r="F2568" s="27" t="str">
        <f>"61.0112"</f>
        <v>61.0112</v>
      </c>
      <c r="G2568" s="27" t="s">
        <v>6060</v>
      </c>
      <c r="H2568" s="65" t="str">
        <f t="shared" si="120"/>
        <v>Other</v>
      </c>
      <c r="I2568" s="65" t="str">
        <f t="shared" si="121"/>
        <v/>
      </c>
      <c r="J2568" s="65" t="str">
        <f t="shared" si="122"/>
        <v>610112</v>
      </c>
    </row>
    <row r="2569" spans="1:10" x14ac:dyDescent="0.3">
      <c r="A2569" s="27" t="s">
        <v>1869</v>
      </c>
      <c r="D2569" s="27" t="s">
        <v>2255</v>
      </c>
      <c r="E2569" s="27" t="s">
        <v>2232</v>
      </c>
      <c r="F2569" s="27" t="str">
        <f>"61.0113"</f>
        <v>61.0113</v>
      </c>
      <c r="G2569" s="27" t="s">
        <v>6061</v>
      </c>
      <c r="H2569" s="65" t="str">
        <f t="shared" si="120"/>
        <v>Other</v>
      </c>
      <c r="I2569" s="65" t="str">
        <f t="shared" si="121"/>
        <v/>
      </c>
      <c r="J2569" s="65" t="str">
        <f t="shared" si="122"/>
        <v>610113</v>
      </c>
    </row>
    <row r="2570" spans="1:10" x14ac:dyDescent="0.3">
      <c r="A2570" s="27" t="s">
        <v>1869</v>
      </c>
      <c r="D2570" s="27" t="s">
        <v>2255</v>
      </c>
      <c r="E2570" s="27" t="s">
        <v>2232</v>
      </c>
      <c r="F2570" s="27" t="str">
        <f>"61.0114"</f>
        <v>61.0114</v>
      </c>
      <c r="G2570" s="27" t="s">
        <v>6062</v>
      </c>
      <c r="H2570" s="65" t="str">
        <f t="shared" si="120"/>
        <v>Other</v>
      </c>
      <c r="I2570" s="65" t="str">
        <f t="shared" si="121"/>
        <v/>
      </c>
      <c r="J2570" s="65" t="str">
        <f t="shared" si="122"/>
        <v>610114</v>
      </c>
    </row>
    <row r="2571" spans="1:10" x14ac:dyDescent="0.3">
      <c r="A2571" s="27" t="s">
        <v>1869</v>
      </c>
      <c r="D2571" s="27" t="s">
        <v>2255</v>
      </c>
      <c r="E2571" s="27" t="s">
        <v>2232</v>
      </c>
      <c r="F2571" s="27" t="str">
        <f>"61.0115"</f>
        <v>61.0115</v>
      </c>
      <c r="G2571" s="27" t="s">
        <v>6063</v>
      </c>
      <c r="H2571" s="65" t="str">
        <f t="shared" si="120"/>
        <v>Other</v>
      </c>
      <c r="I2571" s="65" t="str">
        <f t="shared" si="121"/>
        <v/>
      </c>
      <c r="J2571" s="65" t="str">
        <f t="shared" si="122"/>
        <v>610115</v>
      </c>
    </row>
    <row r="2572" spans="1:10" x14ac:dyDescent="0.3">
      <c r="A2572" s="27" t="s">
        <v>1869</v>
      </c>
      <c r="D2572" s="27" t="s">
        <v>2255</v>
      </c>
      <c r="E2572" s="27" t="s">
        <v>2232</v>
      </c>
      <c r="F2572" s="27" t="str">
        <f>"61.0116"</f>
        <v>61.0116</v>
      </c>
      <c r="G2572" s="27" t="s">
        <v>6064</v>
      </c>
      <c r="H2572" s="65" t="str">
        <f t="shared" si="120"/>
        <v>Other</v>
      </c>
      <c r="I2572" s="65" t="str">
        <f t="shared" si="121"/>
        <v/>
      </c>
      <c r="J2572" s="65" t="str">
        <f t="shared" si="122"/>
        <v>610116</v>
      </c>
    </row>
    <row r="2573" spans="1:10" x14ac:dyDescent="0.3">
      <c r="A2573" s="27" t="s">
        <v>1869</v>
      </c>
      <c r="D2573" s="27" t="s">
        <v>2255</v>
      </c>
      <c r="E2573" s="27" t="s">
        <v>2232</v>
      </c>
      <c r="F2573" s="27" t="str">
        <f>"61.0117"</f>
        <v>61.0117</v>
      </c>
      <c r="G2573" s="27" t="s">
        <v>6065</v>
      </c>
      <c r="H2573" s="65" t="str">
        <f t="shared" si="120"/>
        <v>Other</v>
      </c>
      <c r="I2573" s="65" t="str">
        <f t="shared" si="121"/>
        <v/>
      </c>
      <c r="J2573" s="65" t="str">
        <f t="shared" si="122"/>
        <v>610117</v>
      </c>
    </row>
    <row r="2574" spans="1:10" x14ac:dyDescent="0.3">
      <c r="A2574" s="27" t="s">
        <v>1869</v>
      </c>
      <c r="D2574" s="27" t="s">
        <v>2255</v>
      </c>
      <c r="E2574" s="27" t="s">
        <v>2232</v>
      </c>
      <c r="F2574" s="27" t="str">
        <f>"61.0118"</f>
        <v>61.0118</v>
      </c>
      <c r="G2574" s="27" t="s">
        <v>6066</v>
      </c>
      <c r="H2574" s="65" t="str">
        <f t="shared" si="120"/>
        <v>Other</v>
      </c>
      <c r="I2574" s="65" t="str">
        <f t="shared" si="121"/>
        <v/>
      </c>
      <c r="J2574" s="65" t="str">
        <f t="shared" si="122"/>
        <v>610118</v>
      </c>
    </row>
    <row r="2575" spans="1:10" x14ac:dyDescent="0.3">
      <c r="A2575" s="27" t="s">
        <v>1869</v>
      </c>
      <c r="D2575" s="27" t="s">
        <v>2255</v>
      </c>
      <c r="E2575" s="27" t="s">
        <v>2232</v>
      </c>
      <c r="F2575" s="27" t="str">
        <f>"61.0119"</f>
        <v>61.0119</v>
      </c>
      <c r="G2575" s="27" t="s">
        <v>6067</v>
      </c>
      <c r="H2575" s="65" t="str">
        <f t="shared" si="120"/>
        <v>Other</v>
      </c>
      <c r="I2575" s="65" t="str">
        <f t="shared" si="121"/>
        <v/>
      </c>
      <c r="J2575" s="65" t="str">
        <f t="shared" si="122"/>
        <v>610119</v>
      </c>
    </row>
    <row r="2576" spans="1:10" x14ac:dyDescent="0.3">
      <c r="A2576" s="27" t="s">
        <v>1869</v>
      </c>
      <c r="D2576" s="27" t="s">
        <v>2255</v>
      </c>
      <c r="E2576" s="27" t="s">
        <v>2232</v>
      </c>
      <c r="F2576" s="27" t="str">
        <f>"61.0120"</f>
        <v>61.0120</v>
      </c>
      <c r="G2576" s="27" t="s">
        <v>6068</v>
      </c>
      <c r="H2576" s="65" t="str">
        <f t="shared" si="120"/>
        <v>Other</v>
      </c>
      <c r="I2576" s="65" t="str">
        <f t="shared" si="121"/>
        <v/>
      </c>
      <c r="J2576" s="65" t="str">
        <f t="shared" si="122"/>
        <v>610120</v>
      </c>
    </row>
    <row r="2577" spans="1:10" x14ac:dyDescent="0.3">
      <c r="A2577" s="27" t="s">
        <v>1869</v>
      </c>
      <c r="D2577" s="27" t="s">
        <v>2255</v>
      </c>
      <c r="E2577" s="27" t="s">
        <v>2232</v>
      </c>
      <c r="F2577" s="27" t="str">
        <f>"61.0121"</f>
        <v>61.0121</v>
      </c>
      <c r="G2577" s="27" t="s">
        <v>6069</v>
      </c>
      <c r="H2577" s="65" t="str">
        <f t="shared" si="120"/>
        <v>Other</v>
      </c>
      <c r="I2577" s="65" t="str">
        <f t="shared" si="121"/>
        <v/>
      </c>
      <c r="J2577" s="65" t="str">
        <f t="shared" si="122"/>
        <v>610121</v>
      </c>
    </row>
    <row r="2578" spans="1:10" x14ac:dyDescent="0.3">
      <c r="A2578" s="27" t="s">
        <v>1869</v>
      </c>
      <c r="D2578" s="27" t="s">
        <v>2255</v>
      </c>
      <c r="E2578" s="27" t="s">
        <v>2232</v>
      </c>
      <c r="F2578" s="27" t="str">
        <f>"61.0122"</f>
        <v>61.0122</v>
      </c>
      <c r="G2578" s="27" t="s">
        <v>6070</v>
      </c>
      <c r="H2578" s="65" t="str">
        <f t="shared" si="120"/>
        <v>Other</v>
      </c>
      <c r="I2578" s="65" t="str">
        <f t="shared" si="121"/>
        <v/>
      </c>
      <c r="J2578" s="65" t="str">
        <f t="shared" si="122"/>
        <v>610122</v>
      </c>
    </row>
    <row r="2579" spans="1:10" x14ac:dyDescent="0.3">
      <c r="A2579" s="27" t="s">
        <v>1869</v>
      </c>
      <c r="D2579" s="27" t="s">
        <v>2255</v>
      </c>
      <c r="E2579" s="27" t="s">
        <v>2232</v>
      </c>
      <c r="F2579" s="27" t="str">
        <f>"61.0123"</f>
        <v>61.0123</v>
      </c>
      <c r="G2579" s="27" t="s">
        <v>6071</v>
      </c>
      <c r="H2579" s="65" t="str">
        <f t="shared" si="120"/>
        <v>Other</v>
      </c>
      <c r="I2579" s="65" t="str">
        <f t="shared" si="121"/>
        <v/>
      </c>
      <c r="J2579" s="65" t="str">
        <f t="shared" si="122"/>
        <v>610123</v>
      </c>
    </row>
    <row r="2580" spans="1:10" x14ac:dyDescent="0.3">
      <c r="A2580" s="27" t="s">
        <v>1869</v>
      </c>
      <c r="D2580" s="27" t="s">
        <v>2255</v>
      </c>
      <c r="E2580" s="27" t="s">
        <v>2232</v>
      </c>
      <c r="F2580" s="27" t="str">
        <f>"61.0124"</f>
        <v>61.0124</v>
      </c>
      <c r="G2580" s="27" t="s">
        <v>6072</v>
      </c>
      <c r="H2580" s="65" t="str">
        <f t="shared" si="120"/>
        <v>Other</v>
      </c>
      <c r="I2580" s="65" t="str">
        <f t="shared" si="121"/>
        <v/>
      </c>
      <c r="J2580" s="65" t="str">
        <f t="shared" si="122"/>
        <v>610124</v>
      </c>
    </row>
    <row r="2581" spans="1:10" x14ac:dyDescent="0.3">
      <c r="A2581" s="27" t="s">
        <v>1869</v>
      </c>
      <c r="D2581" s="27" t="s">
        <v>2255</v>
      </c>
      <c r="E2581" s="27" t="s">
        <v>2232</v>
      </c>
      <c r="F2581" s="27" t="str">
        <f>"61.0125"</f>
        <v>61.0125</v>
      </c>
      <c r="G2581" s="27" t="s">
        <v>6073</v>
      </c>
      <c r="H2581" s="65" t="str">
        <f t="shared" si="120"/>
        <v>Other</v>
      </c>
      <c r="I2581" s="65" t="str">
        <f t="shared" si="121"/>
        <v/>
      </c>
      <c r="J2581" s="65" t="str">
        <f t="shared" si="122"/>
        <v>610125</v>
      </c>
    </row>
    <row r="2582" spans="1:10" x14ac:dyDescent="0.3">
      <c r="A2582" s="27" t="s">
        <v>1869</v>
      </c>
      <c r="D2582" s="27" t="s">
        <v>2255</v>
      </c>
      <c r="E2582" s="27" t="s">
        <v>2232</v>
      </c>
      <c r="F2582" s="27" t="str">
        <f>"61.0199"</f>
        <v>61.0199</v>
      </c>
      <c r="G2582" s="27" t="s">
        <v>6074</v>
      </c>
      <c r="H2582" s="65" t="str">
        <f t="shared" si="120"/>
        <v>Other</v>
      </c>
      <c r="I2582" s="65" t="str">
        <f t="shared" si="121"/>
        <v/>
      </c>
      <c r="J2582" s="65" t="str">
        <f t="shared" si="122"/>
        <v>610199</v>
      </c>
    </row>
    <row r="2583" spans="1:10" x14ac:dyDescent="0.3">
      <c r="A2583" s="27" t="s">
        <v>1869</v>
      </c>
      <c r="D2583" s="27" t="s">
        <v>2255</v>
      </c>
      <c r="E2583" s="27" t="s">
        <v>2232</v>
      </c>
      <c r="F2583" s="27" t="str">
        <f>"61.02"</f>
        <v>61.02</v>
      </c>
      <c r="G2583" s="27" t="s">
        <v>6075</v>
      </c>
      <c r="H2583" s="65" t="str">
        <f t="shared" si="120"/>
        <v>No Change</v>
      </c>
      <c r="I2583" s="65" t="str">
        <f t="shared" si="121"/>
        <v/>
      </c>
      <c r="J2583" s="65" t="str">
        <f t="shared" si="122"/>
        <v/>
      </c>
    </row>
    <row r="2584" spans="1:10" x14ac:dyDescent="0.3">
      <c r="A2584" s="27" t="s">
        <v>1869</v>
      </c>
      <c r="D2584" s="27" t="s">
        <v>2255</v>
      </c>
      <c r="E2584" s="27" t="s">
        <v>2232</v>
      </c>
      <c r="F2584" s="27" t="str">
        <f>"61.0215"</f>
        <v>61.0215</v>
      </c>
      <c r="G2584" s="27" t="s">
        <v>6076</v>
      </c>
      <c r="H2584" s="65" t="str">
        <f t="shared" si="120"/>
        <v>Other</v>
      </c>
      <c r="I2584" s="65" t="str">
        <f t="shared" si="121"/>
        <v/>
      </c>
      <c r="J2584" s="65" t="str">
        <f t="shared" si="122"/>
        <v>610215</v>
      </c>
    </row>
    <row r="2585" spans="1:10" x14ac:dyDescent="0.3">
      <c r="A2585" s="27" t="s">
        <v>1869</v>
      </c>
      <c r="D2585" s="27" t="s">
        <v>2255</v>
      </c>
      <c r="E2585" s="27" t="s">
        <v>2232</v>
      </c>
      <c r="F2585" s="27" t="str">
        <f>"61.0218"</f>
        <v>61.0218</v>
      </c>
      <c r="G2585" s="27" t="s">
        <v>6077</v>
      </c>
      <c r="H2585" s="65" t="str">
        <f t="shared" si="120"/>
        <v>Other</v>
      </c>
      <c r="I2585" s="65" t="str">
        <f t="shared" si="121"/>
        <v/>
      </c>
      <c r="J2585" s="65" t="str">
        <f t="shared" si="122"/>
        <v>610218</v>
      </c>
    </row>
    <row r="2586" spans="1:10" x14ac:dyDescent="0.3">
      <c r="A2586" s="27" t="s">
        <v>1869</v>
      </c>
      <c r="D2586" s="27" t="s">
        <v>2255</v>
      </c>
      <c r="E2586" s="27" t="s">
        <v>2232</v>
      </c>
      <c r="F2586" s="27" t="str">
        <f>"61.0219"</f>
        <v>61.0219</v>
      </c>
      <c r="G2586" s="27" t="s">
        <v>6078</v>
      </c>
      <c r="H2586" s="65" t="str">
        <f t="shared" si="120"/>
        <v>Other</v>
      </c>
      <c r="I2586" s="65" t="str">
        <f t="shared" si="121"/>
        <v/>
      </c>
      <c r="J2586" s="65" t="str">
        <f t="shared" si="122"/>
        <v>610219</v>
      </c>
    </row>
    <row r="2587" spans="1:10" x14ac:dyDescent="0.3">
      <c r="A2587" s="27" t="s">
        <v>1869</v>
      </c>
      <c r="D2587" s="27" t="s">
        <v>2255</v>
      </c>
      <c r="E2587" s="27" t="s">
        <v>2232</v>
      </c>
      <c r="F2587" s="27" t="str">
        <f>"61.0225"</f>
        <v>61.0225</v>
      </c>
      <c r="G2587" s="27" t="s">
        <v>6079</v>
      </c>
      <c r="H2587" s="65" t="str">
        <f t="shared" si="120"/>
        <v>Other</v>
      </c>
      <c r="I2587" s="65" t="str">
        <f t="shared" si="121"/>
        <v/>
      </c>
      <c r="J2587" s="65" t="str">
        <f t="shared" si="122"/>
        <v>610225</v>
      </c>
    </row>
    <row r="2588" spans="1:10" x14ac:dyDescent="0.3">
      <c r="A2588" s="27" t="s">
        <v>1869</v>
      </c>
      <c r="D2588" s="27" t="s">
        <v>2255</v>
      </c>
      <c r="E2588" s="27" t="s">
        <v>2232</v>
      </c>
      <c r="F2588" s="27" t="str">
        <f>"61.0229"</f>
        <v>61.0229</v>
      </c>
      <c r="G2588" s="27" t="s">
        <v>6080</v>
      </c>
      <c r="H2588" s="65" t="str">
        <f t="shared" si="120"/>
        <v>Other</v>
      </c>
      <c r="I2588" s="65" t="str">
        <f t="shared" si="121"/>
        <v/>
      </c>
      <c r="J2588" s="65" t="str">
        <f t="shared" si="122"/>
        <v>610229</v>
      </c>
    </row>
    <row r="2589" spans="1:10" x14ac:dyDescent="0.3">
      <c r="A2589" s="27" t="s">
        <v>1869</v>
      </c>
      <c r="D2589" s="27" t="s">
        <v>2255</v>
      </c>
      <c r="E2589" s="27" t="s">
        <v>2232</v>
      </c>
      <c r="F2589" s="27" t="str">
        <f>"61.0232"</f>
        <v>61.0232</v>
      </c>
      <c r="G2589" s="27" t="s">
        <v>6081</v>
      </c>
      <c r="H2589" s="65" t="str">
        <f t="shared" si="120"/>
        <v>Other</v>
      </c>
      <c r="I2589" s="65" t="str">
        <f t="shared" si="121"/>
        <v/>
      </c>
      <c r="J2589" s="65" t="str">
        <f t="shared" si="122"/>
        <v>610232</v>
      </c>
    </row>
    <row r="2590" spans="1:10" x14ac:dyDescent="0.3">
      <c r="A2590" s="27" t="s">
        <v>1869</v>
      </c>
      <c r="D2590" s="27" t="s">
        <v>2255</v>
      </c>
      <c r="E2590" s="27" t="s">
        <v>2232</v>
      </c>
      <c r="F2590" s="27" t="str">
        <f>"61.0234"</f>
        <v>61.0234</v>
      </c>
      <c r="G2590" s="27" t="s">
        <v>6082</v>
      </c>
      <c r="H2590" s="65" t="str">
        <f t="shared" si="120"/>
        <v>Other</v>
      </c>
      <c r="I2590" s="65" t="str">
        <f t="shared" si="121"/>
        <v/>
      </c>
      <c r="J2590" s="65" t="str">
        <f t="shared" si="122"/>
        <v>610234</v>
      </c>
    </row>
    <row r="2591" spans="1:10" x14ac:dyDescent="0.3">
      <c r="A2591" s="27" t="s">
        <v>1869</v>
      </c>
      <c r="D2591" s="27" t="s">
        <v>2255</v>
      </c>
      <c r="E2591" s="27" t="s">
        <v>2232</v>
      </c>
      <c r="F2591" s="27" t="str">
        <f>"61.0299"</f>
        <v>61.0299</v>
      </c>
      <c r="G2591" s="27" t="s">
        <v>6083</v>
      </c>
      <c r="H2591" s="65" t="str">
        <f t="shared" si="120"/>
        <v>Other</v>
      </c>
      <c r="I2591" s="65" t="str">
        <f t="shared" si="121"/>
        <v/>
      </c>
      <c r="J2591" s="65" t="str">
        <f t="shared" si="122"/>
        <v>610299</v>
      </c>
    </row>
    <row r="2592" spans="1:10" x14ac:dyDescent="0.3">
      <c r="A2592" s="27" t="s">
        <v>1869</v>
      </c>
      <c r="D2592" s="27" t="s">
        <v>2255</v>
      </c>
      <c r="E2592" s="27" t="s">
        <v>2232</v>
      </c>
      <c r="F2592" s="27" t="str">
        <f>"61.03"</f>
        <v>61.03</v>
      </c>
      <c r="G2592" s="27" t="s">
        <v>6084</v>
      </c>
      <c r="H2592" s="65" t="str">
        <f t="shared" si="120"/>
        <v>No Change</v>
      </c>
      <c r="I2592" s="65" t="str">
        <f t="shared" si="121"/>
        <v/>
      </c>
      <c r="J2592" s="65" t="str">
        <f t="shared" si="122"/>
        <v/>
      </c>
    </row>
    <row r="2593" spans="1:10" x14ac:dyDescent="0.3">
      <c r="A2593" s="27" t="s">
        <v>1869</v>
      </c>
      <c r="D2593" s="27" t="s">
        <v>2255</v>
      </c>
      <c r="E2593" s="27" t="s">
        <v>2232</v>
      </c>
      <c r="F2593" s="27" t="str">
        <f>"61.0399"</f>
        <v>61.0399</v>
      </c>
      <c r="G2593" s="27" t="s">
        <v>6085</v>
      </c>
      <c r="H2593" s="65" t="str">
        <f t="shared" si="120"/>
        <v>Other</v>
      </c>
      <c r="I2593" s="65" t="str">
        <f t="shared" si="121"/>
        <v/>
      </c>
      <c r="J2593" s="65" t="str">
        <f t="shared" si="122"/>
        <v>610399</v>
      </c>
    </row>
    <row r="2594" spans="1:10" x14ac:dyDescent="0.3">
      <c r="A2594" s="27" t="s">
        <v>1869</v>
      </c>
      <c r="D2594" s="27" t="s">
        <v>2255</v>
      </c>
      <c r="E2594" s="27" t="s">
        <v>2232</v>
      </c>
      <c r="F2594" s="27" t="str">
        <f>"61.04"</f>
        <v>61.04</v>
      </c>
      <c r="G2594" s="27" t="s">
        <v>6086</v>
      </c>
      <c r="H2594" s="65" t="str">
        <f t="shared" si="120"/>
        <v>No Change</v>
      </c>
      <c r="I2594" s="65" t="str">
        <f t="shared" si="121"/>
        <v/>
      </c>
      <c r="J2594" s="65" t="str">
        <f t="shared" si="122"/>
        <v/>
      </c>
    </row>
    <row r="2595" spans="1:10" x14ac:dyDescent="0.3">
      <c r="A2595" s="27" t="s">
        <v>1869</v>
      </c>
      <c r="D2595" s="27" t="s">
        <v>2255</v>
      </c>
      <c r="E2595" s="27" t="s">
        <v>2232</v>
      </c>
      <c r="F2595" s="27" t="str">
        <f>"61.0499"</f>
        <v>61.0499</v>
      </c>
      <c r="G2595" s="27" t="s">
        <v>6087</v>
      </c>
      <c r="H2595" s="65" t="str">
        <f t="shared" si="120"/>
        <v>Other</v>
      </c>
      <c r="I2595" s="65" t="str">
        <f t="shared" si="121"/>
        <v/>
      </c>
      <c r="J2595" s="65" t="str">
        <f t="shared" si="122"/>
        <v>610499</v>
      </c>
    </row>
    <row r="2596" spans="1:10" x14ac:dyDescent="0.3">
      <c r="A2596" s="27" t="s">
        <v>1869</v>
      </c>
      <c r="D2596" s="27" t="s">
        <v>2255</v>
      </c>
      <c r="E2596" s="27" t="s">
        <v>2232</v>
      </c>
      <c r="F2596" s="27" t="str">
        <f>"61.05"</f>
        <v>61.05</v>
      </c>
      <c r="G2596" s="27" t="s">
        <v>6088</v>
      </c>
      <c r="H2596" s="65" t="str">
        <f t="shared" si="120"/>
        <v>No Change</v>
      </c>
      <c r="I2596" s="65" t="str">
        <f t="shared" si="121"/>
        <v/>
      </c>
      <c r="J2596" s="65" t="str">
        <f t="shared" si="122"/>
        <v/>
      </c>
    </row>
    <row r="2597" spans="1:10" x14ac:dyDescent="0.3">
      <c r="A2597" s="27" t="s">
        <v>1869</v>
      </c>
      <c r="D2597" s="27" t="s">
        <v>2255</v>
      </c>
      <c r="E2597" s="27" t="s">
        <v>2232</v>
      </c>
      <c r="F2597" s="27" t="str">
        <f>"61.0599"</f>
        <v>61.0599</v>
      </c>
      <c r="G2597" s="27" t="s">
        <v>6089</v>
      </c>
      <c r="H2597" s="65" t="str">
        <f t="shared" si="120"/>
        <v>Other</v>
      </c>
      <c r="I2597" s="65" t="str">
        <f t="shared" si="121"/>
        <v/>
      </c>
      <c r="J2597" s="65" t="str">
        <f t="shared" si="122"/>
        <v>610599</v>
      </c>
    </row>
    <row r="2598" spans="1:10" x14ac:dyDescent="0.3">
      <c r="A2598" s="27" t="s">
        <v>1869</v>
      </c>
      <c r="D2598" s="27" t="s">
        <v>2255</v>
      </c>
      <c r="E2598" s="27" t="s">
        <v>2232</v>
      </c>
      <c r="F2598" s="27" t="str">
        <f>"61.06"</f>
        <v>61.06</v>
      </c>
      <c r="G2598" s="27" t="s">
        <v>6090</v>
      </c>
      <c r="H2598" s="65" t="str">
        <f t="shared" si="120"/>
        <v>No Change</v>
      </c>
      <c r="I2598" s="65" t="str">
        <f t="shared" si="121"/>
        <v/>
      </c>
      <c r="J2598" s="65" t="str">
        <f t="shared" si="122"/>
        <v/>
      </c>
    </row>
    <row r="2599" spans="1:10" x14ac:dyDescent="0.3">
      <c r="A2599" s="27" t="s">
        <v>1869</v>
      </c>
      <c r="D2599" s="27" t="s">
        <v>2255</v>
      </c>
      <c r="E2599" s="27" t="s">
        <v>2232</v>
      </c>
      <c r="F2599" s="27" t="str">
        <f>"61.0602"</f>
        <v>61.0602</v>
      </c>
      <c r="G2599" s="27" t="s">
        <v>6091</v>
      </c>
      <c r="H2599" s="65" t="str">
        <f t="shared" si="120"/>
        <v>Other</v>
      </c>
      <c r="I2599" s="65" t="str">
        <f t="shared" si="121"/>
        <v/>
      </c>
      <c r="J2599" s="65" t="str">
        <f t="shared" si="122"/>
        <v>610602</v>
      </c>
    </row>
    <row r="2600" spans="1:10" x14ac:dyDescent="0.3">
      <c r="A2600" s="27" t="s">
        <v>1869</v>
      </c>
      <c r="D2600" s="27" t="s">
        <v>2255</v>
      </c>
      <c r="E2600" s="27" t="s">
        <v>2232</v>
      </c>
      <c r="F2600" s="27" t="str">
        <f>"61.0603"</f>
        <v>61.0603</v>
      </c>
      <c r="G2600" s="27" t="s">
        <v>6092</v>
      </c>
      <c r="H2600" s="65" t="str">
        <f t="shared" si="120"/>
        <v>Other</v>
      </c>
      <c r="I2600" s="65" t="str">
        <f t="shared" si="121"/>
        <v/>
      </c>
      <c r="J2600" s="65" t="str">
        <f t="shared" si="122"/>
        <v>610603</v>
      </c>
    </row>
    <row r="2601" spans="1:10" x14ac:dyDescent="0.3">
      <c r="A2601" s="27" t="s">
        <v>1869</v>
      </c>
      <c r="D2601" s="27" t="s">
        <v>2255</v>
      </c>
      <c r="E2601" s="27" t="s">
        <v>2232</v>
      </c>
      <c r="F2601" s="27" t="str">
        <f>"61.0699"</f>
        <v>61.0699</v>
      </c>
      <c r="G2601" s="27" t="s">
        <v>6093</v>
      </c>
      <c r="H2601" s="65" t="str">
        <f t="shared" si="120"/>
        <v>Other</v>
      </c>
      <c r="I2601" s="65" t="str">
        <f t="shared" si="121"/>
        <v/>
      </c>
      <c r="J2601" s="65" t="str">
        <f t="shared" si="122"/>
        <v>610699</v>
      </c>
    </row>
    <row r="2602" spans="1:10" x14ac:dyDescent="0.3">
      <c r="A2602" s="27" t="s">
        <v>1869</v>
      </c>
      <c r="D2602" s="27" t="s">
        <v>2255</v>
      </c>
      <c r="E2602" s="27" t="s">
        <v>2232</v>
      </c>
      <c r="F2602" s="27" t="str">
        <f>"61.07"</f>
        <v>61.07</v>
      </c>
      <c r="G2602" s="27" t="s">
        <v>6094</v>
      </c>
      <c r="H2602" s="65" t="str">
        <f t="shared" si="120"/>
        <v>No Change</v>
      </c>
      <c r="I2602" s="65" t="str">
        <f t="shared" si="121"/>
        <v/>
      </c>
      <c r="J2602" s="65" t="str">
        <f t="shared" si="122"/>
        <v/>
      </c>
    </row>
    <row r="2603" spans="1:10" x14ac:dyDescent="0.3">
      <c r="A2603" s="27" t="s">
        <v>1869</v>
      </c>
      <c r="D2603" s="27" t="s">
        <v>2255</v>
      </c>
      <c r="E2603" s="27" t="s">
        <v>2232</v>
      </c>
      <c r="F2603" s="27" t="str">
        <f>"61.0799"</f>
        <v>61.0799</v>
      </c>
      <c r="G2603" s="27" t="s">
        <v>6095</v>
      </c>
      <c r="H2603" s="65" t="str">
        <f t="shared" si="120"/>
        <v>Other</v>
      </c>
      <c r="I2603" s="65" t="str">
        <f t="shared" si="121"/>
        <v/>
      </c>
      <c r="J2603" s="65" t="str">
        <f t="shared" si="122"/>
        <v>610799</v>
      </c>
    </row>
    <row r="2604" spans="1:10" x14ac:dyDescent="0.3">
      <c r="A2604" s="27" t="s">
        <v>1869</v>
      </c>
      <c r="D2604" s="27" t="s">
        <v>2255</v>
      </c>
      <c r="E2604" s="27" t="s">
        <v>2232</v>
      </c>
      <c r="F2604" s="27" t="str">
        <f>"61.08"</f>
        <v>61.08</v>
      </c>
      <c r="G2604" s="27" t="s">
        <v>6096</v>
      </c>
      <c r="H2604" s="65" t="str">
        <f t="shared" si="120"/>
        <v>No Change</v>
      </c>
      <c r="I2604" s="65" t="str">
        <f t="shared" si="121"/>
        <v/>
      </c>
      <c r="J2604" s="65" t="str">
        <f t="shared" si="122"/>
        <v/>
      </c>
    </row>
    <row r="2605" spans="1:10" x14ac:dyDescent="0.3">
      <c r="A2605" s="27" t="s">
        <v>1869</v>
      </c>
      <c r="D2605" s="27" t="s">
        <v>2255</v>
      </c>
      <c r="E2605" s="27" t="s">
        <v>2232</v>
      </c>
      <c r="F2605" s="27" t="str">
        <f>"61.0809"</f>
        <v>61.0809</v>
      </c>
      <c r="G2605" s="27" t="s">
        <v>6097</v>
      </c>
      <c r="H2605" s="65" t="str">
        <f t="shared" si="120"/>
        <v>Other</v>
      </c>
      <c r="I2605" s="65" t="str">
        <f t="shared" si="121"/>
        <v/>
      </c>
      <c r="J2605" s="65" t="str">
        <f t="shared" si="122"/>
        <v>610809</v>
      </c>
    </row>
    <row r="2606" spans="1:10" x14ac:dyDescent="0.3">
      <c r="A2606" s="27" t="s">
        <v>1869</v>
      </c>
      <c r="D2606" s="27" t="s">
        <v>2255</v>
      </c>
      <c r="E2606" s="27" t="s">
        <v>2232</v>
      </c>
      <c r="F2606" s="27" t="str">
        <f>"61.0899"</f>
        <v>61.0899</v>
      </c>
      <c r="G2606" s="27" t="s">
        <v>6098</v>
      </c>
      <c r="H2606" s="65" t="str">
        <f t="shared" si="120"/>
        <v>Other</v>
      </c>
      <c r="I2606" s="65" t="str">
        <f t="shared" si="121"/>
        <v/>
      </c>
      <c r="J2606" s="65" t="str">
        <f t="shared" si="122"/>
        <v>610899</v>
      </c>
    </row>
    <row r="2607" spans="1:10" x14ac:dyDescent="0.3">
      <c r="A2607" s="27" t="s">
        <v>1869</v>
      </c>
      <c r="D2607" s="27" t="s">
        <v>2255</v>
      </c>
      <c r="E2607" s="27" t="s">
        <v>2232</v>
      </c>
      <c r="F2607" s="27" t="str">
        <f>"61.09"</f>
        <v>61.09</v>
      </c>
      <c r="G2607" s="27" t="s">
        <v>6099</v>
      </c>
      <c r="H2607" s="65" t="str">
        <f t="shared" si="120"/>
        <v>No Change</v>
      </c>
      <c r="I2607" s="65" t="str">
        <f t="shared" si="121"/>
        <v/>
      </c>
      <c r="J2607" s="65" t="str">
        <f t="shared" si="122"/>
        <v/>
      </c>
    </row>
    <row r="2608" spans="1:10" x14ac:dyDescent="0.3">
      <c r="A2608" s="27" t="s">
        <v>1869</v>
      </c>
      <c r="D2608" s="27" t="s">
        <v>2255</v>
      </c>
      <c r="E2608" s="27" t="s">
        <v>2232</v>
      </c>
      <c r="F2608" s="27" t="str">
        <f>"61.0903"</f>
        <v>61.0903</v>
      </c>
      <c r="G2608" s="27" t="s">
        <v>6100</v>
      </c>
      <c r="H2608" s="65" t="str">
        <f t="shared" si="120"/>
        <v>Other</v>
      </c>
      <c r="I2608" s="65" t="str">
        <f t="shared" si="121"/>
        <v/>
      </c>
      <c r="J2608" s="65" t="str">
        <f t="shared" si="122"/>
        <v>610903</v>
      </c>
    </row>
    <row r="2609" spans="1:10" x14ac:dyDescent="0.3">
      <c r="A2609" s="27" t="s">
        <v>1869</v>
      </c>
      <c r="D2609" s="27" t="s">
        <v>2255</v>
      </c>
      <c r="E2609" s="27" t="s">
        <v>2232</v>
      </c>
      <c r="F2609" s="27" t="str">
        <f>"61.0999"</f>
        <v>61.0999</v>
      </c>
      <c r="G2609" s="27" t="s">
        <v>6101</v>
      </c>
      <c r="H2609" s="65" t="str">
        <f t="shared" si="120"/>
        <v>Other</v>
      </c>
      <c r="I2609" s="65" t="str">
        <f t="shared" si="121"/>
        <v/>
      </c>
      <c r="J2609" s="65" t="str">
        <f t="shared" si="122"/>
        <v>610999</v>
      </c>
    </row>
    <row r="2610" spans="1:10" x14ac:dyDescent="0.3">
      <c r="A2610" s="27" t="s">
        <v>1869</v>
      </c>
      <c r="D2610" s="27" t="s">
        <v>2255</v>
      </c>
      <c r="E2610" s="27" t="s">
        <v>2232</v>
      </c>
      <c r="F2610" s="27" t="str">
        <f>"61.10"</f>
        <v>61.10</v>
      </c>
      <c r="G2610" s="27" t="s">
        <v>6102</v>
      </c>
      <c r="H2610" s="65" t="str">
        <f t="shared" si="120"/>
        <v>No Change</v>
      </c>
      <c r="I2610" s="65" t="str">
        <f t="shared" si="121"/>
        <v/>
      </c>
      <c r="J2610" s="65" t="str">
        <f t="shared" si="122"/>
        <v/>
      </c>
    </row>
    <row r="2611" spans="1:10" x14ac:dyDescent="0.3">
      <c r="A2611" s="27" t="s">
        <v>1869</v>
      </c>
      <c r="D2611" s="27" t="s">
        <v>2255</v>
      </c>
      <c r="E2611" s="27" t="s">
        <v>2232</v>
      </c>
      <c r="F2611" s="27" t="str">
        <f>"61.1099"</f>
        <v>61.1099</v>
      </c>
      <c r="G2611" s="27" t="s">
        <v>6103</v>
      </c>
      <c r="H2611" s="65" t="str">
        <f t="shared" si="120"/>
        <v>Other</v>
      </c>
      <c r="I2611" s="65" t="str">
        <f t="shared" si="121"/>
        <v/>
      </c>
      <c r="J2611" s="65" t="str">
        <f t="shared" si="122"/>
        <v>611099</v>
      </c>
    </row>
    <row r="2612" spans="1:10" x14ac:dyDescent="0.3">
      <c r="A2612" s="27" t="s">
        <v>1869</v>
      </c>
      <c r="D2612" s="27" t="s">
        <v>2255</v>
      </c>
      <c r="E2612" s="27" t="s">
        <v>2232</v>
      </c>
      <c r="F2612" s="27" t="str">
        <f>"61.11"</f>
        <v>61.11</v>
      </c>
      <c r="G2612" s="27" t="s">
        <v>6104</v>
      </c>
      <c r="H2612" s="65" t="str">
        <f t="shared" si="120"/>
        <v>No Change</v>
      </c>
      <c r="I2612" s="65" t="str">
        <f t="shared" si="121"/>
        <v/>
      </c>
      <c r="J2612" s="65" t="str">
        <f t="shared" si="122"/>
        <v/>
      </c>
    </row>
    <row r="2613" spans="1:10" x14ac:dyDescent="0.3">
      <c r="A2613" s="27" t="s">
        <v>1869</v>
      </c>
      <c r="D2613" s="27" t="s">
        <v>2255</v>
      </c>
      <c r="E2613" s="27" t="s">
        <v>2232</v>
      </c>
      <c r="F2613" s="27" t="str">
        <f>"61.1104"</f>
        <v>61.1104</v>
      </c>
      <c r="G2613" s="27" t="s">
        <v>6105</v>
      </c>
      <c r="H2613" s="65" t="str">
        <f t="shared" si="120"/>
        <v>Other</v>
      </c>
      <c r="I2613" s="65" t="str">
        <f t="shared" si="121"/>
        <v/>
      </c>
      <c r="J2613" s="65" t="str">
        <f t="shared" si="122"/>
        <v>611104</v>
      </c>
    </row>
    <row r="2614" spans="1:10" x14ac:dyDescent="0.3">
      <c r="A2614" s="27" t="s">
        <v>1869</v>
      </c>
      <c r="D2614" s="27" t="s">
        <v>2255</v>
      </c>
      <c r="E2614" s="27" t="s">
        <v>2232</v>
      </c>
      <c r="F2614" s="27" t="str">
        <f>"61.1105"</f>
        <v>61.1105</v>
      </c>
      <c r="G2614" s="27" t="s">
        <v>6106</v>
      </c>
      <c r="H2614" s="65" t="str">
        <f t="shared" si="120"/>
        <v>Other</v>
      </c>
      <c r="I2614" s="65" t="str">
        <f t="shared" si="121"/>
        <v/>
      </c>
      <c r="J2614" s="65" t="str">
        <f t="shared" si="122"/>
        <v>611105</v>
      </c>
    </row>
    <row r="2615" spans="1:10" x14ac:dyDescent="0.3">
      <c r="A2615" s="27" t="s">
        <v>1869</v>
      </c>
      <c r="D2615" s="27" t="s">
        <v>2255</v>
      </c>
      <c r="E2615" s="27" t="s">
        <v>2232</v>
      </c>
      <c r="F2615" s="27" t="str">
        <f>"61.1199"</f>
        <v>61.1199</v>
      </c>
      <c r="G2615" s="27" t="s">
        <v>6107</v>
      </c>
      <c r="H2615" s="65" t="str">
        <f t="shared" si="120"/>
        <v>Other</v>
      </c>
      <c r="I2615" s="65" t="str">
        <f t="shared" si="121"/>
        <v/>
      </c>
      <c r="J2615" s="65" t="str">
        <f t="shared" si="122"/>
        <v>611199</v>
      </c>
    </row>
    <row r="2616" spans="1:10" x14ac:dyDescent="0.3">
      <c r="A2616" s="27" t="s">
        <v>1869</v>
      </c>
      <c r="D2616" s="27" t="s">
        <v>2255</v>
      </c>
      <c r="E2616" s="27" t="s">
        <v>2232</v>
      </c>
      <c r="F2616" s="27" t="str">
        <f>"61.12"</f>
        <v>61.12</v>
      </c>
      <c r="G2616" s="27" t="s">
        <v>6108</v>
      </c>
      <c r="H2616" s="65" t="str">
        <f t="shared" si="120"/>
        <v>No Change</v>
      </c>
      <c r="I2616" s="65" t="str">
        <f t="shared" si="121"/>
        <v/>
      </c>
      <c r="J2616" s="65" t="str">
        <f t="shared" si="122"/>
        <v/>
      </c>
    </row>
    <row r="2617" spans="1:10" x14ac:dyDescent="0.3">
      <c r="A2617" s="27" t="s">
        <v>1869</v>
      </c>
      <c r="D2617" s="27" t="s">
        <v>2255</v>
      </c>
      <c r="E2617" s="27" t="s">
        <v>2232</v>
      </c>
      <c r="F2617" s="27" t="str">
        <f>"61.1299"</f>
        <v>61.1299</v>
      </c>
      <c r="G2617" s="27" t="s">
        <v>6109</v>
      </c>
      <c r="H2617" s="65" t="str">
        <f t="shared" si="120"/>
        <v>Other</v>
      </c>
      <c r="I2617" s="65" t="str">
        <f t="shared" si="121"/>
        <v/>
      </c>
      <c r="J2617" s="65" t="str">
        <f t="shared" si="122"/>
        <v>611299</v>
      </c>
    </row>
    <row r="2618" spans="1:10" x14ac:dyDescent="0.3">
      <c r="A2618" s="27" t="s">
        <v>1869</v>
      </c>
      <c r="D2618" s="27" t="s">
        <v>2255</v>
      </c>
      <c r="E2618" s="27" t="s">
        <v>2232</v>
      </c>
      <c r="F2618" s="27" t="str">
        <f>"61.13"</f>
        <v>61.13</v>
      </c>
      <c r="G2618" s="27" t="s">
        <v>6110</v>
      </c>
      <c r="H2618" s="65" t="str">
        <f t="shared" si="120"/>
        <v>No Change</v>
      </c>
      <c r="I2618" s="65" t="str">
        <f t="shared" si="121"/>
        <v/>
      </c>
      <c r="J2618" s="65" t="str">
        <f t="shared" si="122"/>
        <v/>
      </c>
    </row>
    <row r="2619" spans="1:10" x14ac:dyDescent="0.3">
      <c r="A2619" s="27" t="s">
        <v>1869</v>
      </c>
      <c r="D2619" s="27" t="s">
        <v>2255</v>
      </c>
      <c r="E2619" s="27" t="s">
        <v>2232</v>
      </c>
      <c r="F2619" s="27" t="str">
        <f>"61.1399"</f>
        <v>61.1399</v>
      </c>
      <c r="G2619" s="27" t="s">
        <v>6111</v>
      </c>
      <c r="H2619" s="65" t="str">
        <f t="shared" si="120"/>
        <v>Other</v>
      </c>
      <c r="I2619" s="65" t="str">
        <f t="shared" si="121"/>
        <v/>
      </c>
      <c r="J2619" s="65" t="str">
        <f t="shared" si="122"/>
        <v>611399</v>
      </c>
    </row>
    <row r="2620" spans="1:10" x14ac:dyDescent="0.3">
      <c r="A2620" s="27" t="s">
        <v>1869</v>
      </c>
      <c r="D2620" s="27" t="s">
        <v>2255</v>
      </c>
      <c r="E2620" s="27" t="s">
        <v>2232</v>
      </c>
      <c r="F2620" s="27" t="str">
        <f>"61.14"</f>
        <v>61.14</v>
      </c>
      <c r="G2620" s="27" t="s">
        <v>6112</v>
      </c>
      <c r="H2620" s="65" t="str">
        <f t="shared" si="120"/>
        <v>No Change</v>
      </c>
      <c r="I2620" s="65" t="str">
        <f t="shared" si="121"/>
        <v/>
      </c>
      <c r="J2620" s="65" t="str">
        <f t="shared" si="122"/>
        <v/>
      </c>
    </row>
    <row r="2621" spans="1:10" x14ac:dyDescent="0.3">
      <c r="A2621" s="27" t="s">
        <v>1869</v>
      </c>
      <c r="D2621" s="27" t="s">
        <v>2255</v>
      </c>
      <c r="E2621" s="27" t="s">
        <v>2232</v>
      </c>
      <c r="F2621" s="27" t="str">
        <f>"61.1499"</f>
        <v>61.1499</v>
      </c>
      <c r="G2621" s="27" t="s">
        <v>6113</v>
      </c>
      <c r="H2621" s="65" t="str">
        <f t="shared" si="120"/>
        <v>Other</v>
      </c>
      <c r="I2621" s="65" t="str">
        <f t="shared" si="121"/>
        <v/>
      </c>
      <c r="J2621" s="65" t="str">
        <f t="shared" si="122"/>
        <v>611499</v>
      </c>
    </row>
    <row r="2622" spans="1:10" x14ac:dyDescent="0.3">
      <c r="A2622" s="27" t="s">
        <v>1869</v>
      </c>
      <c r="D2622" s="27" t="s">
        <v>2255</v>
      </c>
      <c r="E2622" s="27" t="s">
        <v>2232</v>
      </c>
      <c r="F2622" s="27" t="str">
        <f>"61.15"</f>
        <v>61.15</v>
      </c>
      <c r="G2622" s="27" t="s">
        <v>6114</v>
      </c>
      <c r="H2622" s="65" t="str">
        <f t="shared" si="120"/>
        <v>No Change</v>
      </c>
      <c r="I2622" s="65" t="str">
        <f t="shared" si="121"/>
        <v/>
      </c>
      <c r="J2622" s="65" t="str">
        <f t="shared" si="122"/>
        <v/>
      </c>
    </row>
    <row r="2623" spans="1:10" x14ac:dyDescent="0.3">
      <c r="A2623" s="27" t="s">
        <v>1869</v>
      </c>
      <c r="D2623" s="27" t="s">
        <v>2255</v>
      </c>
      <c r="E2623" s="27" t="s">
        <v>2232</v>
      </c>
      <c r="F2623" s="27" t="str">
        <f>"61.1599"</f>
        <v>61.1599</v>
      </c>
      <c r="G2623" s="27" t="s">
        <v>6115</v>
      </c>
      <c r="H2623" s="65" t="str">
        <f t="shared" si="120"/>
        <v>Other</v>
      </c>
      <c r="I2623" s="65" t="str">
        <f t="shared" si="121"/>
        <v/>
      </c>
      <c r="J2623" s="65" t="str">
        <f t="shared" si="122"/>
        <v>611599</v>
      </c>
    </row>
    <row r="2624" spans="1:10" x14ac:dyDescent="0.3">
      <c r="A2624" s="27" t="s">
        <v>1869</v>
      </c>
      <c r="D2624" s="27" t="s">
        <v>2255</v>
      </c>
      <c r="E2624" s="27" t="s">
        <v>2232</v>
      </c>
      <c r="F2624" s="27" t="str">
        <f>"61.16"</f>
        <v>61.16</v>
      </c>
      <c r="G2624" s="27" t="s">
        <v>6116</v>
      </c>
      <c r="H2624" s="65" t="str">
        <f t="shared" si="120"/>
        <v>No Change</v>
      </c>
      <c r="I2624" s="65" t="str">
        <f t="shared" si="121"/>
        <v/>
      </c>
      <c r="J2624" s="65" t="str">
        <f t="shared" si="122"/>
        <v/>
      </c>
    </row>
    <row r="2625" spans="1:10" x14ac:dyDescent="0.3">
      <c r="A2625" s="27" t="s">
        <v>1869</v>
      </c>
      <c r="D2625" s="27" t="s">
        <v>2255</v>
      </c>
      <c r="E2625" s="27" t="s">
        <v>2232</v>
      </c>
      <c r="F2625" s="27" t="str">
        <f>"61.1601"</f>
        <v>61.1601</v>
      </c>
      <c r="G2625" s="27" t="s">
        <v>6117</v>
      </c>
      <c r="H2625" s="65" t="str">
        <f t="shared" si="120"/>
        <v>Other</v>
      </c>
      <c r="I2625" s="65" t="str">
        <f t="shared" si="121"/>
        <v/>
      </c>
      <c r="J2625" s="65" t="str">
        <f t="shared" si="122"/>
        <v>611601</v>
      </c>
    </row>
    <row r="2626" spans="1:10" x14ac:dyDescent="0.3">
      <c r="A2626" s="27" t="s">
        <v>1869</v>
      </c>
      <c r="D2626" s="27" t="s">
        <v>2255</v>
      </c>
      <c r="E2626" s="27" t="s">
        <v>2232</v>
      </c>
      <c r="F2626" s="27" t="str">
        <f>"61.1699"</f>
        <v>61.1699</v>
      </c>
      <c r="G2626" s="27" t="s">
        <v>6118</v>
      </c>
      <c r="H2626" s="65" t="str">
        <f t="shared" si="120"/>
        <v>Other</v>
      </c>
      <c r="I2626" s="65" t="str">
        <f t="shared" si="121"/>
        <v/>
      </c>
      <c r="J2626" s="65" t="str">
        <f t="shared" si="122"/>
        <v>611699</v>
      </c>
    </row>
    <row r="2627" spans="1:10" x14ac:dyDescent="0.3">
      <c r="A2627" s="27" t="s">
        <v>1869</v>
      </c>
      <c r="D2627" s="27" t="s">
        <v>2255</v>
      </c>
      <c r="E2627" s="27" t="s">
        <v>2232</v>
      </c>
      <c r="F2627" s="27" t="str">
        <f>"61.17"</f>
        <v>61.17</v>
      </c>
      <c r="G2627" s="27" t="s">
        <v>6119</v>
      </c>
      <c r="H2627" s="65" t="str">
        <f t="shared" ref="H2627:H2653" si="123">IF(I2627=J2627,"No Change","Other")</f>
        <v>No Change</v>
      </c>
      <c r="I2627" s="65" t="str">
        <f t="shared" ref="I2627:I2653" si="124">SUBSTITUTE(IF(SUM(LEN(B2627))&lt;7,"",B2627),".","")</f>
        <v/>
      </c>
      <c r="J2627" s="65" t="str">
        <f t="shared" ref="J2627:J2653" si="125">SUBSTITUTE(IF(SUM(LEN(F2627))&lt;7,"",F2627),".","")</f>
        <v/>
      </c>
    </row>
    <row r="2628" spans="1:10" x14ac:dyDescent="0.3">
      <c r="A2628" s="27" t="s">
        <v>1869</v>
      </c>
      <c r="D2628" s="27" t="s">
        <v>2255</v>
      </c>
      <c r="E2628" s="27" t="s">
        <v>2232</v>
      </c>
      <c r="F2628" s="27" t="str">
        <f>"61.1799"</f>
        <v>61.1799</v>
      </c>
      <c r="G2628" s="27" t="s">
        <v>6120</v>
      </c>
      <c r="H2628" s="65" t="str">
        <f t="shared" si="123"/>
        <v>Other</v>
      </c>
      <c r="I2628" s="65" t="str">
        <f t="shared" si="124"/>
        <v/>
      </c>
      <c r="J2628" s="65" t="str">
        <f t="shared" si="125"/>
        <v>611799</v>
      </c>
    </row>
    <row r="2629" spans="1:10" x14ac:dyDescent="0.3">
      <c r="A2629" s="27" t="s">
        <v>1869</v>
      </c>
      <c r="D2629" s="27" t="s">
        <v>2255</v>
      </c>
      <c r="E2629" s="27" t="s">
        <v>2232</v>
      </c>
      <c r="F2629" s="27" t="str">
        <f>"61.18"</f>
        <v>61.18</v>
      </c>
      <c r="G2629" s="27" t="s">
        <v>6121</v>
      </c>
      <c r="H2629" s="65" t="str">
        <f t="shared" si="123"/>
        <v>No Change</v>
      </c>
      <c r="I2629" s="65" t="str">
        <f t="shared" si="124"/>
        <v/>
      </c>
      <c r="J2629" s="65" t="str">
        <f t="shared" si="125"/>
        <v/>
      </c>
    </row>
    <row r="2630" spans="1:10" x14ac:dyDescent="0.3">
      <c r="A2630" s="27" t="s">
        <v>1869</v>
      </c>
      <c r="D2630" s="27" t="s">
        <v>2255</v>
      </c>
      <c r="E2630" s="27" t="s">
        <v>2232</v>
      </c>
      <c r="F2630" s="27" t="str">
        <f>"61.1899"</f>
        <v>61.1899</v>
      </c>
      <c r="G2630" s="27" t="s">
        <v>6122</v>
      </c>
      <c r="H2630" s="65" t="str">
        <f t="shared" si="123"/>
        <v>Other</v>
      </c>
      <c r="I2630" s="65" t="str">
        <f t="shared" si="124"/>
        <v/>
      </c>
      <c r="J2630" s="65" t="str">
        <f t="shared" si="125"/>
        <v>611899</v>
      </c>
    </row>
    <row r="2631" spans="1:10" x14ac:dyDescent="0.3">
      <c r="A2631" s="27" t="s">
        <v>1869</v>
      </c>
      <c r="D2631" s="27" t="s">
        <v>2255</v>
      </c>
      <c r="E2631" s="27" t="s">
        <v>2232</v>
      </c>
      <c r="F2631" s="27" t="str">
        <f>"61.19"</f>
        <v>61.19</v>
      </c>
      <c r="G2631" s="27" t="s">
        <v>6123</v>
      </c>
      <c r="H2631" s="65" t="str">
        <f t="shared" si="123"/>
        <v>No Change</v>
      </c>
      <c r="I2631" s="65" t="str">
        <f t="shared" si="124"/>
        <v/>
      </c>
      <c r="J2631" s="65" t="str">
        <f t="shared" si="125"/>
        <v/>
      </c>
    </row>
    <row r="2632" spans="1:10" x14ac:dyDescent="0.3">
      <c r="A2632" s="27" t="s">
        <v>1869</v>
      </c>
      <c r="D2632" s="27" t="s">
        <v>2255</v>
      </c>
      <c r="E2632" s="27" t="s">
        <v>2232</v>
      </c>
      <c r="F2632" s="27" t="str">
        <f>"61.1999"</f>
        <v>61.1999</v>
      </c>
      <c r="G2632" s="27" t="s">
        <v>6124</v>
      </c>
      <c r="H2632" s="65" t="str">
        <f t="shared" si="123"/>
        <v>Other</v>
      </c>
      <c r="I2632" s="65" t="str">
        <f t="shared" si="124"/>
        <v/>
      </c>
      <c r="J2632" s="65" t="str">
        <f t="shared" si="125"/>
        <v>611999</v>
      </c>
    </row>
    <row r="2633" spans="1:10" x14ac:dyDescent="0.3">
      <c r="A2633" s="27" t="s">
        <v>1869</v>
      </c>
      <c r="D2633" s="27" t="s">
        <v>2255</v>
      </c>
      <c r="E2633" s="27" t="s">
        <v>2232</v>
      </c>
      <c r="F2633" s="27" t="str">
        <f>"61.20"</f>
        <v>61.20</v>
      </c>
      <c r="G2633" s="27" t="s">
        <v>6125</v>
      </c>
      <c r="H2633" s="65" t="str">
        <f t="shared" si="123"/>
        <v>No Change</v>
      </c>
      <c r="I2633" s="65" t="str">
        <f t="shared" si="124"/>
        <v/>
      </c>
      <c r="J2633" s="65" t="str">
        <f t="shared" si="125"/>
        <v/>
      </c>
    </row>
    <row r="2634" spans="1:10" x14ac:dyDescent="0.3">
      <c r="A2634" s="27" t="s">
        <v>1869</v>
      </c>
      <c r="D2634" s="27" t="s">
        <v>2255</v>
      </c>
      <c r="E2634" s="27" t="s">
        <v>2232</v>
      </c>
      <c r="F2634" s="27" t="str">
        <f>"61.2099"</f>
        <v>61.2099</v>
      </c>
      <c r="G2634" s="27" t="s">
        <v>6126</v>
      </c>
      <c r="H2634" s="65" t="str">
        <f t="shared" si="123"/>
        <v>Other</v>
      </c>
      <c r="I2634" s="65" t="str">
        <f t="shared" si="124"/>
        <v/>
      </c>
      <c r="J2634" s="65" t="str">
        <f t="shared" si="125"/>
        <v>612099</v>
      </c>
    </row>
    <row r="2635" spans="1:10" x14ac:dyDescent="0.3">
      <c r="A2635" s="27" t="s">
        <v>1869</v>
      </c>
      <c r="D2635" s="27" t="s">
        <v>2255</v>
      </c>
      <c r="E2635" s="27" t="s">
        <v>2232</v>
      </c>
      <c r="F2635" s="27" t="str">
        <f>"61.21"</f>
        <v>61.21</v>
      </c>
      <c r="G2635" s="27" t="s">
        <v>6127</v>
      </c>
      <c r="H2635" s="65" t="str">
        <f t="shared" si="123"/>
        <v>No Change</v>
      </c>
      <c r="I2635" s="65" t="str">
        <f t="shared" si="124"/>
        <v/>
      </c>
      <c r="J2635" s="65" t="str">
        <f t="shared" si="125"/>
        <v/>
      </c>
    </row>
    <row r="2636" spans="1:10" x14ac:dyDescent="0.3">
      <c r="A2636" s="27" t="s">
        <v>1869</v>
      </c>
      <c r="D2636" s="27" t="s">
        <v>2255</v>
      </c>
      <c r="E2636" s="27" t="s">
        <v>2232</v>
      </c>
      <c r="F2636" s="27" t="str">
        <f>"61.2199"</f>
        <v>61.2199</v>
      </c>
      <c r="G2636" s="27" t="s">
        <v>6128</v>
      </c>
      <c r="H2636" s="65" t="str">
        <f t="shared" si="123"/>
        <v>Other</v>
      </c>
      <c r="I2636" s="65" t="str">
        <f t="shared" si="124"/>
        <v/>
      </c>
      <c r="J2636" s="65" t="str">
        <f t="shared" si="125"/>
        <v>612199</v>
      </c>
    </row>
    <row r="2637" spans="1:10" x14ac:dyDescent="0.3">
      <c r="A2637" s="27" t="s">
        <v>1869</v>
      </c>
      <c r="D2637" s="27" t="s">
        <v>2255</v>
      </c>
      <c r="E2637" s="27" t="s">
        <v>2232</v>
      </c>
      <c r="F2637" s="27" t="str">
        <f>"61.2201"</f>
        <v>61.2201</v>
      </c>
      <c r="G2637" s="27" t="s">
        <v>6129</v>
      </c>
      <c r="H2637" s="65" t="str">
        <f t="shared" si="123"/>
        <v>Other</v>
      </c>
      <c r="I2637" s="65" t="str">
        <f t="shared" si="124"/>
        <v/>
      </c>
      <c r="J2637" s="65" t="str">
        <f t="shared" si="125"/>
        <v>612201</v>
      </c>
    </row>
    <row r="2638" spans="1:10" x14ac:dyDescent="0.3">
      <c r="A2638" s="27" t="s">
        <v>1869</v>
      </c>
      <c r="D2638" s="27" t="s">
        <v>2255</v>
      </c>
      <c r="E2638" s="27" t="s">
        <v>2232</v>
      </c>
      <c r="F2638" s="27" t="str">
        <f>"61.2299"</f>
        <v>61.2299</v>
      </c>
      <c r="G2638" s="27" t="s">
        <v>6130</v>
      </c>
      <c r="H2638" s="65" t="str">
        <f t="shared" si="123"/>
        <v>Other</v>
      </c>
      <c r="I2638" s="65" t="str">
        <f t="shared" si="124"/>
        <v/>
      </c>
      <c r="J2638" s="65" t="str">
        <f t="shared" si="125"/>
        <v>612299</v>
      </c>
    </row>
    <row r="2639" spans="1:10" x14ac:dyDescent="0.3">
      <c r="A2639" s="27" t="s">
        <v>1869</v>
      </c>
      <c r="D2639" s="27" t="s">
        <v>2255</v>
      </c>
      <c r="E2639" s="27" t="s">
        <v>2232</v>
      </c>
      <c r="F2639" s="27" t="str">
        <f>"61.23"</f>
        <v>61.23</v>
      </c>
      <c r="G2639" s="27" t="s">
        <v>6131</v>
      </c>
      <c r="H2639" s="65" t="str">
        <f t="shared" si="123"/>
        <v>No Change</v>
      </c>
      <c r="I2639" s="65" t="str">
        <f t="shared" si="124"/>
        <v/>
      </c>
      <c r="J2639" s="65" t="str">
        <f t="shared" si="125"/>
        <v/>
      </c>
    </row>
    <row r="2640" spans="1:10" x14ac:dyDescent="0.3">
      <c r="A2640" s="27" t="s">
        <v>1869</v>
      </c>
      <c r="D2640" s="27" t="s">
        <v>2255</v>
      </c>
      <c r="E2640" s="27" t="s">
        <v>2232</v>
      </c>
      <c r="F2640" s="27" t="str">
        <f>"61.2399"</f>
        <v>61.2399</v>
      </c>
      <c r="G2640" s="27" t="s">
        <v>6132</v>
      </c>
      <c r="H2640" s="65" t="str">
        <f t="shared" si="123"/>
        <v>Other</v>
      </c>
      <c r="I2640" s="65" t="str">
        <f t="shared" si="124"/>
        <v/>
      </c>
      <c r="J2640" s="65" t="str">
        <f t="shared" si="125"/>
        <v>612399</v>
      </c>
    </row>
    <row r="2641" spans="1:10" x14ac:dyDescent="0.3">
      <c r="A2641" s="27" t="s">
        <v>1869</v>
      </c>
      <c r="D2641" s="27" t="s">
        <v>2255</v>
      </c>
      <c r="E2641" s="27" t="s">
        <v>2232</v>
      </c>
      <c r="F2641" s="27" t="str">
        <f>"61.24"</f>
        <v>61.24</v>
      </c>
      <c r="G2641" s="27" t="s">
        <v>6133</v>
      </c>
      <c r="H2641" s="65" t="str">
        <f t="shared" si="123"/>
        <v>No Change</v>
      </c>
      <c r="I2641" s="65" t="str">
        <f t="shared" si="124"/>
        <v/>
      </c>
      <c r="J2641" s="65" t="str">
        <f t="shared" si="125"/>
        <v/>
      </c>
    </row>
    <row r="2642" spans="1:10" x14ac:dyDescent="0.3">
      <c r="A2642" s="27" t="s">
        <v>1869</v>
      </c>
      <c r="D2642" s="27" t="s">
        <v>2255</v>
      </c>
      <c r="E2642" s="27" t="s">
        <v>2232</v>
      </c>
      <c r="F2642" s="27" t="str">
        <f>"61.2499"</f>
        <v>61.2499</v>
      </c>
      <c r="G2642" s="27" t="s">
        <v>6134</v>
      </c>
      <c r="H2642" s="65" t="str">
        <f t="shared" si="123"/>
        <v>Other</v>
      </c>
      <c r="I2642" s="65" t="str">
        <f t="shared" si="124"/>
        <v/>
      </c>
      <c r="J2642" s="65" t="str">
        <f t="shared" si="125"/>
        <v>612499</v>
      </c>
    </row>
    <row r="2643" spans="1:10" x14ac:dyDescent="0.3">
      <c r="A2643" s="27" t="s">
        <v>1869</v>
      </c>
      <c r="D2643" s="27" t="s">
        <v>2255</v>
      </c>
      <c r="E2643" s="27" t="s">
        <v>2232</v>
      </c>
      <c r="F2643" s="27" t="str">
        <f>"61.25"</f>
        <v>61.25</v>
      </c>
      <c r="G2643" s="27" t="s">
        <v>6135</v>
      </c>
      <c r="H2643" s="65" t="str">
        <f t="shared" si="123"/>
        <v>No Change</v>
      </c>
      <c r="I2643" s="65" t="str">
        <f t="shared" si="124"/>
        <v/>
      </c>
      <c r="J2643" s="65" t="str">
        <f t="shared" si="125"/>
        <v/>
      </c>
    </row>
    <row r="2644" spans="1:10" x14ac:dyDescent="0.3">
      <c r="A2644" s="27" t="s">
        <v>1869</v>
      </c>
      <c r="D2644" s="27" t="s">
        <v>2255</v>
      </c>
      <c r="E2644" s="27" t="s">
        <v>2232</v>
      </c>
      <c r="F2644" s="27" t="str">
        <f>"61.2599"</f>
        <v>61.2599</v>
      </c>
      <c r="G2644" s="27" t="s">
        <v>6136</v>
      </c>
      <c r="H2644" s="65" t="str">
        <f t="shared" si="123"/>
        <v>Other</v>
      </c>
      <c r="I2644" s="65" t="str">
        <f t="shared" si="124"/>
        <v/>
      </c>
      <c r="J2644" s="65" t="str">
        <f t="shared" si="125"/>
        <v>612599</v>
      </c>
    </row>
    <row r="2645" spans="1:10" x14ac:dyDescent="0.3">
      <c r="A2645" s="27" t="s">
        <v>1869</v>
      </c>
      <c r="D2645" s="27" t="s">
        <v>2255</v>
      </c>
      <c r="E2645" s="27" t="s">
        <v>2232</v>
      </c>
      <c r="F2645" s="27" t="str">
        <f>"61.26"</f>
        <v>61.26</v>
      </c>
      <c r="G2645" s="27" t="s">
        <v>6137</v>
      </c>
      <c r="H2645" s="65" t="str">
        <f t="shared" si="123"/>
        <v>No Change</v>
      </c>
      <c r="I2645" s="65" t="str">
        <f t="shared" si="124"/>
        <v/>
      </c>
      <c r="J2645" s="65" t="str">
        <f t="shared" si="125"/>
        <v/>
      </c>
    </row>
    <row r="2646" spans="1:10" x14ac:dyDescent="0.3">
      <c r="A2646" s="27" t="s">
        <v>1869</v>
      </c>
      <c r="D2646" s="27" t="s">
        <v>2255</v>
      </c>
      <c r="E2646" s="27" t="s">
        <v>2232</v>
      </c>
      <c r="F2646" s="27" t="str">
        <f>"61.2699"</f>
        <v>61.2699</v>
      </c>
      <c r="G2646" s="27" t="s">
        <v>6138</v>
      </c>
      <c r="H2646" s="65" t="str">
        <f t="shared" si="123"/>
        <v>Other</v>
      </c>
      <c r="I2646" s="65" t="str">
        <f t="shared" si="124"/>
        <v/>
      </c>
      <c r="J2646" s="65" t="str">
        <f t="shared" si="125"/>
        <v>612699</v>
      </c>
    </row>
    <row r="2647" spans="1:10" x14ac:dyDescent="0.3">
      <c r="A2647" s="27" t="s">
        <v>1869</v>
      </c>
      <c r="D2647" s="27" t="s">
        <v>2255</v>
      </c>
      <c r="E2647" s="27" t="s">
        <v>2232</v>
      </c>
      <c r="F2647" s="27" t="str">
        <f>"61.27"</f>
        <v>61.27</v>
      </c>
      <c r="G2647" s="27" t="s">
        <v>6139</v>
      </c>
      <c r="H2647" s="65" t="str">
        <f t="shared" si="123"/>
        <v>No Change</v>
      </c>
      <c r="I2647" s="65" t="str">
        <f t="shared" si="124"/>
        <v/>
      </c>
      <c r="J2647" s="65" t="str">
        <f t="shared" si="125"/>
        <v/>
      </c>
    </row>
    <row r="2648" spans="1:10" x14ac:dyDescent="0.3">
      <c r="A2648" s="27" t="s">
        <v>1869</v>
      </c>
      <c r="D2648" s="27" t="s">
        <v>2255</v>
      </c>
      <c r="E2648" s="27" t="s">
        <v>2232</v>
      </c>
      <c r="F2648" s="27" t="str">
        <f>"61.2703"</f>
        <v>61.2703</v>
      </c>
      <c r="G2648" s="27" t="s">
        <v>6140</v>
      </c>
      <c r="H2648" s="65" t="str">
        <f t="shared" si="123"/>
        <v>Other</v>
      </c>
      <c r="I2648" s="65" t="str">
        <f t="shared" si="124"/>
        <v/>
      </c>
      <c r="J2648" s="65" t="str">
        <f t="shared" si="125"/>
        <v>612703</v>
      </c>
    </row>
    <row r="2649" spans="1:10" x14ac:dyDescent="0.3">
      <c r="A2649" s="27" t="s">
        <v>1869</v>
      </c>
      <c r="D2649" s="27" t="s">
        <v>2255</v>
      </c>
      <c r="E2649" s="27" t="s">
        <v>2232</v>
      </c>
      <c r="F2649" s="27" t="str">
        <f>"61.2799"</f>
        <v>61.2799</v>
      </c>
      <c r="G2649" s="27" t="s">
        <v>6141</v>
      </c>
      <c r="H2649" s="65" t="str">
        <f t="shared" si="123"/>
        <v>Other</v>
      </c>
      <c r="I2649" s="65" t="str">
        <f t="shared" si="124"/>
        <v/>
      </c>
      <c r="J2649" s="65" t="str">
        <f t="shared" si="125"/>
        <v>612799</v>
      </c>
    </row>
    <row r="2650" spans="1:10" x14ac:dyDescent="0.3">
      <c r="A2650" s="27" t="s">
        <v>1869</v>
      </c>
      <c r="D2650" s="27" t="s">
        <v>2255</v>
      </c>
      <c r="E2650" s="27" t="s">
        <v>2232</v>
      </c>
      <c r="F2650" s="27" t="str">
        <f>"61.28"</f>
        <v>61.28</v>
      </c>
      <c r="G2650" s="27" t="s">
        <v>6142</v>
      </c>
      <c r="H2650" s="65" t="str">
        <f t="shared" si="123"/>
        <v>No Change</v>
      </c>
      <c r="I2650" s="65" t="str">
        <f t="shared" si="124"/>
        <v/>
      </c>
      <c r="J2650" s="65" t="str">
        <f t="shared" si="125"/>
        <v/>
      </c>
    </row>
    <row r="2651" spans="1:10" x14ac:dyDescent="0.3">
      <c r="A2651" s="27" t="s">
        <v>1869</v>
      </c>
      <c r="D2651" s="27" t="s">
        <v>2255</v>
      </c>
      <c r="E2651" s="27" t="s">
        <v>2232</v>
      </c>
      <c r="F2651" s="27" t="str">
        <f>"61.2899"</f>
        <v>61.2899</v>
      </c>
      <c r="G2651" s="27" t="s">
        <v>6143</v>
      </c>
      <c r="H2651" s="65" t="str">
        <f t="shared" si="123"/>
        <v>Other</v>
      </c>
      <c r="I2651" s="65" t="str">
        <f t="shared" si="124"/>
        <v/>
      </c>
      <c r="J2651" s="65" t="str">
        <f t="shared" si="125"/>
        <v>612899</v>
      </c>
    </row>
    <row r="2652" spans="1:10" x14ac:dyDescent="0.3">
      <c r="A2652" s="27" t="s">
        <v>1869</v>
      </c>
      <c r="D2652" s="27" t="s">
        <v>2255</v>
      </c>
      <c r="E2652" s="27" t="s">
        <v>2232</v>
      </c>
      <c r="F2652" s="27" t="str">
        <f>"61.99"</f>
        <v>61.99</v>
      </c>
      <c r="G2652" s="27" t="s">
        <v>6144</v>
      </c>
      <c r="H2652" s="65" t="str">
        <f t="shared" si="123"/>
        <v>No Change</v>
      </c>
      <c r="I2652" s="65" t="str">
        <f t="shared" si="124"/>
        <v/>
      </c>
      <c r="J2652" s="65" t="str">
        <f t="shared" si="125"/>
        <v/>
      </c>
    </row>
    <row r="2653" spans="1:10" x14ac:dyDescent="0.3">
      <c r="A2653" s="27" t="s">
        <v>1869</v>
      </c>
      <c r="D2653" s="27" t="s">
        <v>2255</v>
      </c>
      <c r="E2653" s="27" t="s">
        <v>2232</v>
      </c>
      <c r="F2653" s="27" t="str">
        <f>"61.9999"</f>
        <v>61.9999</v>
      </c>
      <c r="G2653" s="27" t="s">
        <v>6144</v>
      </c>
      <c r="H2653" s="65" t="str">
        <f t="shared" si="123"/>
        <v>Other</v>
      </c>
      <c r="I2653" s="65" t="str">
        <f t="shared" si="124"/>
        <v/>
      </c>
      <c r="J2653" s="65" t="str">
        <f t="shared" si="125"/>
        <v>619999</v>
      </c>
    </row>
  </sheetData>
  <sheetProtection algorithmName="SHA-512" hashValue="MYnEFRlBZqEk4QQWJUY4jdQsoz3EJg2ngbWy2i5ZS6RG3s4NmlY5nAs3kGbi+stcA/J8O0HlYUHJCBrIxGxSAg==" saltValue="q4TBqc9ZcxtUAqaZCf1fHQ==" spinCount="100000" sheet="1" objects="1" scenarios="1" sort="0" autoFilter="0"/>
  <autoFilter ref="A1:A2653"/>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23" customWidth="1"/>
    <col min="5" max="5" width="14.88671875" style="24" customWidth="1"/>
    <col min="6" max="6" width="12.5546875" style="24" customWidth="1"/>
    <col min="7" max="7" width="13.6640625" style="25" customWidth="1"/>
    <col min="8" max="8" width="78" style="17" bestFit="1" customWidth="1"/>
    <col min="9" max="9" width="24.33203125" style="17" customWidth="1"/>
    <col min="10" max="10" width="27.109375" style="17" customWidth="1"/>
    <col min="11" max="11" width="34.88671875" style="17" customWidth="1"/>
    <col min="12" max="12" width="34.88671875" style="26" customWidth="1"/>
    <col min="13" max="16384" width="8.88671875" style="17"/>
  </cols>
  <sheetData>
    <row r="1" spans="1:12" s="27" customFormat="1" ht="98.25" customHeight="1" x14ac:dyDescent="0.3">
      <c r="A1" s="95"/>
      <c r="B1" s="95"/>
      <c r="C1" s="95"/>
      <c r="D1" s="95"/>
      <c r="E1" s="96" t="s">
        <v>2145</v>
      </c>
      <c r="F1" s="96"/>
      <c r="G1" s="96"/>
      <c r="H1" s="96"/>
      <c r="I1" s="97" t="s">
        <v>0</v>
      </c>
      <c r="J1" s="98"/>
      <c r="K1" s="98"/>
      <c r="L1" s="99"/>
    </row>
    <row r="2" spans="1:12" s="32" customFormat="1" ht="57.6" x14ac:dyDescent="0.3">
      <c r="A2" s="28" t="s">
        <v>1</v>
      </c>
      <c r="B2" s="28" t="s">
        <v>2146</v>
      </c>
      <c r="C2" s="28" t="s">
        <v>2147</v>
      </c>
      <c r="D2" s="28" t="s">
        <v>2148</v>
      </c>
      <c r="E2" s="29" t="s">
        <v>3</v>
      </c>
      <c r="F2" s="30" t="s">
        <v>4</v>
      </c>
      <c r="G2" s="31" t="s">
        <v>2149</v>
      </c>
      <c r="H2" s="28" t="s">
        <v>2217</v>
      </c>
      <c r="I2" s="15" t="s">
        <v>2151</v>
      </c>
      <c r="J2" s="15" t="s">
        <v>2152</v>
      </c>
      <c r="K2" s="15" t="s">
        <v>5</v>
      </c>
      <c r="L2" s="15" t="s">
        <v>2153</v>
      </c>
    </row>
    <row r="3" spans="1:12" x14ac:dyDescent="0.3">
      <c r="A3" s="33">
        <v>1</v>
      </c>
      <c r="B3" s="33" t="s">
        <v>6</v>
      </c>
      <c r="C3" s="34" t="s">
        <v>7</v>
      </c>
      <c r="D3" s="35" t="s">
        <v>8</v>
      </c>
      <c r="E3" s="36" t="str">
        <f>IFERROR(VLOOKUP(D3,'Master List'!D:H,2,FALSE),"NA")</f>
        <v>510601</v>
      </c>
      <c r="F3" s="37" t="str">
        <f>IFERROR(VLOOKUP(D3,'Master List'!D:H,3,FALSE),"NA")</f>
        <v>510601</v>
      </c>
      <c r="G3" s="38" t="str">
        <f>IFERROR(VLOOKUP(D3,'Master List'!D:H,4,FALSE),"NA")</f>
        <v>510601</v>
      </c>
      <c r="H3" s="39" t="str">
        <f>IFERROR(VLOOKUP(D3,'Master List'!D:H,5,FALSE),"NA")</f>
        <v>Dental Assisting/Assistant.</v>
      </c>
      <c r="I3" s="19"/>
      <c r="J3" s="20"/>
      <c r="K3" s="18"/>
      <c r="L3" s="18"/>
    </row>
    <row r="4" spans="1:12" x14ac:dyDescent="0.3">
      <c r="A4" s="33">
        <v>1</v>
      </c>
      <c r="B4" s="33" t="s">
        <v>6</v>
      </c>
      <c r="C4" s="34" t="s">
        <v>7</v>
      </c>
      <c r="D4" s="35" t="s">
        <v>198</v>
      </c>
      <c r="E4" s="36" t="str">
        <f>IFERROR(VLOOKUP(D4,'Master List'!D:H,2,FALSE),"NA")</f>
        <v>510707</v>
      </c>
      <c r="F4" s="37" t="str">
        <f>IFERROR(VLOOKUP(D4,'Master List'!D:H,3,FALSE),"NA")</f>
        <v>510707</v>
      </c>
      <c r="G4" s="38">
        <f>IFERROR(VLOOKUP(D4,'Master List'!D:H,4,FALSE),"NA")</f>
        <v>510714</v>
      </c>
      <c r="H4" s="39" t="str">
        <f>IFERROR(VLOOKUP(D4,'Master List'!D:H,5,FALSE),"NA")</f>
        <v>Medical Insurance Specialist/Medical Biller</v>
      </c>
      <c r="I4" s="19"/>
      <c r="J4" s="20"/>
      <c r="K4" s="18"/>
      <c r="L4" s="18"/>
    </row>
    <row r="5" spans="1:12" x14ac:dyDescent="0.3">
      <c r="A5" s="33">
        <v>1</v>
      </c>
      <c r="B5" s="33" t="s">
        <v>6</v>
      </c>
      <c r="C5" s="34" t="s">
        <v>7</v>
      </c>
      <c r="D5" s="35" t="s">
        <v>202</v>
      </c>
      <c r="E5" s="36" t="str">
        <f>IFERROR(VLOOKUP(D5,'Master List'!D:H,2,FALSE),"NA")</f>
        <v>510801</v>
      </c>
      <c r="F5" s="37" t="str">
        <f>IFERROR(VLOOKUP(D5,'Master List'!D:H,3,FALSE),"NA")</f>
        <v>510801</v>
      </c>
      <c r="G5" s="38" t="str">
        <f>IFERROR(VLOOKUP(D5,'Master List'!D:H,4,FALSE),"NA")</f>
        <v>510801</v>
      </c>
      <c r="H5" s="39" t="str">
        <f>IFERROR(VLOOKUP(D5,'Master List'!D:H,5,FALSE),"NA")</f>
        <v>Medical/Clinical Assistant.</v>
      </c>
      <c r="I5" s="19"/>
      <c r="J5" s="20"/>
      <c r="K5" s="18"/>
      <c r="L5" s="18"/>
    </row>
    <row r="6" spans="1:12" x14ac:dyDescent="0.3">
      <c r="A6" s="33">
        <v>1</v>
      </c>
      <c r="B6" s="33" t="s">
        <v>6</v>
      </c>
      <c r="C6" s="34" t="s">
        <v>7</v>
      </c>
      <c r="D6" s="35" t="s">
        <v>11</v>
      </c>
      <c r="E6" s="36" t="str">
        <f>IFERROR(VLOOKUP(D6,'Master List'!D:H,2,FALSE),"NA")</f>
        <v>510805</v>
      </c>
      <c r="F6" s="37" t="str">
        <f>IFERROR(VLOOKUP(D6,'Master List'!D:H,3,FALSE),"NA")</f>
        <v>510805</v>
      </c>
      <c r="G6" s="38" t="str">
        <f>IFERROR(VLOOKUP(D6,'Master List'!D:H,4,FALSE),"NA")</f>
        <v>510805</v>
      </c>
      <c r="H6" s="39" t="str">
        <f>IFERROR(VLOOKUP(D6,'Master List'!D:H,5,FALSE),"NA")</f>
        <v>Pharmacy Technician/Assistant.</v>
      </c>
      <c r="I6" s="19"/>
      <c r="J6" s="20"/>
      <c r="K6" s="18"/>
      <c r="L6" s="18"/>
    </row>
    <row r="7" spans="1:12" x14ac:dyDescent="0.3">
      <c r="A7" s="33">
        <v>1</v>
      </c>
      <c r="B7" s="33" t="s">
        <v>6</v>
      </c>
      <c r="C7" s="34" t="s">
        <v>7</v>
      </c>
      <c r="D7" s="35" t="s">
        <v>911</v>
      </c>
      <c r="E7" s="36" t="str">
        <f>IFERROR(VLOOKUP(D7,'Master List'!D:H,2,FALSE),"NA")</f>
        <v>510808</v>
      </c>
      <c r="F7" s="37" t="str">
        <f>IFERROR(VLOOKUP(D7,'Master List'!D:H,3,FALSE),"NA")</f>
        <v>018301</v>
      </c>
      <c r="G7" s="38" t="str">
        <f>IFERROR(VLOOKUP(D7,'Master List'!D:H,4,FALSE),"NA")</f>
        <v>018301</v>
      </c>
      <c r="H7" s="39" t="str">
        <f>IFERROR(VLOOKUP(D7,'Master List'!D:H,5,FALSE),"NA")</f>
        <v>Veterinary/Animal Health Technology/Technician and Veterinary Assistant.</v>
      </c>
      <c r="I7" s="19"/>
      <c r="J7" s="20"/>
      <c r="K7" s="18"/>
      <c r="L7" s="18"/>
    </row>
    <row r="8" spans="1:12" x14ac:dyDescent="0.3">
      <c r="A8" s="33">
        <v>1</v>
      </c>
      <c r="B8" s="33" t="s">
        <v>6</v>
      </c>
      <c r="C8" s="34" t="s">
        <v>7</v>
      </c>
      <c r="D8" s="35" t="s">
        <v>14</v>
      </c>
      <c r="E8" s="36" t="str">
        <f>IFERROR(VLOOKUP(D8,'Master List'!D:H,2,FALSE),"NA")</f>
        <v>510904</v>
      </c>
      <c r="F8" s="37" t="str">
        <f>IFERROR(VLOOKUP(D8,'Master List'!D:H,3,FALSE),"NA")</f>
        <v>510904</v>
      </c>
      <c r="G8" s="38" t="str">
        <f>IFERROR(VLOOKUP(D8,'Master List'!D:H,4,FALSE),"NA")</f>
        <v>510904</v>
      </c>
      <c r="H8" s="39" t="str">
        <f>IFERROR(VLOOKUP(D8,'Master List'!D:H,5,FALSE),"NA")</f>
        <v>Emergency Medical Technology/Technician (EMT Paramedic).</v>
      </c>
      <c r="I8" s="19"/>
      <c r="J8" s="20"/>
      <c r="K8" s="18"/>
      <c r="L8" s="18"/>
    </row>
    <row r="9" spans="1:12" x14ac:dyDescent="0.3">
      <c r="A9" s="33">
        <v>1</v>
      </c>
      <c r="B9" s="33" t="s">
        <v>6</v>
      </c>
      <c r="C9" s="34" t="s">
        <v>7</v>
      </c>
      <c r="D9" s="35" t="s">
        <v>17</v>
      </c>
      <c r="E9" s="36" t="str">
        <f>IFERROR(VLOOKUP(D9,'Master List'!D:H,2,FALSE),"NA")</f>
        <v>510904</v>
      </c>
      <c r="F9" s="37" t="str">
        <f>IFERROR(VLOOKUP(D9,'Master List'!D:H,3,FALSE),"NA")</f>
        <v>510904</v>
      </c>
      <c r="G9" s="38" t="str">
        <f>IFERROR(VLOOKUP(D9,'Master List'!D:H,4,FALSE),"NA")</f>
        <v>510904</v>
      </c>
      <c r="H9" s="39" t="str">
        <f>IFERROR(VLOOKUP(D9,'Master List'!D:H,5,FALSE),"NA")</f>
        <v>Emergency Medical Technology/Technician (EMT Paramedic).</v>
      </c>
      <c r="I9" s="19"/>
      <c r="J9" s="20"/>
      <c r="K9" s="18"/>
      <c r="L9" s="18"/>
    </row>
    <row r="10" spans="1:12" x14ac:dyDescent="0.3">
      <c r="A10" s="33">
        <v>1</v>
      </c>
      <c r="B10" s="33" t="s">
        <v>6</v>
      </c>
      <c r="C10" s="34" t="s">
        <v>7</v>
      </c>
      <c r="D10" s="35" t="s">
        <v>410</v>
      </c>
      <c r="E10" s="36" t="str">
        <f>IFERROR(VLOOKUP(D10,'Master List'!D:H,2,FALSE),"NA")</f>
        <v>511009</v>
      </c>
      <c r="F10" s="37" t="str">
        <f>IFERROR(VLOOKUP(D10,'Master List'!D:H,3,FALSE),"NA")</f>
        <v>511009</v>
      </c>
      <c r="G10" s="38" t="str">
        <f>IFERROR(VLOOKUP(D10,'Master List'!D:H,4,FALSE),"NA")</f>
        <v>511009</v>
      </c>
      <c r="H10" s="39" t="str">
        <f>IFERROR(VLOOKUP(D10,'Master List'!D:H,5,FALSE),"NA")</f>
        <v>Phlebotomy Technician/Phlebotomist.</v>
      </c>
      <c r="I10" s="19"/>
      <c r="J10" s="20"/>
      <c r="K10" s="18"/>
      <c r="L10" s="18"/>
    </row>
    <row r="11" spans="1:12" x14ac:dyDescent="0.3">
      <c r="A11" s="33">
        <v>1</v>
      </c>
      <c r="B11" s="33" t="s">
        <v>6</v>
      </c>
      <c r="C11" s="34" t="s">
        <v>7</v>
      </c>
      <c r="D11" s="35" t="s">
        <v>208</v>
      </c>
      <c r="E11" s="36" t="str">
        <f>IFERROR(VLOOKUP(D11,'Master List'!D:H,2,FALSE),"NA")</f>
        <v>512211</v>
      </c>
      <c r="F11" s="37" t="str">
        <f>IFERROR(VLOOKUP(D11,'Master List'!D:H,3,FALSE),"NA")</f>
        <v>512211</v>
      </c>
      <c r="G11" s="38">
        <f>IFERROR(VLOOKUP(D11,'Master List'!D:H,4,FALSE),"NA")</f>
        <v>512208</v>
      </c>
      <c r="H11" s="39" t="str">
        <f>IFERROR(VLOOKUP(D11,'Master List'!D:H,5,FALSE),"NA")</f>
        <v>Community Health and Preventive Medicine.</v>
      </c>
      <c r="I11" s="19"/>
      <c r="J11" s="20"/>
      <c r="K11" s="18"/>
      <c r="L11" s="18"/>
    </row>
    <row r="12" spans="1:12" x14ac:dyDescent="0.3">
      <c r="A12" s="33">
        <v>1</v>
      </c>
      <c r="B12" s="33" t="s">
        <v>6</v>
      </c>
      <c r="C12" s="34" t="s">
        <v>7</v>
      </c>
      <c r="D12" s="35" t="s">
        <v>413</v>
      </c>
      <c r="E12" s="36" t="str">
        <f>IFERROR(VLOOKUP(D12,'Master List'!D:H,2,FALSE),"NA")</f>
        <v>513901</v>
      </c>
      <c r="F12" s="37" t="str">
        <f>IFERROR(VLOOKUP(D12,'Master List'!D:H,3,FALSE),"NA")</f>
        <v>513901</v>
      </c>
      <c r="G12" s="38" t="str">
        <f>IFERROR(VLOOKUP(D12,'Master List'!D:H,4,FALSE),"NA")</f>
        <v>513901</v>
      </c>
      <c r="H12" s="39" t="str">
        <f>IFERROR(VLOOKUP(D12,'Master List'!D:H,5,FALSE),"NA")</f>
        <v>Licensed Practical/Vocational Nurse Training.</v>
      </c>
      <c r="I12" s="19"/>
      <c r="J12" s="20"/>
      <c r="K12" s="18"/>
      <c r="L12" s="18"/>
    </row>
    <row r="13" spans="1:12" x14ac:dyDescent="0.3">
      <c r="A13" s="33">
        <v>1</v>
      </c>
      <c r="B13" s="33" t="s">
        <v>6</v>
      </c>
      <c r="C13" s="34" t="s">
        <v>7</v>
      </c>
      <c r="D13" s="35" t="s">
        <v>777</v>
      </c>
      <c r="E13" s="36" t="str">
        <f>IFERROR(VLOOKUP(D13,'Master List'!D:H,2,FALSE),"NA")</f>
        <v>513902</v>
      </c>
      <c r="F13" s="37" t="str">
        <f>IFERROR(VLOOKUP(D13,'Master List'!D:H,3,FALSE),"NA")</f>
        <v>513902</v>
      </c>
      <c r="G13" s="38" t="str">
        <f>IFERROR(VLOOKUP(D13,'Master List'!D:H,4,FALSE),"NA")</f>
        <v>513902</v>
      </c>
      <c r="H13" s="39" t="str">
        <f>IFERROR(VLOOKUP(D13,'Master List'!D:H,5,FALSE),"NA")</f>
        <v>Nursing Assistant/Aide and Patient Care Assistant/Aide.</v>
      </c>
      <c r="I13" s="19"/>
      <c r="J13" s="20"/>
      <c r="K13" s="18"/>
      <c r="L13" s="18"/>
    </row>
    <row r="14" spans="1:12" x14ac:dyDescent="0.3">
      <c r="A14" s="33">
        <v>1</v>
      </c>
      <c r="B14" s="33" t="s">
        <v>6</v>
      </c>
      <c r="C14" s="34" t="s">
        <v>7</v>
      </c>
      <c r="D14" s="35" t="s">
        <v>28</v>
      </c>
      <c r="E14" s="36" t="str">
        <f>IFERROR(VLOOKUP(D14,'Master List'!D:H,2,FALSE),"NA")</f>
        <v>190709</v>
      </c>
      <c r="F14" s="37" t="str">
        <f>IFERROR(VLOOKUP(D14,'Master List'!D:H,3,FALSE),"NA")</f>
        <v>190709</v>
      </c>
      <c r="G14" s="38" t="str">
        <f>IFERROR(VLOOKUP(D14,'Master List'!D:H,4,FALSE),"NA")</f>
        <v>190709</v>
      </c>
      <c r="H14" s="39" t="str">
        <f>IFERROR(VLOOKUP(D14,'Master List'!D:H,5,FALSE),"NA")</f>
        <v>Child Care Provider/Assistant.</v>
      </c>
      <c r="I14" s="19"/>
      <c r="J14" s="20"/>
      <c r="K14" s="18"/>
      <c r="L14" s="18"/>
    </row>
    <row r="15" spans="1:12" x14ac:dyDescent="0.3">
      <c r="A15" s="33">
        <v>1</v>
      </c>
      <c r="B15" s="33" t="s">
        <v>6</v>
      </c>
      <c r="C15" s="34" t="s">
        <v>7</v>
      </c>
      <c r="D15" s="35" t="s">
        <v>483</v>
      </c>
      <c r="E15" s="36" t="str">
        <f>IFERROR(VLOOKUP(D15,'Master List'!D:H,2,FALSE),"NA")</f>
        <v>190709</v>
      </c>
      <c r="F15" s="37" t="str">
        <f>IFERROR(VLOOKUP(D15,'Master List'!D:H,3,FALSE),"NA")</f>
        <v>190709</v>
      </c>
      <c r="G15" s="38" t="str">
        <f>IFERROR(VLOOKUP(D15,'Master List'!D:H,4,FALSE),"NA")</f>
        <v>190709</v>
      </c>
      <c r="H15" s="39" t="str">
        <f>IFERROR(VLOOKUP(D15,'Master List'!D:H,5,FALSE),"NA")</f>
        <v>Child Care Provider/Assistant.</v>
      </c>
      <c r="I15" s="19"/>
      <c r="J15" s="20"/>
      <c r="K15" s="18"/>
      <c r="L15" s="18"/>
    </row>
    <row r="16" spans="1:12" x14ac:dyDescent="0.3">
      <c r="A16" s="33">
        <v>1</v>
      </c>
      <c r="B16" s="33" t="s">
        <v>6</v>
      </c>
      <c r="C16" s="34" t="s">
        <v>7</v>
      </c>
      <c r="D16" s="35" t="s">
        <v>588</v>
      </c>
      <c r="E16" s="36" t="str">
        <f>IFERROR(VLOOKUP(D16,'Master List'!D:H,2,FALSE),"NA")</f>
        <v>190709</v>
      </c>
      <c r="F16" s="37" t="str">
        <f>IFERROR(VLOOKUP(D16,'Master List'!D:H,3,FALSE),"NA")</f>
        <v>190709</v>
      </c>
      <c r="G16" s="38" t="str">
        <f>IFERROR(VLOOKUP(D16,'Master List'!D:H,4,FALSE),"NA")</f>
        <v>190709</v>
      </c>
      <c r="H16" s="39" t="str">
        <f>IFERROR(VLOOKUP(D16,'Master List'!D:H,5,FALSE),"NA")</f>
        <v>Child Care Provider/Assistant.</v>
      </c>
      <c r="I16" s="19"/>
      <c r="J16" s="20"/>
      <c r="K16" s="18"/>
      <c r="L16" s="18"/>
    </row>
    <row r="17" spans="1:12" x14ac:dyDescent="0.3">
      <c r="A17" s="33">
        <v>1</v>
      </c>
      <c r="B17" s="33" t="s">
        <v>6</v>
      </c>
      <c r="C17" s="34" t="s">
        <v>7</v>
      </c>
      <c r="D17" s="35" t="s">
        <v>589</v>
      </c>
      <c r="E17" s="36" t="str">
        <f>IFERROR(VLOOKUP(D17,'Master List'!D:H,2,FALSE),"NA")</f>
        <v>190709</v>
      </c>
      <c r="F17" s="37" t="str">
        <f>IFERROR(VLOOKUP(D17,'Master List'!D:H,3,FALSE),"NA")</f>
        <v>190709</v>
      </c>
      <c r="G17" s="38" t="str">
        <f>IFERROR(VLOOKUP(D17,'Master List'!D:H,4,FALSE),"NA")</f>
        <v>190709</v>
      </c>
      <c r="H17" s="39" t="str">
        <f>IFERROR(VLOOKUP(D17,'Master List'!D:H,5,FALSE),"NA")</f>
        <v>Child Care Provider/Assistant.</v>
      </c>
      <c r="I17" s="19"/>
      <c r="J17" s="20"/>
      <c r="K17" s="18"/>
      <c r="L17" s="18"/>
    </row>
    <row r="18" spans="1:12" x14ac:dyDescent="0.3">
      <c r="A18" s="33">
        <v>1</v>
      </c>
      <c r="B18" s="33" t="s">
        <v>6</v>
      </c>
      <c r="C18" s="34" t="s">
        <v>7</v>
      </c>
      <c r="D18" s="35" t="s">
        <v>912</v>
      </c>
      <c r="E18" s="36" t="str">
        <f>IFERROR(VLOOKUP(D18,'Master List'!D:H,2,FALSE),"NA")</f>
        <v>511599</v>
      </c>
      <c r="F18" s="37" t="str">
        <f>IFERROR(VLOOKUP(D18,'Master List'!D:H,3,FALSE),"NA")</f>
        <v>511599</v>
      </c>
      <c r="G18" s="38" t="str">
        <f>IFERROR(VLOOKUP(D18,'Master List'!D:H,4,FALSE),"NA")</f>
        <v>511599</v>
      </c>
      <c r="H18" s="39" t="str">
        <f>IFERROR(VLOOKUP(D18,'Master List'!D:H,5,FALSE),"NA")</f>
        <v>Mental and Social Health Services and Allied Professions, Other.</v>
      </c>
      <c r="I18" s="19"/>
      <c r="J18" s="20"/>
      <c r="K18" s="18"/>
      <c r="L18" s="18"/>
    </row>
    <row r="19" spans="1:12" x14ac:dyDescent="0.3">
      <c r="A19" s="33">
        <v>1</v>
      </c>
      <c r="B19" s="33" t="s">
        <v>6</v>
      </c>
      <c r="C19" s="34" t="s">
        <v>7</v>
      </c>
      <c r="D19" s="35" t="s">
        <v>669</v>
      </c>
      <c r="E19" s="36" t="str">
        <f>IFERROR(VLOOKUP(D19,'Master List'!D:H,2,FALSE),"NA")</f>
        <v>511599</v>
      </c>
      <c r="F19" s="37" t="str">
        <f>IFERROR(VLOOKUP(D19,'Master List'!D:H,3,FALSE),"NA")</f>
        <v>511599</v>
      </c>
      <c r="G19" s="38">
        <f>IFERROR(VLOOKUP(D19,'Master List'!D:H,4,FALSE),"NA")</f>
        <v>511504</v>
      </c>
      <c r="H19" s="39" t="str">
        <f>IFERROR(VLOOKUP(D19,'Master List'!D:H,5,FALSE),"NA")</f>
        <v>Community Health Services/Liaison/Counseling</v>
      </c>
      <c r="I19" s="19"/>
      <c r="J19" s="20"/>
      <c r="K19" s="18"/>
      <c r="L19" s="18"/>
    </row>
    <row r="20" spans="1:12" x14ac:dyDescent="0.3">
      <c r="A20" s="33">
        <v>1</v>
      </c>
      <c r="B20" s="33" t="s">
        <v>6</v>
      </c>
      <c r="C20" s="34" t="s">
        <v>7</v>
      </c>
      <c r="D20" s="35" t="s">
        <v>913</v>
      </c>
      <c r="E20" s="36" t="str">
        <f>IFERROR(VLOOKUP(D20,'Master List'!D:H,2,FALSE),"NA")</f>
        <v>511599</v>
      </c>
      <c r="F20" s="37" t="str">
        <f>IFERROR(VLOOKUP(D20,'Master List'!D:H,3,FALSE),"NA")</f>
        <v>511599</v>
      </c>
      <c r="G20" s="38" t="str">
        <f>IFERROR(VLOOKUP(D20,'Master List'!D:H,4,FALSE),"NA")</f>
        <v>511599</v>
      </c>
      <c r="H20" s="39" t="str">
        <f>IFERROR(VLOOKUP(D20,'Master List'!D:H,5,FALSE),"NA")</f>
        <v>Mental and Social Health Services and Allied Professions, Other.</v>
      </c>
      <c r="I20" s="19"/>
      <c r="J20" s="20"/>
      <c r="K20" s="18"/>
      <c r="L20" s="18"/>
    </row>
    <row r="21" spans="1:12" x14ac:dyDescent="0.3">
      <c r="A21" s="33">
        <v>1</v>
      </c>
      <c r="B21" s="33" t="s">
        <v>6</v>
      </c>
      <c r="C21" s="34" t="s">
        <v>7</v>
      </c>
      <c r="D21" s="35" t="s">
        <v>217</v>
      </c>
      <c r="E21" s="36" t="str">
        <f>IFERROR(VLOOKUP(D21,'Master List'!D:H,2,FALSE),"NA")</f>
        <v>110103</v>
      </c>
      <c r="F21" s="37" t="str">
        <f>IFERROR(VLOOKUP(D21,'Master List'!D:H,3,FALSE),"NA")</f>
        <v>110103</v>
      </c>
      <c r="G21" s="38" t="str">
        <f>IFERROR(VLOOKUP(D21,'Master List'!D:H,4,FALSE),"NA")</f>
        <v>110103</v>
      </c>
      <c r="H21" s="39" t="str">
        <f>IFERROR(VLOOKUP(D21,'Master List'!D:H,5,FALSE),"NA")</f>
        <v>Information Technology.</v>
      </c>
      <c r="I21" s="19"/>
      <c r="J21" s="20"/>
      <c r="K21" s="18"/>
      <c r="L21" s="18"/>
    </row>
    <row r="22" spans="1:12" x14ac:dyDescent="0.3">
      <c r="A22" s="33">
        <v>1</v>
      </c>
      <c r="B22" s="33" t="s">
        <v>6</v>
      </c>
      <c r="C22" s="34" t="s">
        <v>7</v>
      </c>
      <c r="D22" s="35" t="s">
        <v>390</v>
      </c>
      <c r="E22" s="36" t="str">
        <f>IFERROR(VLOOKUP(D22,'Master List'!D:H,2,FALSE),"NA")</f>
        <v>110202</v>
      </c>
      <c r="F22" s="37" t="str">
        <f>IFERROR(VLOOKUP(D22,'Master List'!D:H,3,FALSE),"NA")</f>
        <v>110202</v>
      </c>
      <c r="G22" s="38" t="str">
        <f>IFERROR(VLOOKUP(D22,'Master List'!D:H,4,FALSE),"NA")</f>
        <v>110202</v>
      </c>
      <c r="H22" s="39" t="str">
        <f>IFERROR(VLOOKUP(D22,'Master List'!D:H,5,FALSE),"NA")</f>
        <v>Computer Programming, Specific Applications.</v>
      </c>
      <c r="I22" s="19"/>
      <c r="J22" s="20"/>
      <c r="K22" s="18"/>
      <c r="L22" s="18"/>
    </row>
    <row r="23" spans="1:12" x14ac:dyDescent="0.3">
      <c r="A23" s="33">
        <v>1</v>
      </c>
      <c r="B23" s="33" t="s">
        <v>6</v>
      </c>
      <c r="C23" s="34" t="s">
        <v>7</v>
      </c>
      <c r="D23" s="35" t="s">
        <v>811</v>
      </c>
      <c r="E23" s="36" t="str">
        <f>IFERROR(VLOOKUP(D23,'Master List'!D:H,2,FALSE),"NA")</f>
        <v>110203</v>
      </c>
      <c r="F23" s="37" t="str">
        <f>IFERROR(VLOOKUP(D23,'Master List'!D:H,3,FALSE),"NA")</f>
        <v>110203</v>
      </c>
      <c r="G23" s="38" t="str">
        <f>IFERROR(VLOOKUP(D23,'Master List'!D:H,4,FALSE),"NA")</f>
        <v>110203</v>
      </c>
      <c r="H23" s="39" t="str">
        <f>IFERROR(VLOOKUP(D23,'Master List'!D:H,5,FALSE),"NA")</f>
        <v>Computer Programming, Vendor/Product Certification.</v>
      </c>
      <c r="I23" s="19"/>
      <c r="J23" s="20"/>
      <c r="K23" s="18"/>
      <c r="L23" s="18"/>
    </row>
    <row r="24" spans="1:12" x14ac:dyDescent="0.3">
      <c r="A24" s="33">
        <v>1</v>
      </c>
      <c r="B24" s="33" t="s">
        <v>6</v>
      </c>
      <c r="C24" s="34" t="s">
        <v>7</v>
      </c>
      <c r="D24" s="35" t="s">
        <v>421</v>
      </c>
      <c r="E24" s="36" t="str">
        <f>IFERROR(VLOOKUP(D24,'Master List'!D:H,2,FALSE),"NA")</f>
        <v>110801</v>
      </c>
      <c r="F24" s="37" t="str">
        <f>IFERROR(VLOOKUP(D24,'Master List'!D:H,3,FALSE),"NA")</f>
        <v>110801</v>
      </c>
      <c r="G24" s="38" t="str">
        <f>IFERROR(VLOOKUP(D24,'Master List'!D:H,4,FALSE),"NA")</f>
        <v>110801</v>
      </c>
      <c r="H24" s="39" t="str">
        <f>IFERROR(VLOOKUP(D24,'Master List'!D:H,5,FALSE),"NA")</f>
        <v>Web Page, Digital/Multimedia and Information Resources Design.</v>
      </c>
      <c r="I24" s="19"/>
      <c r="J24" s="20"/>
      <c r="K24" s="18"/>
      <c r="L24" s="18"/>
    </row>
    <row r="25" spans="1:12" x14ac:dyDescent="0.3">
      <c r="A25" s="33">
        <v>1</v>
      </c>
      <c r="B25" s="33" t="s">
        <v>6</v>
      </c>
      <c r="C25" s="34" t="s">
        <v>7</v>
      </c>
      <c r="D25" s="35" t="s">
        <v>31</v>
      </c>
      <c r="E25" s="36" t="str">
        <f>IFERROR(VLOOKUP(D25,'Master List'!D:H,2,FALSE),"NA")</f>
        <v>111001</v>
      </c>
      <c r="F25" s="37" t="str">
        <f>IFERROR(VLOOKUP(D25,'Master List'!D:H,3,FALSE),"NA")</f>
        <v>111001</v>
      </c>
      <c r="G25" s="38" t="str">
        <f>IFERROR(VLOOKUP(D25,'Master List'!D:H,4,FALSE),"NA")</f>
        <v>111001</v>
      </c>
      <c r="H25" s="39" t="str">
        <f>IFERROR(VLOOKUP(D25,'Master List'!D:H,5,FALSE),"NA")</f>
        <v>Network and System Administration/Administrator.</v>
      </c>
      <c r="I25" s="19"/>
      <c r="J25" s="20"/>
      <c r="K25" s="18"/>
      <c r="L25" s="18"/>
    </row>
    <row r="26" spans="1:12" x14ac:dyDescent="0.3">
      <c r="A26" s="33">
        <v>1</v>
      </c>
      <c r="B26" s="33" t="s">
        <v>6</v>
      </c>
      <c r="C26" s="34" t="s">
        <v>7</v>
      </c>
      <c r="D26" s="35" t="s">
        <v>34</v>
      </c>
      <c r="E26" s="36" t="str">
        <f>IFERROR(VLOOKUP(D26,'Master List'!D:H,2,FALSE),"NA")</f>
        <v>111001</v>
      </c>
      <c r="F26" s="37" t="str">
        <f>IFERROR(VLOOKUP(D26,'Master List'!D:H,3,FALSE),"NA")</f>
        <v>111001</v>
      </c>
      <c r="G26" s="38" t="str">
        <f>IFERROR(VLOOKUP(D26,'Master List'!D:H,4,FALSE),"NA")</f>
        <v>111001</v>
      </c>
      <c r="H26" s="39" t="str">
        <f>IFERROR(VLOOKUP(D26,'Master List'!D:H,5,FALSE),"NA")</f>
        <v>Network and System Administration/Administrator.</v>
      </c>
      <c r="I26" s="19"/>
      <c r="J26" s="20"/>
      <c r="K26" s="18"/>
      <c r="L26" s="18"/>
    </row>
    <row r="27" spans="1:12" x14ac:dyDescent="0.3">
      <c r="A27" s="33">
        <v>1</v>
      </c>
      <c r="B27" s="33" t="s">
        <v>6</v>
      </c>
      <c r="C27" s="34" t="s">
        <v>7</v>
      </c>
      <c r="D27" s="35" t="s">
        <v>542</v>
      </c>
      <c r="E27" s="36" t="str">
        <f>IFERROR(VLOOKUP(D27,'Master List'!D:H,2,FALSE),"NA")</f>
        <v>111001</v>
      </c>
      <c r="F27" s="37" t="str">
        <f>IFERROR(VLOOKUP(D27,'Master List'!D:H,3,FALSE),"NA")</f>
        <v>111001</v>
      </c>
      <c r="G27" s="38" t="str">
        <f>IFERROR(VLOOKUP(D27,'Master List'!D:H,4,FALSE),"NA")</f>
        <v>111001</v>
      </c>
      <c r="H27" s="39" t="str">
        <f>IFERROR(VLOOKUP(D27,'Master List'!D:H,5,FALSE),"NA")</f>
        <v>Network and System Administration/Administrator.</v>
      </c>
      <c r="I27" s="19"/>
      <c r="J27" s="20"/>
      <c r="K27" s="18"/>
      <c r="L27" s="18"/>
    </row>
    <row r="28" spans="1:12" x14ac:dyDescent="0.3">
      <c r="A28" s="33">
        <v>1</v>
      </c>
      <c r="B28" s="33" t="s">
        <v>6</v>
      </c>
      <c r="C28" s="34" t="s">
        <v>7</v>
      </c>
      <c r="D28" s="35" t="s">
        <v>35</v>
      </c>
      <c r="E28" s="36" t="str">
        <f>IFERROR(VLOOKUP(D28,'Master List'!D:H,2,FALSE),"NA")</f>
        <v>111001</v>
      </c>
      <c r="F28" s="37" t="str">
        <f>IFERROR(VLOOKUP(D28,'Master List'!D:H,3,FALSE),"NA")</f>
        <v>111001</v>
      </c>
      <c r="G28" s="38" t="str">
        <f>IFERROR(VLOOKUP(D28,'Master List'!D:H,4,FALSE),"NA")</f>
        <v>111001</v>
      </c>
      <c r="H28" s="39" t="str">
        <f>IFERROR(VLOOKUP(D28,'Master List'!D:H,5,FALSE),"NA")</f>
        <v>Network and System Administration/Administrator.</v>
      </c>
      <c r="I28" s="19"/>
      <c r="J28" s="20"/>
      <c r="K28" s="18"/>
      <c r="L28" s="18"/>
    </row>
    <row r="29" spans="1:12" x14ac:dyDescent="0.3">
      <c r="A29" s="33">
        <v>1</v>
      </c>
      <c r="B29" s="33" t="s">
        <v>6</v>
      </c>
      <c r="C29" s="34" t="s">
        <v>7</v>
      </c>
      <c r="D29" s="35" t="s">
        <v>36</v>
      </c>
      <c r="E29" s="36" t="str">
        <f>IFERROR(VLOOKUP(D29,'Master List'!D:H,2,FALSE),"NA")</f>
        <v>111001</v>
      </c>
      <c r="F29" s="37" t="str">
        <f>IFERROR(VLOOKUP(D29,'Master List'!D:H,3,FALSE),"NA")</f>
        <v>111001</v>
      </c>
      <c r="G29" s="38" t="str">
        <f>IFERROR(VLOOKUP(D29,'Master List'!D:H,4,FALSE),"NA")</f>
        <v>111001</v>
      </c>
      <c r="H29" s="39" t="str">
        <f>IFERROR(VLOOKUP(D29,'Master List'!D:H,5,FALSE),"NA")</f>
        <v>Network and System Administration/Administrator.</v>
      </c>
      <c r="I29" s="19"/>
      <c r="J29" s="20"/>
      <c r="K29" s="18"/>
      <c r="L29" s="18"/>
    </row>
    <row r="30" spans="1:12" x14ac:dyDescent="0.3">
      <c r="A30" s="33">
        <v>1</v>
      </c>
      <c r="B30" s="33" t="s">
        <v>6</v>
      </c>
      <c r="C30" s="34" t="s">
        <v>7</v>
      </c>
      <c r="D30" s="35" t="s">
        <v>223</v>
      </c>
      <c r="E30" s="36" t="str">
        <f>IFERROR(VLOOKUP(D30,'Master List'!D:H,2,FALSE),"NA")</f>
        <v>450702</v>
      </c>
      <c r="F30" s="37" t="str">
        <f>IFERROR(VLOOKUP(D30,'Master List'!D:H,3,FALSE),"NA")</f>
        <v>450702</v>
      </c>
      <c r="G30" s="38" t="str">
        <f>IFERROR(VLOOKUP(D30,'Master List'!D:H,4,FALSE),"NA")</f>
        <v>450702</v>
      </c>
      <c r="H30" s="39" t="str">
        <f>IFERROR(VLOOKUP(D30,'Master List'!D:H,5,FALSE),"NA")</f>
        <v>Geographic Information Science and Cartography.</v>
      </c>
      <c r="I30" s="19"/>
      <c r="J30" s="20"/>
      <c r="K30" s="18"/>
      <c r="L30" s="18"/>
    </row>
    <row r="31" spans="1:12" x14ac:dyDescent="0.3">
      <c r="A31" s="33">
        <v>1</v>
      </c>
      <c r="B31" s="33" t="s">
        <v>6</v>
      </c>
      <c r="C31" s="34" t="s">
        <v>7</v>
      </c>
      <c r="D31" s="35" t="s">
        <v>422</v>
      </c>
      <c r="E31" s="36" t="str">
        <f>IFERROR(VLOOKUP(D31,'Master List'!D:H,2,FALSE),"NA")</f>
        <v>510716</v>
      </c>
      <c r="F31" s="37" t="str">
        <f>IFERROR(VLOOKUP(D31,'Master List'!D:H,3,FALSE),"NA")</f>
        <v>510716</v>
      </c>
      <c r="G31" s="38">
        <f>IFERROR(VLOOKUP(D31,'Master List'!D:H,4,FALSE),"NA")</f>
        <v>510705</v>
      </c>
      <c r="H31" s="39" t="str">
        <f>IFERROR(VLOOKUP(D31,'Master List'!D:H,5,FALSE),"NA")</f>
        <v>Medical Office Management/Administration</v>
      </c>
      <c r="I31" s="19"/>
      <c r="J31" s="20"/>
      <c r="K31" s="18"/>
      <c r="L31" s="18"/>
    </row>
    <row r="32" spans="1:12" x14ac:dyDescent="0.3">
      <c r="A32" s="33">
        <v>1</v>
      </c>
      <c r="B32" s="33" t="s">
        <v>6</v>
      </c>
      <c r="C32" s="34" t="s">
        <v>7</v>
      </c>
      <c r="D32" s="35" t="s">
        <v>153</v>
      </c>
      <c r="E32" s="36" t="str">
        <f>IFERROR(VLOOKUP(D32,'Master List'!D:H,2,FALSE),"NA")</f>
        <v>520201</v>
      </c>
      <c r="F32" s="37" t="str">
        <f>IFERROR(VLOOKUP(D32,'Master List'!D:H,3,FALSE),"NA")</f>
        <v>520201</v>
      </c>
      <c r="G32" s="38" t="str">
        <f>IFERROR(VLOOKUP(D32,'Master List'!D:H,4,FALSE),"NA")</f>
        <v>520201</v>
      </c>
      <c r="H32" s="39" t="str">
        <f>IFERROR(VLOOKUP(D32,'Master List'!D:H,5,FALSE),"NA")</f>
        <v>Business Administration and Management, General.</v>
      </c>
      <c r="I32" s="19"/>
      <c r="J32" s="20"/>
      <c r="K32" s="18"/>
      <c r="L32" s="18"/>
    </row>
    <row r="33" spans="1:12" x14ac:dyDescent="0.3">
      <c r="A33" s="33">
        <v>1</v>
      </c>
      <c r="B33" s="33" t="s">
        <v>6</v>
      </c>
      <c r="C33" s="34" t="s">
        <v>7</v>
      </c>
      <c r="D33" s="35" t="s">
        <v>154</v>
      </c>
      <c r="E33" s="36" t="str">
        <f>IFERROR(VLOOKUP(D33,'Master List'!D:H,2,FALSE),"NA")</f>
        <v>520201</v>
      </c>
      <c r="F33" s="37" t="str">
        <f>IFERROR(VLOOKUP(D33,'Master List'!D:H,3,FALSE),"NA")</f>
        <v>520201</v>
      </c>
      <c r="G33" s="38" t="str">
        <f>IFERROR(VLOOKUP(D33,'Master List'!D:H,4,FALSE),"NA")</f>
        <v>520201</v>
      </c>
      <c r="H33" s="39" t="str">
        <f>IFERROR(VLOOKUP(D33,'Master List'!D:H,5,FALSE),"NA")</f>
        <v>Business Administration and Management, General.</v>
      </c>
      <c r="I33" s="19"/>
      <c r="J33" s="20"/>
      <c r="K33" s="18"/>
      <c r="L33" s="18"/>
    </row>
    <row r="34" spans="1:12" x14ac:dyDescent="0.3">
      <c r="A34" s="33">
        <v>1</v>
      </c>
      <c r="B34" s="33" t="s">
        <v>6</v>
      </c>
      <c r="C34" s="34" t="s">
        <v>7</v>
      </c>
      <c r="D34" s="35" t="s">
        <v>507</v>
      </c>
      <c r="E34" s="36" t="str">
        <f>IFERROR(VLOOKUP(D34,'Master List'!D:H,2,FALSE),"NA")</f>
        <v>520201</v>
      </c>
      <c r="F34" s="37" t="str">
        <f>IFERROR(VLOOKUP(D34,'Master List'!D:H,3,FALSE),"NA")</f>
        <v>520201</v>
      </c>
      <c r="G34" s="38" t="str">
        <f>IFERROR(VLOOKUP(D34,'Master List'!D:H,4,FALSE),"NA")</f>
        <v>520201</v>
      </c>
      <c r="H34" s="39" t="str">
        <f>IFERROR(VLOOKUP(D34,'Master List'!D:H,5,FALSE),"NA")</f>
        <v>Business Administration and Management, General.</v>
      </c>
      <c r="I34" s="19"/>
      <c r="J34" s="20"/>
      <c r="K34" s="18"/>
      <c r="L34" s="18"/>
    </row>
    <row r="35" spans="1:12" x14ac:dyDescent="0.3">
      <c r="A35" s="33">
        <v>1</v>
      </c>
      <c r="B35" s="33" t="s">
        <v>6</v>
      </c>
      <c r="C35" s="34" t="s">
        <v>7</v>
      </c>
      <c r="D35" s="35" t="s">
        <v>37</v>
      </c>
      <c r="E35" s="36" t="str">
        <f>IFERROR(VLOOKUP(D35,'Master List'!D:H,2,FALSE),"NA")</f>
        <v>520204</v>
      </c>
      <c r="F35" s="37" t="str">
        <f>IFERROR(VLOOKUP(D35,'Master List'!D:H,3,FALSE),"NA")</f>
        <v>520204</v>
      </c>
      <c r="G35" s="38" t="str">
        <f>IFERROR(VLOOKUP(D35,'Master List'!D:H,4,FALSE),"NA")</f>
        <v>520204</v>
      </c>
      <c r="H35" s="39" t="str">
        <f>IFERROR(VLOOKUP(D35,'Master List'!D:H,5,FALSE),"NA")</f>
        <v>Office Management and Supervision.</v>
      </c>
      <c r="I35" s="19"/>
      <c r="J35" s="20"/>
      <c r="K35" s="18"/>
      <c r="L35" s="18"/>
    </row>
    <row r="36" spans="1:12" x14ac:dyDescent="0.3">
      <c r="A36" s="33">
        <v>1</v>
      </c>
      <c r="B36" s="33" t="s">
        <v>6</v>
      </c>
      <c r="C36" s="34" t="s">
        <v>7</v>
      </c>
      <c r="D36" s="35" t="s">
        <v>226</v>
      </c>
      <c r="E36" s="36" t="str">
        <f>IFERROR(VLOOKUP(D36,'Master List'!D:H,2,FALSE),"NA")</f>
        <v>520204</v>
      </c>
      <c r="F36" s="37" t="str">
        <f>IFERROR(VLOOKUP(D36,'Master List'!D:H,3,FALSE),"NA")</f>
        <v>520204</v>
      </c>
      <c r="G36" s="38" t="str">
        <f>IFERROR(VLOOKUP(D36,'Master List'!D:H,4,FALSE),"NA")</f>
        <v>520204</v>
      </c>
      <c r="H36" s="39" t="str">
        <f>IFERROR(VLOOKUP(D36,'Master List'!D:H,5,FALSE),"NA")</f>
        <v>Office Management and Supervision.</v>
      </c>
      <c r="I36" s="19"/>
      <c r="J36" s="20"/>
      <c r="K36" s="18"/>
      <c r="L36" s="18"/>
    </row>
    <row r="37" spans="1:12" x14ac:dyDescent="0.3">
      <c r="A37" s="33">
        <v>1</v>
      </c>
      <c r="B37" s="33" t="s">
        <v>6</v>
      </c>
      <c r="C37" s="34" t="s">
        <v>7</v>
      </c>
      <c r="D37" s="35" t="s">
        <v>914</v>
      </c>
      <c r="E37" s="36" t="str">
        <f>IFERROR(VLOOKUP(D37,'Master List'!D:H,2,FALSE),"NA")</f>
        <v>520204</v>
      </c>
      <c r="F37" s="37" t="str">
        <f>IFERROR(VLOOKUP(D37,'Master List'!D:H,3,FALSE),"NA")</f>
        <v>520204</v>
      </c>
      <c r="G37" s="38">
        <f>IFERROR(VLOOKUP(D37,'Master List'!D:H,4,FALSE),"NA")</f>
        <v>220301</v>
      </c>
      <c r="H37" s="39" t="str">
        <f>IFERROR(VLOOKUP(D37,'Master List'!D:H,5,FALSE),"NA")</f>
        <v>Office Management and Supervision.</v>
      </c>
      <c r="I37" s="19"/>
      <c r="J37" s="20"/>
      <c r="K37" s="18"/>
      <c r="L37" s="18"/>
    </row>
    <row r="38" spans="1:12" x14ac:dyDescent="0.3">
      <c r="A38" s="33">
        <v>1</v>
      </c>
      <c r="B38" s="33" t="s">
        <v>6</v>
      </c>
      <c r="C38" s="34" t="s">
        <v>7</v>
      </c>
      <c r="D38" s="35" t="s">
        <v>227</v>
      </c>
      <c r="E38" s="36" t="str">
        <f>IFERROR(VLOOKUP(D38,'Master List'!D:H,2,FALSE),"NA")</f>
        <v>520302</v>
      </c>
      <c r="F38" s="37" t="str">
        <f>IFERROR(VLOOKUP(D38,'Master List'!D:H,3,FALSE),"NA")</f>
        <v>520302</v>
      </c>
      <c r="G38" s="38" t="str">
        <f>IFERROR(VLOOKUP(D38,'Master List'!D:H,4,FALSE),"NA")</f>
        <v>520302</v>
      </c>
      <c r="H38" s="39" t="str">
        <f>IFERROR(VLOOKUP(D38,'Master List'!D:H,5,FALSE),"NA")</f>
        <v>Accounting Technology/Technician and Bookkeeping.</v>
      </c>
      <c r="I38" s="19"/>
      <c r="J38" s="20"/>
      <c r="K38" s="18"/>
      <c r="L38" s="18"/>
    </row>
    <row r="39" spans="1:12" x14ac:dyDescent="0.3">
      <c r="A39" s="33">
        <v>1</v>
      </c>
      <c r="B39" s="33" t="s">
        <v>6</v>
      </c>
      <c r="C39" s="34" t="s">
        <v>7</v>
      </c>
      <c r="D39" s="35" t="s">
        <v>228</v>
      </c>
      <c r="E39" s="36" t="str">
        <f>IFERROR(VLOOKUP(D39,'Master List'!D:H,2,FALSE),"NA")</f>
        <v>520302</v>
      </c>
      <c r="F39" s="37" t="str">
        <f>IFERROR(VLOOKUP(D39,'Master List'!D:H,3,FALSE),"NA")</f>
        <v>520302</v>
      </c>
      <c r="G39" s="38" t="str">
        <f>IFERROR(VLOOKUP(D39,'Master List'!D:H,4,FALSE),"NA")</f>
        <v>520302</v>
      </c>
      <c r="H39" s="39" t="str">
        <f>IFERROR(VLOOKUP(D39,'Master List'!D:H,5,FALSE),"NA")</f>
        <v>Accounting Technology/Technician and Bookkeeping.</v>
      </c>
      <c r="I39" s="19"/>
      <c r="J39" s="20"/>
      <c r="K39" s="18"/>
      <c r="L39" s="18"/>
    </row>
    <row r="40" spans="1:12" x14ac:dyDescent="0.3">
      <c r="A40" s="33">
        <v>1</v>
      </c>
      <c r="B40" s="33" t="s">
        <v>6</v>
      </c>
      <c r="C40" s="34" t="s">
        <v>7</v>
      </c>
      <c r="D40" s="35" t="s">
        <v>40</v>
      </c>
      <c r="E40" s="36" t="str">
        <f>IFERROR(VLOOKUP(D40,'Master List'!D:H,2,FALSE),"NA")</f>
        <v>520302</v>
      </c>
      <c r="F40" s="37" t="str">
        <f>IFERROR(VLOOKUP(D40,'Master List'!D:H,3,FALSE),"NA")</f>
        <v>520302</v>
      </c>
      <c r="G40" s="38" t="str">
        <f>IFERROR(VLOOKUP(D40,'Master List'!D:H,4,FALSE),"NA")</f>
        <v>520302</v>
      </c>
      <c r="H40" s="39" t="str">
        <f>IFERROR(VLOOKUP(D40,'Master List'!D:H,5,FALSE),"NA")</f>
        <v>Accounting Technology/Technician and Bookkeeping.</v>
      </c>
      <c r="I40" s="19"/>
      <c r="J40" s="20"/>
      <c r="K40" s="18"/>
      <c r="L40" s="18"/>
    </row>
    <row r="41" spans="1:12" x14ac:dyDescent="0.3">
      <c r="A41" s="33">
        <v>1</v>
      </c>
      <c r="B41" s="33" t="s">
        <v>6</v>
      </c>
      <c r="C41" s="34" t="s">
        <v>7</v>
      </c>
      <c r="D41" s="35" t="s">
        <v>229</v>
      </c>
      <c r="E41" s="36" t="str">
        <f>IFERROR(VLOOKUP(D41,'Master List'!D:H,2,FALSE),"NA")</f>
        <v>520407</v>
      </c>
      <c r="F41" s="37" t="str">
        <f>IFERROR(VLOOKUP(D41,'Master List'!D:H,3,FALSE),"NA")</f>
        <v>520407</v>
      </c>
      <c r="G41" s="38" t="str">
        <f>IFERROR(VLOOKUP(D41,'Master List'!D:H,4,FALSE),"NA")</f>
        <v>520407</v>
      </c>
      <c r="H41" s="39" t="str">
        <f>IFERROR(VLOOKUP(D41,'Master List'!D:H,5,FALSE),"NA")</f>
        <v>Business/Office Automation/Technology/Data Entry.</v>
      </c>
      <c r="I41" s="19"/>
      <c r="J41" s="20"/>
      <c r="K41" s="18"/>
      <c r="L41" s="18"/>
    </row>
    <row r="42" spans="1:12" x14ac:dyDescent="0.3">
      <c r="A42" s="33">
        <v>1</v>
      </c>
      <c r="B42" s="33" t="s">
        <v>6</v>
      </c>
      <c r="C42" s="34" t="s">
        <v>7</v>
      </c>
      <c r="D42" s="35" t="s">
        <v>232</v>
      </c>
      <c r="E42" s="36" t="str">
        <f>IFERROR(VLOOKUP(D42,'Master List'!D:H,2,FALSE),"NA")</f>
        <v>520701</v>
      </c>
      <c r="F42" s="37" t="str">
        <f>IFERROR(VLOOKUP(D42,'Master List'!D:H,3,FALSE),"NA")</f>
        <v>520701</v>
      </c>
      <c r="G42" s="38" t="str">
        <f>IFERROR(VLOOKUP(D42,'Master List'!D:H,4,FALSE),"NA")</f>
        <v>520701</v>
      </c>
      <c r="H42" s="39" t="str">
        <f>IFERROR(VLOOKUP(D42,'Master List'!D:H,5,FALSE),"NA")</f>
        <v>Entrepreneurship/Entrepreneurial Studies.</v>
      </c>
      <c r="I42" s="19"/>
      <c r="J42" s="20"/>
      <c r="K42" s="18"/>
      <c r="L42" s="18"/>
    </row>
    <row r="43" spans="1:12" x14ac:dyDescent="0.3">
      <c r="A43" s="33">
        <v>1</v>
      </c>
      <c r="B43" s="33" t="s">
        <v>6</v>
      </c>
      <c r="C43" s="34" t="s">
        <v>7</v>
      </c>
      <c r="D43" s="35" t="s">
        <v>394</v>
      </c>
      <c r="E43" s="36" t="str">
        <f>IFERROR(VLOOKUP(D43,'Master List'!D:H,2,FALSE),"NA")</f>
        <v>520703</v>
      </c>
      <c r="F43" s="37" t="str">
        <f>IFERROR(VLOOKUP(D43,'Master List'!D:H,3,FALSE),"NA")</f>
        <v>520703</v>
      </c>
      <c r="G43" s="38" t="str">
        <f>IFERROR(VLOOKUP(D43,'Master List'!D:H,4,FALSE),"NA")</f>
        <v>520703</v>
      </c>
      <c r="H43" s="39" t="str">
        <f>IFERROR(VLOOKUP(D43,'Master List'!D:H,5,FALSE),"NA")</f>
        <v>Small Business Administration/Management.</v>
      </c>
      <c r="I43" s="19"/>
      <c r="J43" s="20"/>
      <c r="K43" s="18"/>
      <c r="L43" s="18"/>
    </row>
    <row r="44" spans="1:12" x14ac:dyDescent="0.3">
      <c r="A44" s="33">
        <v>1</v>
      </c>
      <c r="B44" s="33" t="s">
        <v>6</v>
      </c>
      <c r="C44" s="34" t="s">
        <v>7</v>
      </c>
      <c r="D44" s="35" t="s">
        <v>233</v>
      </c>
      <c r="E44" s="36" t="str">
        <f>IFERROR(VLOOKUP(D44,'Master List'!D:H,2,FALSE),"NA")</f>
        <v>520703</v>
      </c>
      <c r="F44" s="37" t="str">
        <f>IFERROR(VLOOKUP(D44,'Master List'!D:H,3,FALSE),"NA")</f>
        <v>520703</v>
      </c>
      <c r="G44" s="38" t="str">
        <f>IFERROR(VLOOKUP(D44,'Master List'!D:H,4,FALSE),"NA")</f>
        <v>520703</v>
      </c>
      <c r="H44" s="39" t="str">
        <f>IFERROR(VLOOKUP(D44,'Master List'!D:H,5,FALSE),"NA")</f>
        <v>Small Business Administration/Management.</v>
      </c>
      <c r="I44" s="19"/>
      <c r="J44" s="20"/>
      <c r="K44" s="18"/>
      <c r="L44" s="18"/>
    </row>
    <row r="45" spans="1:12" x14ac:dyDescent="0.3">
      <c r="A45" s="33">
        <v>1</v>
      </c>
      <c r="B45" s="33" t="s">
        <v>6</v>
      </c>
      <c r="C45" s="34" t="s">
        <v>7</v>
      </c>
      <c r="D45" s="35" t="s">
        <v>624</v>
      </c>
      <c r="E45" s="36" t="str">
        <f>IFERROR(VLOOKUP(D45,'Master List'!D:H,2,FALSE),"NA")</f>
        <v>520703</v>
      </c>
      <c r="F45" s="37" t="str">
        <f>IFERROR(VLOOKUP(D45,'Master List'!D:H,3,FALSE),"NA")</f>
        <v>520703</v>
      </c>
      <c r="G45" s="38" t="str">
        <f>IFERROR(VLOOKUP(D45,'Master List'!D:H,4,FALSE),"NA")</f>
        <v>520703</v>
      </c>
      <c r="H45" s="39" t="str">
        <f>IFERROR(VLOOKUP(D45,'Master List'!D:H,5,FALSE),"NA")</f>
        <v>Small Business Administration/Management.</v>
      </c>
      <c r="I45" s="19"/>
      <c r="J45" s="20"/>
      <c r="K45" s="18"/>
      <c r="L45" s="18"/>
    </row>
    <row r="46" spans="1:12" x14ac:dyDescent="0.3">
      <c r="A46" s="33">
        <v>1</v>
      </c>
      <c r="B46" s="33" t="s">
        <v>6</v>
      </c>
      <c r="C46" s="34" t="s">
        <v>7</v>
      </c>
      <c r="D46" s="35" t="s">
        <v>426</v>
      </c>
      <c r="E46" s="36" t="str">
        <f>IFERROR(VLOOKUP(D46,'Master List'!D:H,2,FALSE),"NA")</f>
        <v>100105</v>
      </c>
      <c r="F46" s="37" t="str">
        <f>IFERROR(VLOOKUP(D46,'Master List'!D:H,3,FALSE),"NA")</f>
        <v>100105</v>
      </c>
      <c r="G46" s="38">
        <f>IFERROR(VLOOKUP(D46,'Master List'!D:H,4,FALSE),"NA")</f>
        <v>100202</v>
      </c>
      <c r="H46" s="39" t="str">
        <f>IFERROR(VLOOKUP(D46,'Master List'!D:H,5,FALSE),"NA")</f>
        <v xml:space="preserve"> Radio and Television Broadcasting Technology/Technician</v>
      </c>
      <c r="I46" s="19"/>
      <c r="J46" s="20"/>
      <c r="K46" s="18"/>
      <c r="L46" s="18"/>
    </row>
    <row r="47" spans="1:12" x14ac:dyDescent="0.3">
      <c r="A47" s="33">
        <v>1</v>
      </c>
      <c r="B47" s="33" t="s">
        <v>6</v>
      </c>
      <c r="C47" s="34" t="s">
        <v>7</v>
      </c>
      <c r="D47" s="35" t="s">
        <v>427</v>
      </c>
      <c r="E47" s="36" t="str">
        <f>IFERROR(VLOOKUP(D47,'Master List'!D:H,2,FALSE),"NA")</f>
        <v>100202</v>
      </c>
      <c r="F47" s="37" t="str">
        <f>IFERROR(VLOOKUP(D47,'Master List'!D:H,3,FALSE),"NA")</f>
        <v>100202</v>
      </c>
      <c r="G47" s="38" t="str">
        <f>IFERROR(VLOOKUP(D47,'Master List'!D:H,4,FALSE),"NA")</f>
        <v>100202</v>
      </c>
      <c r="H47" s="39" t="str">
        <f>IFERROR(VLOOKUP(D47,'Master List'!D:H,5,FALSE),"NA")</f>
        <v>Radio and Television Broadcasting Technology/Technician.</v>
      </c>
      <c r="I47" s="19"/>
      <c r="J47" s="20"/>
      <c r="K47" s="18"/>
      <c r="L47" s="18"/>
    </row>
    <row r="48" spans="1:12" x14ac:dyDescent="0.3">
      <c r="A48" s="33">
        <v>1</v>
      </c>
      <c r="B48" s="33" t="s">
        <v>6</v>
      </c>
      <c r="C48" s="34" t="s">
        <v>7</v>
      </c>
      <c r="D48" s="35" t="s">
        <v>550</v>
      </c>
      <c r="E48" s="36" t="str">
        <f>IFERROR(VLOOKUP(D48,'Master List'!D:H,2,FALSE),"NA")</f>
        <v>100304</v>
      </c>
      <c r="F48" s="37" t="str">
        <f>IFERROR(VLOOKUP(D48,'Master List'!D:H,3,FALSE),"NA")</f>
        <v>100304</v>
      </c>
      <c r="G48" s="38">
        <f>IFERROR(VLOOKUP(D48,'Master List'!D:H,4,FALSE),"NA")</f>
        <v>100202</v>
      </c>
      <c r="H48" s="39" t="str">
        <f>IFERROR(VLOOKUP(D48,'Master List'!D:H,5,FALSE),"NA")</f>
        <v>Animation, Interactive Technology, Video Graphics, and Special Effects.</v>
      </c>
      <c r="I48" s="19"/>
      <c r="J48" s="20"/>
      <c r="K48" s="18"/>
      <c r="L48" s="18"/>
    </row>
    <row r="49" spans="1:12" x14ac:dyDescent="0.3">
      <c r="A49" s="33">
        <v>1</v>
      </c>
      <c r="B49" s="33" t="s">
        <v>6</v>
      </c>
      <c r="C49" s="34" t="s">
        <v>7</v>
      </c>
      <c r="D49" s="35" t="s">
        <v>515</v>
      </c>
      <c r="E49" s="36" t="str">
        <f>IFERROR(VLOOKUP(D49,'Master List'!D:H,2,FALSE),"NA")</f>
        <v>110803</v>
      </c>
      <c r="F49" s="37" t="str">
        <f>IFERROR(VLOOKUP(D49,'Master List'!D:H,3,FALSE),"NA")</f>
        <v>110803</v>
      </c>
      <c r="G49" s="38" t="str">
        <f>IFERROR(VLOOKUP(D49,'Master List'!D:H,4,FALSE),"NA")</f>
        <v>110803</v>
      </c>
      <c r="H49" s="39" t="str">
        <f>IFERROR(VLOOKUP(D49,'Master List'!D:H,5,FALSE),"NA")</f>
        <v>Computer Graphics.</v>
      </c>
      <c r="I49" s="19"/>
      <c r="J49" s="20"/>
      <c r="K49" s="18"/>
      <c r="L49" s="18"/>
    </row>
    <row r="50" spans="1:12" x14ac:dyDescent="0.3">
      <c r="A50" s="33">
        <v>1</v>
      </c>
      <c r="B50" s="33" t="s">
        <v>6</v>
      </c>
      <c r="C50" s="34" t="s">
        <v>7</v>
      </c>
      <c r="D50" s="35" t="s">
        <v>237</v>
      </c>
      <c r="E50" s="36" t="str">
        <f>IFERROR(VLOOKUP(D50,'Master List'!D:H,2,FALSE),"NA")</f>
        <v>110803</v>
      </c>
      <c r="F50" s="37" t="str">
        <f>IFERROR(VLOOKUP(D50,'Master List'!D:H,3,FALSE),"NA")</f>
        <v>110803</v>
      </c>
      <c r="G50" s="38" t="str">
        <f>IFERROR(VLOOKUP(D50,'Master List'!D:H,4,FALSE),"NA")</f>
        <v>110803</v>
      </c>
      <c r="H50" s="39" t="str">
        <f>IFERROR(VLOOKUP(D50,'Master List'!D:H,5,FALSE),"NA")</f>
        <v>Computer Graphics.</v>
      </c>
      <c r="I50" s="19"/>
      <c r="J50" s="20"/>
      <c r="K50" s="18"/>
      <c r="L50" s="18"/>
    </row>
    <row r="51" spans="1:12" x14ac:dyDescent="0.3">
      <c r="A51" s="33">
        <v>1</v>
      </c>
      <c r="B51" s="33" t="s">
        <v>6</v>
      </c>
      <c r="C51" s="34" t="s">
        <v>7</v>
      </c>
      <c r="D51" s="35" t="s">
        <v>553</v>
      </c>
      <c r="E51" s="36" t="str">
        <f>IFERROR(VLOOKUP(D51,'Master List'!D:H,2,FALSE),"NA")</f>
        <v>110803</v>
      </c>
      <c r="F51" s="37" t="str">
        <f>IFERROR(VLOOKUP(D51,'Master List'!D:H,3,FALSE),"NA")</f>
        <v>110803</v>
      </c>
      <c r="G51" s="38" t="str">
        <f>IFERROR(VLOOKUP(D51,'Master List'!D:H,4,FALSE),"NA")</f>
        <v>110803</v>
      </c>
      <c r="H51" s="39" t="str">
        <f>IFERROR(VLOOKUP(D51,'Master List'!D:H,5,FALSE),"NA")</f>
        <v>Computer Graphics.</v>
      </c>
      <c r="I51" s="19"/>
      <c r="J51" s="20"/>
      <c r="K51" s="18"/>
      <c r="L51" s="18"/>
    </row>
    <row r="52" spans="1:12" x14ac:dyDescent="0.3">
      <c r="A52" s="33">
        <v>1</v>
      </c>
      <c r="B52" s="33" t="s">
        <v>6</v>
      </c>
      <c r="C52" s="34" t="s">
        <v>7</v>
      </c>
      <c r="D52" s="35" t="s">
        <v>240</v>
      </c>
      <c r="E52" s="36" t="str">
        <f>IFERROR(VLOOKUP(D52,'Master List'!D:H,2,FALSE),"NA")</f>
        <v>120401</v>
      </c>
      <c r="F52" s="37" t="str">
        <f>IFERROR(VLOOKUP(D52,'Master List'!D:H,3,FALSE),"NA")</f>
        <v>120401</v>
      </c>
      <c r="G52" s="38" t="str">
        <f>IFERROR(VLOOKUP(D52,'Master List'!D:H,4,FALSE),"NA")</f>
        <v>120401</v>
      </c>
      <c r="H52" s="39" t="str">
        <f>IFERROR(VLOOKUP(D52,'Master List'!D:H,5,FALSE),"NA")</f>
        <v>Cosmetology/Cosmetologist, General.</v>
      </c>
      <c r="I52" s="19"/>
      <c r="J52" s="20"/>
      <c r="K52" s="18"/>
      <c r="L52" s="18"/>
    </row>
    <row r="53" spans="1:12" x14ac:dyDescent="0.3">
      <c r="A53" s="33">
        <v>1</v>
      </c>
      <c r="B53" s="33" t="s">
        <v>6</v>
      </c>
      <c r="C53" s="34" t="s">
        <v>7</v>
      </c>
      <c r="D53" s="35" t="s">
        <v>243</v>
      </c>
      <c r="E53" s="36" t="str">
        <f>IFERROR(VLOOKUP(D53,'Master List'!D:H,2,FALSE),"NA")</f>
        <v>120408</v>
      </c>
      <c r="F53" s="37" t="str">
        <f>IFERROR(VLOOKUP(D53,'Master List'!D:H,3,FALSE),"NA")</f>
        <v>120408</v>
      </c>
      <c r="G53" s="38" t="str">
        <f>IFERROR(VLOOKUP(D53,'Master List'!D:H,4,FALSE),"NA")</f>
        <v>120408</v>
      </c>
      <c r="H53" s="39" t="str">
        <f>IFERROR(VLOOKUP(D53,'Master List'!D:H,5,FALSE),"NA")</f>
        <v>Facial Treatment Specialist/Facialist.</v>
      </c>
      <c r="I53" s="19"/>
      <c r="J53" s="20"/>
      <c r="K53" s="18"/>
      <c r="L53" s="18"/>
    </row>
    <row r="54" spans="1:12" x14ac:dyDescent="0.3">
      <c r="A54" s="33">
        <v>1</v>
      </c>
      <c r="B54" s="33" t="s">
        <v>6</v>
      </c>
      <c r="C54" s="34" t="s">
        <v>7</v>
      </c>
      <c r="D54" s="35" t="s">
        <v>246</v>
      </c>
      <c r="E54" s="36" t="str">
        <f>IFERROR(VLOOKUP(D54,'Master List'!D:H,2,FALSE),"NA")</f>
        <v>150000</v>
      </c>
      <c r="F54" s="37" t="str">
        <f>IFERROR(VLOOKUP(D54,'Master List'!D:H,3,FALSE),"NA")</f>
        <v>150000</v>
      </c>
      <c r="G54" s="38" t="str">
        <f>IFERROR(VLOOKUP(D54,'Master List'!D:H,4,FALSE),"NA")</f>
        <v>150000</v>
      </c>
      <c r="H54" s="39" t="str">
        <f>IFERROR(VLOOKUP(D54,'Master List'!D:H,5,FALSE),"NA")</f>
        <v>Engineering Technologies/Technicians, General.</v>
      </c>
      <c r="I54" s="19"/>
      <c r="J54" s="20"/>
      <c r="K54" s="18"/>
      <c r="L54" s="18"/>
    </row>
    <row r="55" spans="1:12" x14ac:dyDescent="0.3">
      <c r="A55" s="33">
        <v>1</v>
      </c>
      <c r="B55" s="33" t="s">
        <v>6</v>
      </c>
      <c r="C55" s="34" t="s">
        <v>7</v>
      </c>
      <c r="D55" s="35" t="s">
        <v>561</v>
      </c>
      <c r="E55" s="36" t="str">
        <f>IFERROR(VLOOKUP(D55,'Master List'!D:H,2,FALSE),"NA")</f>
        <v>150405</v>
      </c>
      <c r="F55" s="37" t="str">
        <f>IFERROR(VLOOKUP(D55,'Master List'!D:H,3,FALSE),"NA")</f>
        <v>150405</v>
      </c>
      <c r="G55" s="38" t="str">
        <f>IFERROR(VLOOKUP(D55,'Master List'!D:H,4,FALSE),"NA")</f>
        <v>150405</v>
      </c>
      <c r="H55" s="39" t="str">
        <f>IFERROR(VLOOKUP(D55,'Master List'!D:H,5,FALSE),"NA")</f>
        <v>Robotics Technology/Technician.</v>
      </c>
      <c r="I55" s="19"/>
      <c r="J55" s="20"/>
      <c r="K55" s="18"/>
      <c r="L55" s="18"/>
    </row>
    <row r="56" spans="1:12" x14ac:dyDescent="0.3">
      <c r="A56" s="33">
        <v>1</v>
      </c>
      <c r="B56" s="33" t="s">
        <v>6</v>
      </c>
      <c r="C56" s="34" t="s">
        <v>7</v>
      </c>
      <c r="D56" s="35" t="s">
        <v>733</v>
      </c>
      <c r="E56" s="36" t="str">
        <f>IFERROR(VLOOKUP(D56,'Master List'!D:H,2,FALSE),"NA")</f>
        <v>150503</v>
      </c>
      <c r="F56" s="37" t="str">
        <f>IFERROR(VLOOKUP(D56,'Master List'!D:H,3,FALSE),"NA")</f>
        <v>151701</v>
      </c>
      <c r="G56" s="38" t="str">
        <f>IFERROR(VLOOKUP(D56,'Master List'!D:H,4,FALSE),"NA")</f>
        <v>151701</v>
      </c>
      <c r="H56" s="39" t="str">
        <f>IFERROR(VLOOKUP(D56,'Master List'!D:H,5,FALSE),"NA")</f>
        <v>Energy Systems Technology/Technician.</v>
      </c>
      <c r="I56" s="19"/>
      <c r="J56" s="20"/>
      <c r="K56" s="18"/>
      <c r="L56" s="18"/>
    </row>
    <row r="57" spans="1:12" x14ac:dyDescent="0.3">
      <c r="A57" s="33">
        <v>1</v>
      </c>
      <c r="B57" s="33" t="s">
        <v>6</v>
      </c>
      <c r="C57" s="34" t="s">
        <v>7</v>
      </c>
      <c r="D57" s="35" t="s">
        <v>915</v>
      </c>
      <c r="E57" s="36" t="str">
        <f>IFERROR(VLOOKUP(D57,'Master List'!D:H,2,FALSE),"NA")</f>
        <v>150612</v>
      </c>
      <c r="F57" s="37" t="str">
        <f>IFERROR(VLOOKUP(D57,'Master List'!D:H,3,FALSE),"NA")</f>
        <v>150612</v>
      </c>
      <c r="G57" s="38" t="str">
        <f>IFERROR(VLOOKUP(D57,'Master List'!D:H,4,FALSE),"NA")</f>
        <v>150612</v>
      </c>
      <c r="H57" s="39" t="str">
        <f>IFERROR(VLOOKUP(D57,'Master List'!D:H,5,FALSE),"NA")</f>
        <v>Industrial Technology/Technician.</v>
      </c>
      <c r="I57" s="19"/>
      <c r="J57" s="20"/>
      <c r="K57" s="18"/>
      <c r="L57" s="18"/>
    </row>
    <row r="58" spans="1:12" x14ac:dyDescent="0.3">
      <c r="A58" s="33">
        <v>1</v>
      </c>
      <c r="B58" s="33" t="s">
        <v>6</v>
      </c>
      <c r="C58" s="34" t="s">
        <v>7</v>
      </c>
      <c r="D58" s="35" t="s">
        <v>918</v>
      </c>
      <c r="E58" s="36" t="str">
        <f>IFERROR(VLOOKUP(D58,'Master List'!D:H,2,FALSE),"NA")</f>
        <v>150801</v>
      </c>
      <c r="F58" s="37" t="str">
        <f>IFERROR(VLOOKUP(D58,'Master List'!D:H,3,FALSE),"NA")</f>
        <v>150801</v>
      </c>
      <c r="G58" s="38" t="str">
        <f>IFERROR(VLOOKUP(D58,'Master List'!D:H,4,FALSE),"NA")</f>
        <v>150801</v>
      </c>
      <c r="H58" s="39" t="str">
        <f>IFERROR(VLOOKUP(D58,'Master List'!D:H,5,FALSE),"NA")</f>
        <v>Aeronautical/Aerospace Engineering Technology/Technician.</v>
      </c>
      <c r="I58" s="19"/>
      <c r="J58" s="20"/>
      <c r="K58" s="18"/>
      <c r="L58" s="18"/>
    </row>
    <row r="59" spans="1:12" x14ac:dyDescent="0.3">
      <c r="A59" s="33">
        <v>1</v>
      </c>
      <c r="B59" s="33" t="s">
        <v>6</v>
      </c>
      <c r="C59" s="34" t="s">
        <v>7</v>
      </c>
      <c r="D59" s="35" t="s">
        <v>919</v>
      </c>
      <c r="E59" s="36" t="str">
        <f>IFERROR(VLOOKUP(D59,'Master List'!D:H,2,FALSE),"NA")</f>
        <v>150801</v>
      </c>
      <c r="F59" s="37" t="str">
        <f>IFERROR(VLOOKUP(D59,'Master List'!D:H,3,FALSE),"NA")</f>
        <v>150801</v>
      </c>
      <c r="G59" s="38" t="str">
        <f>IFERROR(VLOOKUP(D59,'Master List'!D:H,4,FALSE),"NA")</f>
        <v>150801</v>
      </c>
      <c r="H59" s="39" t="str">
        <f>IFERROR(VLOOKUP(D59,'Master List'!D:H,5,FALSE),"NA")</f>
        <v>Aeronautical/Aerospace Engineering Technology/Technician.</v>
      </c>
      <c r="I59" s="19"/>
      <c r="J59" s="20"/>
      <c r="K59" s="18"/>
      <c r="L59" s="18"/>
    </row>
    <row r="60" spans="1:12" x14ac:dyDescent="0.3">
      <c r="A60" s="33">
        <v>1</v>
      </c>
      <c r="B60" s="33" t="s">
        <v>6</v>
      </c>
      <c r="C60" s="34" t="s">
        <v>7</v>
      </c>
      <c r="D60" s="35" t="s">
        <v>259</v>
      </c>
      <c r="E60" s="36" t="str">
        <f>IFERROR(VLOOKUP(D60,'Master List'!D:H,2,FALSE),"NA")</f>
        <v>151301</v>
      </c>
      <c r="F60" s="37" t="str">
        <f>IFERROR(VLOOKUP(D60,'Master List'!D:H,3,FALSE),"NA")</f>
        <v>151301</v>
      </c>
      <c r="G60" s="38">
        <f>IFERROR(VLOOKUP(D60,'Master List'!D:H,4,FALSE),"NA")</f>
        <v>151302</v>
      </c>
      <c r="H60" s="39" t="str">
        <f>IFERROR(VLOOKUP(D60,'Master List'!D:H,5,FALSE),"NA")</f>
        <v>CAD/CADD Drafting and/or Design Technology/Technician</v>
      </c>
      <c r="I60" s="19"/>
      <c r="J60" s="20"/>
      <c r="K60" s="18"/>
      <c r="L60" s="18"/>
    </row>
    <row r="61" spans="1:12" x14ac:dyDescent="0.3">
      <c r="A61" s="33">
        <v>1</v>
      </c>
      <c r="B61" s="33" t="s">
        <v>6</v>
      </c>
      <c r="C61" s="34" t="s">
        <v>7</v>
      </c>
      <c r="D61" s="35" t="s">
        <v>262</v>
      </c>
      <c r="E61" s="36" t="str">
        <f>IFERROR(VLOOKUP(D61,'Master List'!D:H,2,FALSE),"NA")</f>
        <v>151302</v>
      </c>
      <c r="F61" s="37" t="str">
        <f>IFERROR(VLOOKUP(D61,'Master List'!D:H,3,FALSE),"NA")</f>
        <v>151302</v>
      </c>
      <c r="G61" s="38" t="str">
        <f>IFERROR(VLOOKUP(D61,'Master List'!D:H,4,FALSE),"NA")</f>
        <v>151302</v>
      </c>
      <c r="H61" s="39" t="str">
        <f>IFERROR(VLOOKUP(D61,'Master List'!D:H,5,FALSE),"NA")</f>
        <v>CAD/CADD Drafting and/or Design Technology/Technician.</v>
      </c>
      <c r="I61" s="19"/>
      <c r="J61" s="20"/>
      <c r="K61" s="18"/>
      <c r="L61" s="18"/>
    </row>
    <row r="62" spans="1:12" x14ac:dyDescent="0.3">
      <c r="A62" s="33">
        <v>1</v>
      </c>
      <c r="B62" s="33" t="s">
        <v>6</v>
      </c>
      <c r="C62" s="34" t="s">
        <v>7</v>
      </c>
      <c r="D62" s="35" t="s">
        <v>271</v>
      </c>
      <c r="E62" s="36" t="str">
        <f>IFERROR(VLOOKUP(D62,'Master List'!D:H,2,FALSE),"NA")</f>
        <v>410301</v>
      </c>
      <c r="F62" s="37" t="str">
        <f>IFERROR(VLOOKUP(D62,'Master List'!D:H,3,FALSE),"NA")</f>
        <v>410301</v>
      </c>
      <c r="G62" s="38" t="str">
        <f>IFERROR(VLOOKUP(D62,'Master List'!D:H,4,FALSE),"NA")</f>
        <v>410301</v>
      </c>
      <c r="H62" s="39" t="str">
        <f>IFERROR(VLOOKUP(D62,'Master List'!D:H,5,FALSE),"NA")</f>
        <v>Chemical Technology/Technician.</v>
      </c>
      <c r="I62" s="19"/>
      <c r="J62" s="20"/>
      <c r="K62" s="18"/>
      <c r="L62" s="18"/>
    </row>
    <row r="63" spans="1:12" x14ac:dyDescent="0.3">
      <c r="A63" s="33">
        <v>1</v>
      </c>
      <c r="B63" s="33" t="s">
        <v>6</v>
      </c>
      <c r="C63" s="34" t="s">
        <v>7</v>
      </c>
      <c r="D63" s="35" t="s">
        <v>275</v>
      </c>
      <c r="E63" s="36" t="str">
        <f>IFERROR(VLOOKUP(D63,'Master List'!D:H,2,FALSE),"NA")</f>
        <v>470201</v>
      </c>
      <c r="F63" s="37" t="str">
        <f>IFERROR(VLOOKUP(D63,'Master List'!D:H,3,FALSE),"NA")</f>
        <v>470201</v>
      </c>
      <c r="G63" s="38" t="str">
        <f>IFERROR(VLOOKUP(D63,'Master List'!D:H,4,FALSE),"NA")</f>
        <v>470201</v>
      </c>
      <c r="H63" s="39" t="str">
        <f>IFERROR(VLOOKUP(D63,'Master List'!D:H,5,FALSE),"NA")</f>
        <v>Heating, Air Conditioning, Ventilation and Refrigeration Maintenance Technology/Technician.</v>
      </c>
      <c r="I63" s="19"/>
      <c r="J63" s="20"/>
      <c r="K63" s="18"/>
      <c r="L63" s="18"/>
    </row>
    <row r="64" spans="1:12" x14ac:dyDescent="0.3">
      <c r="A64" s="33">
        <v>1</v>
      </c>
      <c r="B64" s="33" t="s">
        <v>6</v>
      </c>
      <c r="C64" s="34" t="s">
        <v>7</v>
      </c>
      <c r="D64" s="35" t="s">
        <v>282</v>
      </c>
      <c r="E64" s="36" t="str">
        <f>IFERROR(VLOOKUP(D64,'Master List'!D:H,2,FALSE),"NA")</f>
        <v>470607</v>
      </c>
      <c r="F64" s="37" t="str">
        <f>IFERROR(VLOOKUP(D64,'Master List'!D:H,3,FALSE),"NA")</f>
        <v>470607</v>
      </c>
      <c r="G64" s="38" t="str">
        <f>IFERROR(VLOOKUP(D64,'Master List'!D:H,4,FALSE),"NA")</f>
        <v>470607</v>
      </c>
      <c r="H64" s="39" t="str">
        <f>IFERROR(VLOOKUP(D64,'Master List'!D:H,5,FALSE),"NA")</f>
        <v>Airframe Mechanics and Aircraft Maintenance Technology/Technician.</v>
      </c>
      <c r="I64" s="19"/>
      <c r="J64" s="20"/>
      <c r="K64" s="18"/>
      <c r="L64" s="18"/>
    </row>
    <row r="65" spans="1:12" x14ac:dyDescent="0.3">
      <c r="A65" s="33">
        <v>1</v>
      </c>
      <c r="B65" s="33" t="s">
        <v>6</v>
      </c>
      <c r="C65" s="34" t="s">
        <v>7</v>
      </c>
      <c r="D65" s="35" t="s">
        <v>285</v>
      </c>
      <c r="E65" s="36" t="str">
        <f>IFERROR(VLOOKUP(D65,'Master List'!D:H,2,FALSE),"NA")</f>
        <v>470608</v>
      </c>
      <c r="F65" s="37" t="str">
        <f>IFERROR(VLOOKUP(D65,'Master List'!D:H,3,FALSE),"NA")</f>
        <v>470608</v>
      </c>
      <c r="G65" s="38" t="str">
        <f>IFERROR(VLOOKUP(D65,'Master List'!D:H,4,FALSE),"NA")</f>
        <v>470608</v>
      </c>
      <c r="H65" s="39" t="str">
        <f>IFERROR(VLOOKUP(D65,'Master List'!D:H,5,FALSE),"NA")</f>
        <v>Aircraft Powerplant Technology/Technician.</v>
      </c>
      <c r="I65" s="19"/>
      <c r="J65" s="20"/>
      <c r="K65" s="18"/>
      <c r="L65" s="18"/>
    </row>
    <row r="66" spans="1:12" x14ac:dyDescent="0.3">
      <c r="A66" s="33">
        <v>1</v>
      </c>
      <c r="B66" s="33" t="s">
        <v>6</v>
      </c>
      <c r="C66" s="34" t="s">
        <v>7</v>
      </c>
      <c r="D66" s="35" t="s">
        <v>920</v>
      </c>
      <c r="E66" s="36" t="str">
        <f>IFERROR(VLOOKUP(D66,'Master List'!D:H,2,FALSE),"NA")</f>
        <v>470616</v>
      </c>
      <c r="F66" s="37" t="str">
        <f>IFERROR(VLOOKUP(D66,'Master List'!D:H,3,FALSE),"NA")</f>
        <v>470616</v>
      </c>
      <c r="G66" s="38" t="str">
        <f>IFERROR(VLOOKUP(D66,'Master List'!D:H,4,FALSE),"NA")</f>
        <v>470616</v>
      </c>
      <c r="H66" s="39" t="str">
        <f>IFERROR(VLOOKUP(D66,'Master List'!D:H,5,FALSE),"NA")</f>
        <v>Marine Maintenance/Fitter and Ship Repair Technology/Technician.</v>
      </c>
      <c r="I66" s="19"/>
      <c r="J66" s="20"/>
      <c r="K66" s="18"/>
      <c r="L66" s="18"/>
    </row>
    <row r="67" spans="1:12" x14ac:dyDescent="0.3">
      <c r="A67" s="33">
        <v>1</v>
      </c>
      <c r="B67" s="33" t="s">
        <v>6</v>
      </c>
      <c r="C67" s="34" t="s">
        <v>7</v>
      </c>
      <c r="D67" s="35" t="s">
        <v>291</v>
      </c>
      <c r="E67" s="36" t="str">
        <f>IFERROR(VLOOKUP(D67,'Master List'!D:H,2,FALSE),"NA")</f>
        <v>480508</v>
      </c>
      <c r="F67" s="37" t="str">
        <f>IFERROR(VLOOKUP(D67,'Master List'!D:H,3,FALSE),"NA")</f>
        <v>480508</v>
      </c>
      <c r="G67" s="38" t="str">
        <f>IFERROR(VLOOKUP(D67,'Master List'!D:H,4,FALSE),"NA")</f>
        <v>480508</v>
      </c>
      <c r="H67" s="39" t="str">
        <f>IFERROR(VLOOKUP(D67,'Master List'!D:H,5,FALSE),"NA")</f>
        <v>Welding Technology/Welder.</v>
      </c>
      <c r="I67" s="19"/>
      <c r="J67" s="20"/>
      <c r="K67" s="18"/>
      <c r="L67" s="18"/>
    </row>
    <row r="68" spans="1:12" x14ac:dyDescent="0.3">
      <c r="A68" s="33">
        <v>1</v>
      </c>
      <c r="B68" s="33" t="s">
        <v>6</v>
      </c>
      <c r="C68" s="34" t="s">
        <v>7</v>
      </c>
      <c r="D68" s="35" t="s">
        <v>294</v>
      </c>
      <c r="E68" s="36" t="str">
        <f>IFERROR(VLOOKUP(D68,'Master List'!D:H,2,FALSE),"NA")</f>
        <v>480510</v>
      </c>
      <c r="F68" s="37" t="str">
        <f>IFERROR(VLOOKUP(D68,'Master List'!D:H,3,FALSE),"NA")</f>
        <v>480510</v>
      </c>
      <c r="G68" s="38" t="str">
        <f>IFERROR(VLOOKUP(D68,'Master List'!D:H,4,FALSE),"NA")</f>
        <v>480510</v>
      </c>
      <c r="H68" s="39" t="str">
        <f>IFERROR(VLOOKUP(D68,'Master List'!D:H,5,FALSE),"NA")</f>
        <v>Computer Numerically Controlled (CNC) Machinist Technology/CNC Machinist.</v>
      </c>
      <c r="I68" s="19"/>
      <c r="J68" s="20"/>
      <c r="K68" s="18"/>
      <c r="L68" s="18"/>
    </row>
    <row r="69" spans="1:12" x14ac:dyDescent="0.3">
      <c r="A69" s="33">
        <v>1</v>
      </c>
      <c r="B69" s="33" t="s">
        <v>6</v>
      </c>
      <c r="C69" s="34" t="s">
        <v>7</v>
      </c>
      <c r="D69" s="35" t="s">
        <v>565</v>
      </c>
      <c r="E69" s="36" t="str">
        <f>IFERROR(VLOOKUP(D69,'Master List'!D:H,2,FALSE),"NA")</f>
        <v>500102</v>
      </c>
      <c r="F69" s="37" t="str">
        <f>IFERROR(VLOOKUP(D69,'Master List'!D:H,3,FALSE),"NA")</f>
        <v>500102</v>
      </c>
      <c r="G69" s="38">
        <f>IFERROR(VLOOKUP(D69,'Master List'!D:H,4,FALSE),"NA")</f>
        <v>110803</v>
      </c>
      <c r="H69" s="39" t="str">
        <f>IFERROR(VLOOKUP(D69,'Master List'!D:H,5,FALSE),"NA")</f>
        <v>Computer Graphics</v>
      </c>
      <c r="I69" s="19"/>
      <c r="J69" s="20"/>
      <c r="K69" s="18"/>
      <c r="L69" s="18"/>
    </row>
    <row r="70" spans="1:12" x14ac:dyDescent="0.3">
      <c r="A70" s="33">
        <v>1</v>
      </c>
      <c r="B70" s="33" t="s">
        <v>6</v>
      </c>
      <c r="C70" s="34" t="s">
        <v>7</v>
      </c>
      <c r="D70" s="35" t="s">
        <v>676</v>
      </c>
      <c r="E70" s="36" t="str">
        <f>IFERROR(VLOOKUP(D70,'Master List'!D:H,2,FALSE),"NA")</f>
        <v>500605</v>
      </c>
      <c r="F70" s="37" t="str">
        <f>IFERROR(VLOOKUP(D70,'Master List'!D:H,3,FALSE),"NA")</f>
        <v>500605</v>
      </c>
      <c r="G70" s="38" t="str">
        <f>IFERROR(VLOOKUP(D70,'Master List'!D:H,4,FALSE),"NA")</f>
        <v>500605</v>
      </c>
      <c r="H70" s="39" t="str">
        <f>IFERROR(VLOOKUP(D70,'Master List'!D:H,5,FALSE),"NA")</f>
        <v>Photography.</v>
      </c>
      <c r="I70" s="19"/>
      <c r="J70" s="20"/>
      <c r="K70" s="18"/>
      <c r="L70" s="18"/>
    </row>
    <row r="71" spans="1:12" x14ac:dyDescent="0.3">
      <c r="A71" s="33">
        <v>1</v>
      </c>
      <c r="B71" s="33" t="s">
        <v>6</v>
      </c>
      <c r="C71" s="34" t="s">
        <v>7</v>
      </c>
      <c r="D71" s="35" t="s">
        <v>827</v>
      </c>
      <c r="E71" s="36" t="str">
        <f>IFERROR(VLOOKUP(D71,'Master List'!D:H,2,FALSE),"NA")</f>
        <v>520203</v>
      </c>
      <c r="F71" s="37" t="str">
        <f>IFERROR(VLOOKUP(D71,'Master List'!D:H,3,FALSE),"NA")</f>
        <v>520203</v>
      </c>
      <c r="G71" s="38" t="str">
        <f>IFERROR(VLOOKUP(D71,'Master List'!D:H,4,FALSE),"NA")</f>
        <v>520203</v>
      </c>
      <c r="H71" s="39" t="str">
        <f>IFERROR(VLOOKUP(D71,'Master List'!D:H,5,FALSE),"NA")</f>
        <v>Logistics, Materials, and Supply Chain Management.</v>
      </c>
      <c r="I71" s="19"/>
      <c r="J71" s="20"/>
      <c r="K71" s="18"/>
      <c r="L71" s="18"/>
    </row>
    <row r="72" spans="1:12" x14ac:dyDescent="0.3">
      <c r="A72" s="33">
        <v>1</v>
      </c>
      <c r="B72" s="33" t="s">
        <v>6</v>
      </c>
      <c r="C72" s="34" t="s">
        <v>7</v>
      </c>
      <c r="D72" s="35" t="s">
        <v>828</v>
      </c>
      <c r="E72" s="36" t="str">
        <f>IFERROR(VLOOKUP(D72,'Master List'!D:H,2,FALSE),"NA")</f>
        <v>520203</v>
      </c>
      <c r="F72" s="37" t="str">
        <f>IFERROR(VLOOKUP(D72,'Master List'!D:H,3,FALSE),"NA")</f>
        <v>520203</v>
      </c>
      <c r="G72" s="38" t="str">
        <f>IFERROR(VLOOKUP(D72,'Master List'!D:H,4,FALSE),"NA")</f>
        <v>520203</v>
      </c>
      <c r="H72" s="39" t="str">
        <f>IFERROR(VLOOKUP(D72,'Master List'!D:H,5,FALSE),"NA")</f>
        <v>Logistics, Materials, and Supply Chain Management.</v>
      </c>
      <c r="I72" s="19"/>
      <c r="J72" s="20"/>
      <c r="K72" s="18"/>
      <c r="L72" s="18"/>
    </row>
    <row r="73" spans="1:12" x14ac:dyDescent="0.3">
      <c r="A73" s="33">
        <v>1</v>
      </c>
      <c r="B73" s="33" t="s">
        <v>6</v>
      </c>
      <c r="C73" s="34" t="s">
        <v>7</v>
      </c>
      <c r="D73" s="35" t="s">
        <v>68</v>
      </c>
      <c r="E73" s="36" t="str">
        <f>IFERROR(VLOOKUP(D73,'Master List'!D:H,2,FALSE),"NA")</f>
        <v>430102</v>
      </c>
      <c r="F73" s="37" t="str">
        <f>IFERROR(VLOOKUP(D73,'Master List'!D:H,3,FALSE),"NA")</f>
        <v>430102</v>
      </c>
      <c r="G73" s="38" t="str">
        <f>IFERROR(VLOOKUP(D73,'Master List'!D:H,4,FALSE),"NA")</f>
        <v>430102</v>
      </c>
      <c r="H73" s="39" t="str">
        <f>IFERROR(VLOOKUP(D73,'Master List'!D:H,5,FALSE),"NA")</f>
        <v>Corrections.</v>
      </c>
      <c r="I73" s="19"/>
      <c r="J73" s="20"/>
      <c r="K73" s="18"/>
      <c r="L73" s="18"/>
    </row>
    <row r="74" spans="1:12" x14ac:dyDescent="0.3">
      <c r="A74" s="33">
        <v>1</v>
      </c>
      <c r="B74" s="33" t="s">
        <v>6</v>
      </c>
      <c r="C74" s="34" t="s">
        <v>7</v>
      </c>
      <c r="D74" s="35" t="s">
        <v>484</v>
      </c>
      <c r="E74" s="36" t="str">
        <f>IFERROR(VLOOKUP(D74,'Master List'!D:H,2,FALSE),"NA")</f>
        <v>430102</v>
      </c>
      <c r="F74" s="37" t="str">
        <f>IFERROR(VLOOKUP(D74,'Master List'!D:H,3,FALSE),"NA")</f>
        <v>430102</v>
      </c>
      <c r="G74" s="38" t="str">
        <f>IFERROR(VLOOKUP(D74,'Master List'!D:H,4,FALSE),"NA")</f>
        <v>430102</v>
      </c>
      <c r="H74" s="39" t="str">
        <f>IFERROR(VLOOKUP(D74,'Master List'!D:H,5,FALSE),"NA")</f>
        <v>Corrections.</v>
      </c>
      <c r="I74" s="19"/>
      <c r="J74" s="20"/>
      <c r="K74" s="18"/>
      <c r="L74" s="18"/>
    </row>
    <row r="75" spans="1:12" x14ac:dyDescent="0.3">
      <c r="A75" s="33">
        <v>1</v>
      </c>
      <c r="B75" s="33" t="s">
        <v>6</v>
      </c>
      <c r="C75" s="34" t="s">
        <v>7</v>
      </c>
      <c r="D75" s="35" t="s">
        <v>316</v>
      </c>
      <c r="E75" s="36" t="str">
        <f>IFERROR(VLOOKUP(D75,'Master List'!D:H,2,FALSE),"NA")</f>
        <v>430103</v>
      </c>
      <c r="F75" s="37" t="str">
        <f>IFERROR(VLOOKUP(D75,'Master List'!D:H,3,FALSE),"NA")</f>
        <v>430103</v>
      </c>
      <c r="G75" s="38" t="str">
        <f>IFERROR(VLOOKUP(D75,'Master List'!D:H,4,FALSE),"NA")</f>
        <v>430103</v>
      </c>
      <c r="H75" s="39" t="str">
        <f>IFERROR(VLOOKUP(D75,'Master List'!D:H,5,FALSE),"NA")</f>
        <v>Criminal Justice/Law Enforcement Administration.</v>
      </c>
      <c r="I75" s="19"/>
      <c r="J75" s="20"/>
      <c r="K75" s="18"/>
      <c r="L75" s="18"/>
    </row>
    <row r="76" spans="1:12" x14ac:dyDescent="0.3">
      <c r="A76" s="33">
        <v>1</v>
      </c>
      <c r="B76" s="33" t="s">
        <v>6</v>
      </c>
      <c r="C76" s="34" t="s">
        <v>7</v>
      </c>
      <c r="D76" s="35" t="s">
        <v>395</v>
      </c>
      <c r="E76" s="36" t="str">
        <f>IFERROR(VLOOKUP(D76,'Master List'!D:H,2,FALSE),"NA")</f>
        <v>430106</v>
      </c>
      <c r="F76" s="37" t="str">
        <f>IFERROR(VLOOKUP(D76,'Master List'!D:H,3,FALSE),"NA")</f>
        <v>430406</v>
      </c>
      <c r="G76" s="38" t="str">
        <f>IFERROR(VLOOKUP(D76,'Master List'!D:H,4,FALSE),"NA")</f>
        <v>430406</v>
      </c>
      <c r="H76" s="39" t="str">
        <f>IFERROR(VLOOKUP(D76,'Master List'!D:H,5,FALSE),"NA")</f>
        <v>Forensic Science and Technology.</v>
      </c>
      <c r="I76" s="19"/>
      <c r="J76" s="20"/>
      <c r="K76" s="18"/>
      <c r="L76" s="18"/>
    </row>
    <row r="77" spans="1:12" x14ac:dyDescent="0.3">
      <c r="A77" s="33">
        <v>1</v>
      </c>
      <c r="B77" s="33" t="s">
        <v>6</v>
      </c>
      <c r="C77" s="34" t="s">
        <v>7</v>
      </c>
      <c r="D77" s="35" t="s">
        <v>71</v>
      </c>
      <c r="E77" s="36" t="str">
        <f>IFERROR(VLOOKUP(D77,'Master List'!D:H,2,FALSE),"NA")</f>
        <v>430107</v>
      </c>
      <c r="F77" s="37" t="str">
        <f>IFERROR(VLOOKUP(D77,'Master List'!D:H,3,FALSE),"NA")</f>
        <v>430107</v>
      </c>
      <c r="G77" s="38" t="str">
        <f>IFERROR(VLOOKUP(D77,'Master List'!D:H,4,FALSE),"NA")</f>
        <v>430107</v>
      </c>
      <c r="H77" s="39" t="str">
        <f>IFERROR(VLOOKUP(D77,'Master List'!D:H,5,FALSE),"NA")</f>
        <v>Criminal Justice/Police Science.</v>
      </c>
      <c r="I77" s="19"/>
      <c r="J77" s="20"/>
      <c r="K77" s="18"/>
      <c r="L77" s="18"/>
    </row>
    <row r="78" spans="1:12" x14ac:dyDescent="0.3">
      <c r="A78" s="33">
        <v>1</v>
      </c>
      <c r="B78" s="33" t="s">
        <v>6</v>
      </c>
      <c r="C78" s="34" t="s">
        <v>7</v>
      </c>
      <c r="D78" s="35" t="s">
        <v>74</v>
      </c>
      <c r="E78" s="36" t="str">
        <f>IFERROR(VLOOKUP(D78,'Master List'!D:H,2,FALSE),"NA")</f>
        <v>430107</v>
      </c>
      <c r="F78" s="37" t="str">
        <f>IFERROR(VLOOKUP(D78,'Master List'!D:H,3,FALSE),"NA")</f>
        <v>430107</v>
      </c>
      <c r="G78" s="38" t="str">
        <f>IFERROR(VLOOKUP(D78,'Master List'!D:H,4,FALSE),"NA")</f>
        <v>430107</v>
      </c>
      <c r="H78" s="39" t="str">
        <f>IFERROR(VLOOKUP(D78,'Master List'!D:H,5,FALSE),"NA")</f>
        <v>Criminal Justice/Police Science.</v>
      </c>
      <c r="I78" s="19"/>
      <c r="J78" s="20"/>
      <c r="K78" s="18"/>
      <c r="L78" s="18"/>
    </row>
    <row r="79" spans="1:12" x14ac:dyDescent="0.3">
      <c r="A79" s="33">
        <v>1</v>
      </c>
      <c r="B79" s="33" t="s">
        <v>6</v>
      </c>
      <c r="C79" s="34" t="s">
        <v>7</v>
      </c>
      <c r="D79" s="35" t="s">
        <v>702</v>
      </c>
      <c r="E79" s="36" t="str">
        <f>IFERROR(VLOOKUP(D79,'Master List'!D:H,2,FALSE),"NA")</f>
        <v>430107</v>
      </c>
      <c r="F79" s="37" t="str">
        <f>IFERROR(VLOOKUP(D79,'Master List'!D:H,3,FALSE),"NA")</f>
        <v>430107</v>
      </c>
      <c r="G79" s="38" t="str">
        <f>IFERROR(VLOOKUP(D79,'Master List'!D:H,4,FALSE),"NA")</f>
        <v>430107</v>
      </c>
      <c r="H79" s="39" t="str">
        <f>IFERROR(VLOOKUP(D79,'Master List'!D:H,5,FALSE),"NA")</f>
        <v>Criminal Justice/Police Science.</v>
      </c>
      <c r="I79" s="19"/>
      <c r="J79" s="20"/>
      <c r="K79" s="18"/>
      <c r="L79" s="18"/>
    </row>
    <row r="80" spans="1:12" x14ac:dyDescent="0.3">
      <c r="A80" s="33">
        <v>1</v>
      </c>
      <c r="B80" s="33" t="s">
        <v>6</v>
      </c>
      <c r="C80" s="34" t="s">
        <v>7</v>
      </c>
      <c r="D80" s="35" t="s">
        <v>318</v>
      </c>
      <c r="E80" s="36" t="str">
        <f>IFERROR(VLOOKUP(D80,'Master List'!D:H,2,FALSE),"NA")</f>
        <v>430203</v>
      </c>
      <c r="F80" s="37" t="str">
        <f>IFERROR(VLOOKUP(D80,'Master List'!D:H,3,FALSE),"NA")</f>
        <v>430203</v>
      </c>
      <c r="G80" s="38" t="str">
        <f>IFERROR(VLOOKUP(D80,'Master List'!D:H,4,FALSE),"NA")</f>
        <v>430203</v>
      </c>
      <c r="H80" s="39" t="str">
        <f>IFERROR(VLOOKUP(D80,'Master List'!D:H,5,FALSE),"NA")</f>
        <v>Fire Science/Fire-fighting.</v>
      </c>
      <c r="I80" s="19"/>
      <c r="J80" s="20"/>
      <c r="K80" s="18"/>
      <c r="L80" s="18"/>
    </row>
    <row r="81" spans="1:12" x14ac:dyDescent="0.3">
      <c r="A81" s="33">
        <v>1</v>
      </c>
      <c r="B81" s="33" t="s">
        <v>6</v>
      </c>
      <c r="C81" s="34" t="s">
        <v>7</v>
      </c>
      <c r="D81" s="35" t="s">
        <v>579</v>
      </c>
      <c r="E81" s="36" t="str">
        <f>IFERROR(VLOOKUP(D81,'Master List'!D:H,2,FALSE),"NA")</f>
        <v>010605</v>
      </c>
      <c r="F81" s="37" t="str">
        <f>IFERROR(VLOOKUP(D81,'Master List'!D:H,3,FALSE),"NA")</f>
        <v>010605</v>
      </c>
      <c r="G81" s="38" t="str">
        <f>IFERROR(VLOOKUP(D81,'Master List'!D:H,4,FALSE),"NA")</f>
        <v>010605</v>
      </c>
      <c r="H81" s="39" t="str">
        <f>IFERROR(VLOOKUP(D81,'Master List'!D:H,5,FALSE),"NA")</f>
        <v>Landscaping and Groundskeeping.</v>
      </c>
      <c r="I81" s="19"/>
      <c r="J81" s="20"/>
      <c r="K81" s="18"/>
      <c r="L81" s="18"/>
    </row>
    <row r="82" spans="1:12" x14ac:dyDescent="0.3">
      <c r="A82" s="33">
        <v>1</v>
      </c>
      <c r="B82" s="33" t="s">
        <v>6</v>
      </c>
      <c r="C82" s="34" t="s">
        <v>7</v>
      </c>
      <c r="D82" s="35" t="s">
        <v>82</v>
      </c>
      <c r="E82" s="36" t="str">
        <f>IFERROR(VLOOKUP(D82,'Master List'!D:H,2,FALSE),"NA")</f>
        <v>510000</v>
      </c>
      <c r="F82" s="37" t="str">
        <f>IFERROR(VLOOKUP(D82,'Master List'!D:H,3,FALSE),"NA")</f>
        <v>510000</v>
      </c>
      <c r="G82" s="38">
        <f>IFERROR(VLOOKUP(D82,'Master List'!D:H,4,FALSE),"NA")</f>
        <v>510909</v>
      </c>
      <c r="H82" s="39" t="str">
        <f>IFERROR(VLOOKUP(D82,'Master List'!D:H,5,FALSE),"NA")</f>
        <v>Surgical Technology/Technologist</v>
      </c>
      <c r="I82" s="19"/>
      <c r="J82" s="20"/>
      <c r="K82" s="18"/>
      <c r="L82" s="18"/>
    </row>
    <row r="83" spans="1:12" x14ac:dyDescent="0.3">
      <c r="A83" s="33">
        <v>1</v>
      </c>
      <c r="B83" s="33" t="s">
        <v>6</v>
      </c>
      <c r="C83" s="34" t="s">
        <v>7</v>
      </c>
      <c r="D83" s="35" t="s">
        <v>525</v>
      </c>
      <c r="E83" s="36" t="str">
        <f>IFERROR(VLOOKUP(D83,'Master List'!D:H,2,FALSE),"NA")</f>
        <v>510601</v>
      </c>
      <c r="F83" s="37" t="str">
        <f>IFERROR(VLOOKUP(D83,'Master List'!D:H,3,FALSE),"NA")</f>
        <v>510601</v>
      </c>
      <c r="G83" s="38" t="str">
        <f>IFERROR(VLOOKUP(D83,'Master List'!D:H,4,FALSE),"NA")</f>
        <v>510601</v>
      </c>
      <c r="H83" s="39" t="str">
        <f>IFERROR(VLOOKUP(D83,'Master List'!D:H,5,FALSE),"NA")</f>
        <v>Dental Assisting/Assistant.</v>
      </c>
      <c r="I83" s="19"/>
      <c r="J83" s="20"/>
      <c r="K83" s="18"/>
      <c r="L83" s="18"/>
    </row>
    <row r="84" spans="1:12" x14ac:dyDescent="0.3">
      <c r="A84" s="33">
        <v>1</v>
      </c>
      <c r="B84" s="33" t="s">
        <v>6</v>
      </c>
      <c r="C84" s="34" t="s">
        <v>7</v>
      </c>
      <c r="D84" s="35" t="s">
        <v>84</v>
      </c>
      <c r="E84" s="36" t="str">
        <f>IFERROR(VLOOKUP(D84,'Master List'!D:H,2,FALSE),"NA")</f>
        <v>510602</v>
      </c>
      <c r="F84" s="37" t="str">
        <f>IFERROR(VLOOKUP(D84,'Master List'!D:H,3,FALSE),"NA")</f>
        <v>510602</v>
      </c>
      <c r="G84" s="38" t="str">
        <f>IFERROR(VLOOKUP(D84,'Master List'!D:H,4,FALSE),"NA")</f>
        <v>510602</v>
      </c>
      <c r="H84" s="39" t="str">
        <f>IFERROR(VLOOKUP(D84,'Master List'!D:H,5,FALSE),"NA")</f>
        <v>Dental Hygiene/Hygienist.</v>
      </c>
      <c r="I84" s="19"/>
      <c r="J84" s="20"/>
      <c r="K84" s="18"/>
      <c r="L84" s="18"/>
    </row>
    <row r="85" spans="1:12" x14ac:dyDescent="0.3">
      <c r="A85" s="33">
        <v>1</v>
      </c>
      <c r="B85" s="33" t="s">
        <v>6</v>
      </c>
      <c r="C85" s="34" t="s">
        <v>7</v>
      </c>
      <c r="D85" s="35" t="s">
        <v>326</v>
      </c>
      <c r="E85" s="36" t="str">
        <f>IFERROR(VLOOKUP(D85,'Master List'!D:H,2,FALSE),"NA")</f>
        <v>510801</v>
      </c>
      <c r="F85" s="37" t="str">
        <f>IFERROR(VLOOKUP(D85,'Master List'!D:H,3,FALSE),"NA")</f>
        <v>510801</v>
      </c>
      <c r="G85" s="38" t="str">
        <f>IFERROR(VLOOKUP(D85,'Master List'!D:H,4,FALSE),"NA")</f>
        <v>510801</v>
      </c>
      <c r="H85" s="39" t="str">
        <f>IFERROR(VLOOKUP(D85,'Master List'!D:H,5,FALSE),"NA")</f>
        <v>Medical/Clinical Assistant.</v>
      </c>
      <c r="I85" s="19"/>
      <c r="J85" s="20"/>
      <c r="K85" s="18"/>
      <c r="L85" s="18"/>
    </row>
    <row r="86" spans="1:12" x14ac:dyDescent="0.3">
      <c r="A86" s="33">
        <v>1</v>
      </c>
      <c r="B86" s="33" t="s">
        <v>6</v>
      </c>
      <c r="C86" s="34" t="s">
        <v>7</v>
      </c>
      <c r="D86" s="35" t="s">
        <v>87</v>
      </c>
      <c r="E86" s="36" t="str">
        <f>IFERROR(VLOOKUP(D86,'Master List'!D:H,2,FALSE),"NA")</f>
        <v>510806</v>
      </c>
      <c r="F86" s="37" t="str">
        <f>IFERROR(VLOOKUP(D86,'Master List'!D:H,3,FALSE),"NA")</f>
        <v>510806</v>
      </c>
      <c r="G86" s="38" t="str">
        <f>IFERROR(VLOOKUP(D86,'Master List'!D:H,4,FALSE),"NA")</f>
        <v>510806</v>
      </c>
      <c r="H86" s="39" t="str">
        <f>IFERROR(VLOOKUP(D86,'Master List'!D:H,5,FALSE),"NA")</f>
        <v>Physical Therapy Assistant.</v>
      </c>
      <c r="I86" s="19"/>
      <c r="J86" s="20"/>
      <c r="K86" s="18"/>
      <c r="L86" s="18"/>
    </row>
    <row r="87" spans="1:12" x14ac:dyDescent="0.3">
      <c r="A87" s="33">
        <v>1</v>
      </c>
      <c r="B87" s="33" t="s">
        <v>6</v>
      </c>
      <c r="C87" s="34" t="s">
        <v>7</v>
      </c>
      <c r="D87" s="35" t="s">
        <v>679</v>
      </c>
      <c r="E87" s="36" t="str">
        <f>IFERROR(VLOOKUP(D87,'Master List'!D:H,2,FALSE),"NA")</f>
        <v>510808</v>
      </c>
      <c r="F87" s="37" t="str">
        <f>IFERROR(VLOOKUP(D87,'Master List'!D:H,3,FALSE),"NA")</f>
        <v>018301</v>
      </c>
      <c r="G87" s="38" t="str">
        <f>IFERROR(VLOOKUP(D87,'Master List'!D:H,4,FALSE),"NA")</f>
        <v>018301</v>
      </c>
      <c r="H87" s="39" t="str">
        <f>IFERROR(VLOOKUP(D87,'Master List'!D:H,5,FALSE),"NA")</f>
        <v>Veterinary/Animal Health Technology/Technician and Veterinary Assistant.</v>
      </c>
      <c r="I87" s="19"/>
      <c r="J87" s="20"/>
      <c r="K87" s="18"/>
      <c r="L87" s="18"/>
    </row>
    <row r="88" spans="1:12" x14ac:dyDescent="0.3">
      <c r="A88" s="33">
        <v>1</v>
      </c>
      <c r="B88" s="33" t="s">
        <v>6</v>
      </c>
      <c r="C88" s="34" t="s">
        <v>7</v>
      </c>
      <c r="D88" s="35" t="s">
        <v>90</v>
      </c>
      <c r="E88" s="36" t="str">
        <f>IFERROR(VLOOKUP(D88,'Master List'!D:H,2,FALSE),"NA")</f>
        <v>510904</v>
      </c>
      <c r="F88" s="37" t="str">
        <f>IFERROR(VLOOKUP(D88,'Master List'!D:H,3,FALSE),"NA")</f>
        <v>510904</v>
      </c>
      <c r="G88" s="38" t="str">
        <f>IFERROR(VLOOKUP(D88,'Master List'!D:H,4,FALSE),"NA")</f>
        <v>510904</v>
      </c>
      <c r="H88" s="39" t="str">
        <f>IFERROR(VLOOKUP(D88,'Master List'!D:H,5,FALSE),"NA")</f>
        <v>Emergency Medical Technology/Technician (EMT Paramedic).</v>
      </c>
      <c r="I88" s="19"/>
      <c r="J88" s="20"/>
      <c r="K88" s="18"/>
      <c r="L88" s="18"/>
    </row>
    <row r="89" spans="1:12" x14ac:dyDescent="0.3">
      <c r="A89" s="33">
        <v>1</v>
      </c>
      <c r="B89" s="33" t="s">
        <v>6</v>
      </c>
      <c r="C89" s="34" t="s">
        <v>7</v>
      </c>
      <c r="D89" s="35" t="s">
        <v>91</v>
      </c>
      <c r="E89" s="36" t="str">
        <f>IFERROR(VLOOKUP(D89,'Master List'!D:H,2,FALSE),"NA")</f>
        <v>510907</v>
      </c>
      <c r="F89" s="37" t="str">
        <f>IFERROR(VLOOKUP(D89,'Master List'!D:H,3,FALSE),"NA")</f>
        <v>510907</v>
      </c>
      <c r="G89" s="38">
        <f>IFERROR(VLOOKUP(D89,'Master List'!D:H,4,FALSE),"NA")</f>
        <v>510911</v>
      </c>
      <c r="H89" s="39" t="str">
        <f>IFERROR(VLOOKUP(D89,'Master List'!D:H,5,FALSE),"NA")</f>
        <v>Radiologic Technology/Science - Radiographer</v>
      </c>
      <c r="I89" s="19"/>
      <c r="J89" s="20"/>
      <c r="K89" s="18"/>
      <c r="L89" s="18"/>
    </row>
    <row r="90" spans="1:12" x14ac:dyDescent="0.3">
      <c r="A90" s="33">
        <v>1</v>
      </c>
      <c r="B90" s="33" t="s">
        <v>6</v>
      </c>
      <c r="C90" s="34" t="s">
        <v>7</v>
      </c>
      <c r="D90" s="35" t="s">
        <v>94</v>
      </c>
      <c r="E90" s="36" t="str">
        <f>IFERROR(VLOOKUP(D90,'Master List'!D:H,2,FALSE),"NA")</f>
        <v>510908</v>
      </c>
      <c r="F90" s="37" t="str">
        <f>IFERROR(VLOOKUP(D90,'Master List'!D:H,3,FALSE),"NA")</f>
        <v>510908</v>
      </c>
      <c r="G90" s="38" t="str">
        <f>IFERROR(VLOOKUP(D90,'Master List'!D:H,4,FALSE),"NA")</f>
        <v>510908</v>
      </c>
      <c r="H90" s="39" t="str">
        <f>IFERROR(VLOOKUP(D90,'Master List'!D:H,5,FALSE),"NA")</f>
        <v>Respiratory Care Therapy/Therapist.</v>
      </c>
      <c r="I90" s="19"/>
      <c r="J90" s="20"/>
      <c r="K90" s="18"/>
      <c r="L90" s="18"/>
    </row>
    <row r="91" spans="1:12" x14ac:dyDescent="0.3">
      <c r="A91" s="33">
        <v>1</v>
      </c>
      <c r="B91" s="33" t="s">
        <v>6</v>
      </c>
      <c r="C91" s="34" t="s">
        <v>7</v>
      </c>
      <c r="D91" s="35" t="s">
        <v>98</v>
      </c>
      <c r="E91" s="36" t="str">
        <f>IFERROR(VLOOKUP(D91,'Master List'!D:H,2,FALSE),"NA")</f>
        <v>510910</v>
      </c>
      <c r="F91" s="37" t="str">
        <f>IFERROR(VLOOKUP(D91,'Master List'!D:H,3,FALSE),"NA")</f>
        <v>510910</v>
      </c>
      <c r="G91" s="38" t="str">
        <f>IFERROR(VLOOKUP(D91,'Master List'!D:H,4,FALSE),"NA")</f>
        <v>510910</v>
      </c>
      <c r="H91" s="39" t="str">
        <f>IFERROR(VLOOKUP(D91,'Master List'!D:H,5,FALSE),"NA")</f>
        <v>Diagnostic Medical Sonography/Sonographer and Ultrasound Technician.</v>
      </c>
      <c r="I91" s="19"/>
      <c r="J91" s="20"/>
      <c r="K91" s="18"/>
      <c r="L91" s="18"/>
    </row>
    <row r="92" spans="1:12" x14ac:dyDescent="0.3">
      <c r="A92" s="33">
        <v>1</v>
      </c>
      <c r="B92" s="33" t="s">
        <v>6</v>
      </c>
      <c r="C92" s="34" t="s">
        <v>7</v>
      </c>
      <c r="D92" s="35" t="s">
        <v>332</v>
      </c>
      <c r="E92" s="36" t="str">
        <f>IFERROR(VLOOKUP(D92,'Master List'!D:H,2,FALSE),"NA")</f>
        <v>511004</v>
      </c>
      <c r="F92" s="37" t="str">
        <f>IFERROR(VLOOKUP(D92,'Master List'!D:H,3,FALSE),"NA")</f>
        <v>511004</v>
      </c>
      <c r="G92" s="38" t="str">
        <f>IFERROR(VLOOKUP(D92,'Master List'!D:H,4,FALSE),"NA")</f>
        <v>511004</v>
      </c>
      <c r="H92" s="39" t="str">
        <f>IFERROR(VLOOKUP(D92,'Master List'!D:H,5,FALSE),"NA")</f>
        <v>Clinical/Medical Laboratory Technician.</v>
      </c>
      <c r="I92" s="19"/>
      <c r="J92" s="20"/>
      <c r="K92" s="18"/>
      <c r="L92" s="18"/>
    </row>
    <row r="93" spans="1:12" x14ac:dyDescent="0.3">
      <c r="A93" s="33">
        <v>1</v>
      </c>
      <c r="B93" s="33" t="s">
        <v>6</v>
      </c>
      <c r="C93" s="34" t="s">
        <v>7</v>
      </c>
      <c r="D93" s="35" t="s">
        <v>341</v>
      </c>
      <c r="E93" s="36" t="str">
        <f>IFERROR(VLOOKUP(D93,'Master List'!D:H,2,FALSE),"NA")</f>
        <v>512211</v>
      </c>
      <c r="F93" s="37" t="str">
        <f>IFERROR(VLOOKUP(D93,'Master List'!D:H,3,FALSE),"NA")</f>
        <v>512211</v>
      </c>
      <c r="G93" s="38">
        <f>IFERROR(VLOOKUP(D93,'Master List'!D:H,4,FALSE),"NA")</f>
        <v>512208</v>
      </c>
      <c r="H93" s="39" t="str">
        <f>IFERROR(VLOOKUP(D93,'Master List'!D:H,5,FALSE),"NA")</f>
        <v>Community Health and Preventive Medicine</v>
      </c>
      <c r="I93" s="19"/>
      <c r="J93" s="20"/>
      <c r="K93" s="18"/>
      <c r="L93" s="18"/>
    </row>
    <row r="94" spans="1:12" x14ac:dyDescent="0.3">
      <c r="A94" s="33">
        <v>1</v>
      </c>
      <c r="B94" s="33" t="s">
        <v>6</v>
      </c>
      <c r="C94" s="34" t="s">
        <v>7</v>
      </c>
      <c r="D94" s="35" t="s">
        <v>101</v>
      </c>
      <c r="E94" s="36" t="str">
        <f>IFERROR(VLOOKUP(D94,'Master List'!D:H,2,FALSE),"NA")</f>
        <v>513801</v>
      </c>
      <c r="F94" s="37" t="str">
        <f>IFERROR(VLOOKUP(D94,'Master List'!D:H,3,FALSE),"NA")</f>
        <v>513801</v>
      </c>
      <c r="G94" s="38" t="str">
        <f>IFERROR(VLOOKUP(D94,'Master List'!D:H,4,FALSE),"NA")</f>
        <v>513801</v>
      </c>
      <c r="H94" s="39" t="str">
        <f>IFERROR(VLOOKUP(D94,'Master List'!D:H,5,FALSE),"NA")</f>
        <v>Registered Nursing/Registered Nurse.</v>
      </c>
      <c r="I94" s="19"/>
      <c r="J94" s="20"/>
      <c r="K94" s="18"/>
      <c r="L94" s="18"/>
    </row>
    <row r="95" spans="1:12" x14ac:dyDescent="0.3">
      <c r="A95" s="33">
        <v>1</v>
      </c>
      <c r="B95" s="33" t="s">
        <v>6</v>
      </c>
      <c r="C95" s="34" t="s">
        <v>7</v>
      </c>
      <c r="D95" s="35" t="s">
        <v>400</v>
      </c>
      <c r="E95" s="36" t="str">
        <f>IFERROR(VLOOKUP(D95,'Master List'!D:H,2,FALSE),"NA")</f>
        <v>131210</v>
      </c>
      <c r="F95" s="37" t="str">
        <f>IFERROR(VLOOKUP(D95,'Master List'!D:H,3,FALSE),"NA")</f>
        <v>131210</v>
      </c>
      <c r="G95" s="38" t="str">
        <f>IFERROR(VLOOKUP(D95,'Master List'!D:H,4,FALSE),"NA")</f>
        <v>131210</v>
      </c>
      <c r="H95" s="39" t="str">
        <f>IFERROR(VLOOKUP(D95,'Master List'!D:H,5,FALSE),"NA")</f>
        <v>Early Childhood Education and Teaching.</v>
      </c>
      <c r="I95" s="19"/>
      <c r="J95" s="20"/>
      <c r="K95" s="18"/>
      <c r="L95" s="18"/>
    </row>
    <row r="96" spans="1:12" x14ac:dyDescent="0.3">
      <c r="A96" s="33">
        <v>1</v>
      </c>
      <c r="B96" s="33" t="s">
        <v>6</v>
      </c>
      <c r="C96" s="34" t="s">
        <v>7</v>
      </c>
      <c r="D96" s="35" t="s">
        <v>403</v>
      </c>
      <c r="E96" s="36" t="str">
        <f>IFERROR(VLOOKUP(D96,'Master List'!D:H,2,FALSE),"NA")</f>
        <v>511599</v>
      </c>
      <c r="F96" s="37" t="str">
        <f>IFERROR(VLOOKUP(D96,'Master List'!D:H,3,FALSE),"NA")</f>
        <v>511599</v>
      </c>
      <c r="G96" s="38" t="str">
        <f>IFERROR(VLOOKUP(D96,'Master List'!D:H,4,FALSE),"NA")</f>
        <v>511599</v>
      </c>
      <c r="H96" s="39" t="str">
        <f>IFERROR(VLOOKUP(D96,'Master List'!D:H,5,FALSE),"NA")</f>
        <v>Mental and Social Health Services and Allied Professions, Other.</v>
      </c>
      <c r="I96" s="19"/>
      <c r="J96" s="20"/>
      <c r="K96" s="18"/>
      <c r="L96" s="18"/>
    </row>
    <row r="97" spans="1:12" x14ac:dyDescent="0.3">
      <c r="A97" s="33">
        <v>1</v>
      </c>
      <c r="B97" s="33" t="s">
        <v>6</v>
      </c>
      <c r="C97" s="34" t="s">
        <v>7</v>
      </c>
      <c r="D97" s="35" t="s">
        <v>167</v>
      </c>
      <c r="E97" s="36" t="str">
        <f>IFERROR(VLOOKUP(D97,'Master List'!D:H,2,FALSE),"NA")</f>
        <v>110103</v>
      </c>
      <c r="F97" s="37" t="str">
        <f>IFERROR(VLOOKUP(D97,'Master List'!D:H,3,FALSE),"NA")</f>
        <v>110103</v>
      </c>
      <c r="G97" s="38" t="str">
        <f>IFERROR(VLOOKUP(D97,'Master List'!D:H,4,FALSE),"NA")</f>
        <v>110103</v>
      </c>
      <c r="H97" s="39" t="str">
        <f>IFERROR(VLOOKUP(D97,'Master List'!D:H,5,FALSE),"NA")</f>
        <v>Information Technology.</v>
      </c>
      <c r="I97" s="19"/>
      <c r="J97" s="20"/>
      <c r="K97" s="18"/>
      <c r="L97" s="18"/>
    </row>
    <row r="98" spans="1:12" x14ac:dyDescent="0.3">
      <c r="A98" s="33">
        <v>1</v>
      </c>
      <c r="B98" s="33" t="s">
        <v>6</v>
      </c>
      <c r="C98" s="34" t="s">
        <v>7</v>
      </c>
      <c r="D98" s="35" t="s">
        <v>170</v>
      </c>
      <c r="E98" s="36" t="str">
        <f>IFERROR(VLOOKUP(D98,'Master List'!D:H,2,FALSE),"NA")</f>
        <v>110201</v>
      </c>
      <c r="F98" s="37" t="str">
        <f>IFERROR(VLOOKUP(D98,'Master List'!D:H,3,FALSE),"NA")</f>
        <v>110201</v>
      </c>
      <c r="G98" s="38" t="str">
        <f>IFERROR(VLOOKUP(D98,'Master List'!D:H,4,FALSE),"NA")</f>
        <v>110201</v>
      </c>
      <c r="H98" s="39" t="str">
        <f>IFERROR(VLOOKUP(D98,'Master List'!D:H,5,FALSE),"NA")</f>
        <v>Computer Programming/Programmer, General.</v>
      </c>
      <c r="I98" s="19"/>
      <c r="J98" s="20"/>
      <c r="K98" s="18"/>
      <c r="L98" s="18"/>
    </row>
    <row r="99" spans="1:12" x14ac:dyDescent="0.3">
      <c r="A99" s="33">
        <v>1</v>
      </c>
      <c r="B99" s="33" t="s">
        <v>6</v>
      </c>
      <c r="C99" s="34" t="s">
        <v>7</v>
      </c>
      <c r="D99" s="35" t="s">
        <v>106</v>
      </c>
      <c r="E99" s="36" t="str">
        <f>IFERROR(VLOOKUP(D99,'Master List'!D:H,2,FALSE),"NA")</f>
        <v>111001</v>
      </c>
      <c r="F99" s="37" t="str">
        <f>IFERROR(VLOOKUP(D99,'Master List'!D:H,3,FALSE),"NA")</f>
        <v>111001</v>
      </c>
      <c r="G99" s="38" t="str">
        <f>IFERROR(VLOOKUP(D99,'Master List'!D:H,4,FALSE),"NA")</f>
        <v>111001</v>
      </c>
      <c r="H99" s="39" t="str">
        <f>IFERROR(VLOOKUP(D99,'Master List'!D:H,5,FALSE),"NA")</f>
        <v>Network and System Administration/Administrator.</v>
      </c>
      <c r="I99" s="19"/>
      <c r="J99" s="20"/>
      <c r="K99" s="18"/>
      <c r="L99" s="18"/>
    </row>
    <row r="100" spans="1:12" x14ac:dyDescent="0.3">
      <c r="A100" s="33">
        <v>1</v>
      </c>
      <c r="B100" s="33" t="s">
        <v>6</v>
      </c>
      <c r="C100" s="34" t="s">
        <v>7</v>
      </c>
      <c r="D100" s="35" t="s">
        <v>107</v>
      </c>
      <c r="E100" s="36" t="str">
        <f>IFERROR(VLOOKUP(D100,'Master List'!D:H,2,FALSE),"NA")</f>
        <v>520201</v>
      </c>
      <c r="F100" s="37" t="str">
        <f>IFERROR(VLOOKUP(D100,'Master List'!D:H,3,FALSE),"NA")</f>
        <v>520201</v>
      </c>
      <c r="G100" s="38" t="str">
        <f>IFERROR(VLOOKUP(D100,'Master List'!D:H,4,FALSE),"NA")</f>
        <v>520201</v>
      </c>
      <c r="H100" s="39" t="str">
        <f>IFERROR(VLOOKUP(D100,'Master List'!D:H,5,FALSE),"NA")</f>
        <v>Business Administration and Management, General.</v>
      </c>
      <c r="I100" s="19"/>
      <c r="J100" s="20"/>
      <c r="K100" s="18"/>
      <c r="L100" s="18"/>
    </row>
    <row r="101" spans="1:12" x14ac:dyDescent="0.3">
      <c r="A101" s="33">
        <v>1</v>
      </c>
      <c r="B101" s="33" t="s">
        <v>6</v>
      </c>
      <c r="C101" s="34" t="s">
        <v>7</v>
      </c>
      <c r="D101" s="35" t="s">
        <v>351</v>
      </c>
      <c r="E101" s="36" t="str">
        <f>IFERROR(VLOOKUP(D101,'Master List'!D:H,2,FALSE),"NA")</f>
        <v>520204</v>
      </c>
      <c r="F101" s="37" t="str">
        <f>IFERROR(VLOOKUP(D101,'Master List'!D:H,3,FALSE),"NA")</f>
        <v>520204</v>
      </c>
      <c r="G101" s="38" t="str">
        <f>IFERROR(VLOOKUP(D101,'Master List'!D:H,4,FALSE),"NA")</f>
        <v>520204</v>
      </c>
      <c r="H101" s="39" t="str">
        <f>IFERROR(VLOOKUP(D101,'Master List'!D:H,5,FALSE),"NA")</f>
        <v>Office Management and Supervision.</v>
      </c>
      <c r="I101" s="19"/>
      <c r="J101" s="20"/>
      <c r="K101" s="18"/>
      <c r="L101" s="18"/>
    </row>
    <row r="102" spans="1:12" x14ac:dyDescent="0.3">
      <c r="A102" s="33">
        <v>1</v>
      </c>
      <c r="B102" s="33" t="s">
        <v>6</v>
      </c>
      <c r="C102" s="34" t="s">
        <v>7</v>
      </c>
      <c r="D102" s="35" t="s">
        <v>465</v>
      </c>
      <c r="E102" s="36" t="str">
        <f>IFERROR(VLOOKUP(D102,'Master List'!D:H,2,FALSE),"NA")</f>
        <v>090702</v>
      </c>
      <c r="F102" s="37" t="str">
        <f>IFERROR(VLOOKUP(D102,'Master List'!D:H,3,FALSE),"NA")</f>
        <v>090702</v>
      </c>
      <c r="G102" s="38" t="str">
        <f>IFERROR(VLOOKUP(D102,'Master List'!D:H,4,FALSE),"NA")</f>
        <v>090702</v>
      </c>
      <c r="H102" s="39" t="str">
        <f>IFERROR(VLOOKUP(D102,'Master List'!D:H,5,FALSE),"NA")</f>
        <v>Digital Communication and Media/Multimedia.</v>
      </c>
      <c r="I102" s="19"/>
      <c r="J102" s="20"/>
      <c r="K102" s="18"/>
      <c r="L102" s="18"/>
    </row>
    <row r="103" spans="1:12" x14ac:dyDescent="0.3">
      <c r="A103" s="33">
        <v>1</v>
      </c>
      <c r="B103" s="33" t="s">
        <v>6</v>
      </c>
      <c r="C103" s="34" t="s">
        <v>7</v>
      </c>
      <c r="D103" s="35" t="s">
        <v>583</v>
      </c>
      <c r="E103" s="36" t="str">
        <f>IFERROR(VLOOKUP(D103,'Master List'!D:H,2,FALSE),"NA")</f>
        <v>110803</v>
      </c>
      <c r="F103" s="37" t="str">
        <f>IFERROR(VLOOKUP(D103,'Master List'!D:H,3,FALSE),"NA")</f>
        <v>110803</v>
      </c>
      <c r="G103" s="38" t="str">
        <f>IFERROR(VLOOKUP(D103,'Master List'!D:H,4,FALSE),"NA")</f>
        <v>110803</v>
      </c>
      <c r="H103" s="39" t="str">
        <f>IFERROR(VLOOKUP(D103,'Master List'!D:H,5,FALSE),"NA")</f>
        <v>Computer Graphics.</v>
      </c>
      <c r="I103" s="19"/>
      <c r="J103" s="20"/>
      <c r="K103" s="18"/>
      <c r="L103" s="18"/>
    </row>
    <row r="104" spans="1:12" x14ac:dyDescent="0.3">
      <c r="A104" s="33">
        <v>1</v>
      </c>
      <c r="B104" s="33" t="s">
        <v>6</v>
      </c>
      <c r="C104" s="34" t="s">
        <v>7</v>
      </c>
      <c r="D104" s="35" t="s">
        <v>117</v>
      </c>
      <c r="E104" s="36" t="str">
        <f>IFERROR(VLOOKUP(D104,'Master List'!D:H,2,FALSE),"NA")</f>
        <v>120504</v>
      </c>
      <c r="F104" s="37" t="str">
        <f>IFERROR(VLOOKUP(D104,'Master List'!D:H,3,FALSE),"NA")</f>
        <v>120504</v>
      </c>
      <c r="G104" s="38" t="str">
        <f>IFERROR(VLOOKUP(D104,'Master List'!D:H,4,FALSE),"NA")</f>
        <v>120504</v>
      </c>
      <c r="H104" s="39" t="str">
        <f>IFERROR(VLOOKUP(D104,'Master List'!D:H,5,FALSE),"NA")</f>
        <v>Restaurant, Culinary, and Catering Management/Manager.</v>
      </c>
      <c r="I104" s="19"/>
      <c r="J104" s="20"/>
      <c r="K104" s="18"/>
      <c r="L104" s="18"/>
    </row>
    <row r="105" spans="1:12" x14ac:dyDescent="0.3">
      <c r="A105" s="33">
        <v>1</v>
      </c>
      <c r="B105" s="33" t="s">
        <v>6</v>
      </c>
      <c r="C105" s="34" t="s">
        <v>7</v>
      </c>
      <c r="D105" s="35" t="s">
        <v>120</v>
      </c>
      <c r="E105" s="36" t="str">
        <f>IFERROR(VLOOKUP(D105,'Master List'!D:H,2,FALSE),"NA")</f>
        <v>150000</v>
      </c>
      <c r="F105" s="37" t="str">
        <f>IFERROR(VLOOKUP(D105,'Master List'!D:H,3,FALSE),"NA")</f>
        <v>150000</v>
      </c>
      <c r="G105" s="38" t="str">
        <f>IFERROR(VLOOKUP(D105,'Master List'!D:H,4,FALSE),"NA")</f>
        <v>150000</v>
      </c>
      <c r="H105" s="39" t="str">
        <f>IFERROR(VLOOKUP(D105,'Master List'!D:H,5,FALSE),"NA")</f>
        <v>Engineering Technologies/Technicians, General.</v>
      </c>
      <c r="I105" s="19"/>
      <c r="J105" s="20"/>
      <c r="K105" s="18"/>
      <c r="L105" s="18"/>
    </row>
    <row r="106" spans="1:12" x14ac:dyDescent="0.3">
      <c r="A106" s="33">
        <v>1</v>
      </c>
      <c r="B106" s="33" t="s">
        <v>6</v>
      </c>
      <c r="C106" s="34" t="s">
        <v>7</v>
      </c>
      <c r="D106" s="35" t="s">
        <v>921</v>
      </c>
      <c r="E106" s="36" t="str">
        <f>IFERROR(VLOOKUP(D106,'Master List'!D:H,2,FALSE),"NA")</f>
        <v>150801</v>
      </c>
      <c r="F106" s="37" t="str">
        <f>IFERROR(VLOOKUP(D106,'Master List'!D:H,3,FALSE),"NA")</f>
        <v>150801</v>
      </c>
      <c r="G106" s="38" t="str">
        <f>IFERROR(VLOOKUP(D106,'Master List'!D:H,4,FALSE),"NA")</f>
        <v>150801</v>
      </c>
      <c r="H106" s="39" t="str">
        <f>IFERROR(VLOOKUP(D106,'Master List'!D:H,5,FALSE),"NA")</f>
        <v>Aeronautical/Aerospace Engineering Technology/Technician.</v>
      </c>
      <c r="I106" s="19"/>
      <c r="J106" s="20"/>
      <c r="K106" s="18"/>
      <c r="L106" s="18"/>
    </row>
    <row r="107" spans="1:12" x14ac:dyDescent="0.3">
      <c r="A107" s="33">
        <v>1</v>
      </c>
      <c r="B107" s="33" t="s">
        <v>6</v>
      </c>
      <c r="C107" s="34" t="s">
        <v>7</v>
      </c>
      <c r="D107" s="35" t="s">
        <v>405</v>
      </c>
      <c r="E107" s="36" t="str">
        <f>IFERROR(VLOOKUP(D107,'Master List'!D:H,2,FALSE),"NA")</f>
        <v>151301</v>
      </c>
      <c r="F107" s="37" t="str">
        <f>IFERROR(VLOOKUP(D107,'Master List'!D:H,3,FALSE),"NA")</f>
        <v>151301</v>
      </c>
      <c r="G107" s="38">
        <f>IFERROR(VLOOKUP(D107,'Master List'!D:H,4,FALSE),"NA")</f>
        <v>151302</v>
      </c>
      <c r="H107" s="39" t="str">
        <f>IFERROR(VLOOKUP(D107,'Master List'!D:H,5,FALSE),"NA")</f>
        <v>CAD/CADD Drafting and/or Design Technology/Technician</v>
      </c>
      <c r="I107" s="19"/>
      <c r="J107" s="20"/>
      <c r="K107" s="18"/>
      <c r="L107" s="18"/>
    </row>
    <row r="108" spans="1:12" x14ac:dyDescent="0.3">
      <c r="A108" s="33">
        <v>1</v>
      </c>
      <c r="B108" s="33" t="s">
        <v>6</v>
      </c>
      <c r="C108" s="34" t="s">
        <v>7</v>
      </c>
      <c r="D108" s="35" t="s">
        <v>406</v>
      </c>
      <c r="E108" s="36" t="str">
        <f>IFERROR(VLOOKUP(D108,'Master List'!D:H,2,FALSE),"NA")</f>
        <v>410301</v>
      </c>
      <c r="F108" s="37" t="str">
        <f>IFERROR(VLOOKUP(D108,'Master List'!D:H,3,FALSE),"NA")</f>
        <v>410301</v>
      </c>
      <c r="G108" s="38" t="str">
        <f>IFERROR(VLOOKUP(D108,'Master List'!D:H,4,FALSE),"NA")</f>
        <v>410301</v>
      </c>
      <c r="H108" s="39" t="str">
        <f>IFERROR(VLOOKUP(D108,'Master List'!D:H,5,FALSE),"NA")</f>
        <v>Chemical Technology/Technician.</v>
      </c>
      <c r="I108" s="19"/>
      <c r="J108" s="20"/>
      <c r="K108" s="18"/>
      <c r="L108" s="18"/>
    </row>
    <row r="109" spans="1:12" x14ac:dyDescent="0.3">
      <c r="A109" s="33">
        <v>1</v>
      </c>
      <c r="B109" s="33" t="s">
        <v>6</v>
      </c>
      <c r="C109" s="34" t="s">
        <v>7</v>
      </c>
      <c r="D109" s="35" t="s">
        <v>849</v>
      </c>
      <c r="E109" s="36" t="str">
        <f>IFERROR(VLOOKUP(D109,'Master List'!D:H,2,FALSE),"NA")</f>
        <v>520203</v>
      </c>
      <c r="F109" s="37" t="str">
        <f>IFERROR(VLOOKUP(D109,'Master List'!D:H,3,FALSE),"NA")</f>
        <v>520203</v>
      </c>
      <c r="G109" s="38" t="str">
        <f>IFERROR(VLOOKUP(D109,'Master List'!D:H,4,FALSE),"NA")</f>
        <v>520203</v>
      </c>
      <c r="H109" s="39" t="str">
        <f>IFERROR(VLOOKUP(D109,'Master List'!D:H,5,FALSE),"NA")</f>
        <v>Logistics, Materials, and Supply Chain Management.</v>
      </c>
      <c r="I109" s="19"/>
      <c r="J109" s="20"/>
      <c r="K109" s="18"/>
      <c r="L109" s="18"/>
    </row>
    <row r="110" spans="1:12" x14ac:dyDescent="0.3">
      <c r="A110" s="33">
        <v>1</v>
      </c>
      <c r="B110" s="33" t="s">
        <v>6</v>
      </c>
      <c r="C110" s="34" t="s">
        <v>7</v>
      </c>
      <c r="D110" s="35" t="s">
        <v>367</v>
      </c>
      <c r="E110" s="36" t="str">
        <f>IFERROR(VLOOKUP(D110,'Master List'!D:H,2,FALSE),"NA")</f>
        <v>520205</v>
      </c>
      <c r="F110" s="37" t="str">
        <f>IFERROR(VLOOKUP(D110,'Master List'!D:H,3,FALSE),"NA")</f>
        <v>520205</v>
      </c>
      <c r="G110" s="38" t="str">
        <f>IFERROR(VLOOKUP(D110,'Master List'!D:H,4,FALSE),"NA")</f>
        <v>520205</v>
      </c>
      <c r="H110" s="39" t="str">
        <f>IFERROR(VLOOKUP(D110,'Master List'!D:H,5,FALSE),"NA")</f>
        <v>Operations Management and Supervision.</v>
      </c>
      <c r="I110" s="19"/>
      <c r="J110" s="20"/>
      <c r="K110" s="18"/>
      <c r="L110" s="18"/>
    </row>
    <row r="111" spans="1:12" x14ac:dyDescent="0.3">
      <c r="A111" s="33">
        <v>1</v>
      </c>
      <c r="B111" s="33" t="s">
        <v>6</v>
      </c>
      <c r="C111" s="34" t="s">
        <v>7</v>
      </c>
      <c r="D111" s="35" t="s">
        <v>922</v>
      </c>
      <c r="E111" s="36" t="str">
        <f>IFERROR(VLOOKUP(D111,'Master List'!D:H,2,FALSE),"NA")</f>
        <v>131299</v>
      </c>
      <c r="F111" s="37" t="str">
        <f>IFERROR(VLOOKUP(D111,'Master List'!D:H,3,FALSE),"NA")</f>
        <v>131299</v>
      </c>
      <c r="G111" s="38" t="str">
        <f>IFERROR(VLOOKUP(D111,'Master List'!D:H,4,FALSE),"NA")</f>
        <v>131299</v>
      </c>
      <c r="H111" s="39" t="str">
        <f>IFERROR(VLOOKUP(D111,'Master List'!D:H,5,FALSE),"NA")</f>
        <v>Teacher Education and Professional Development, Specific Levels and Methods, Other.</v>
      </c>
      <c r="I111" s="19"/>
      <c r="J111" s="20"/>
      <c r="K111" s="18"/>
      <c r="L111" s="18"/>
    </row>
    <row r="112" spans="1:12" x14ac:dyDescent="0.3">
      <c r="A112" s="33">
        <v>1</v>
      </c>
      <c r="B112" s="33" t="s">
        <v>6</v>
      </c>
      <c r="C112" s="34" t="s">
        <v>7</v>
      </c>
      <c r="D112" s="35" t="s">
        <v>125</v>
      </c>
      <c r="E112" s="36" t="str">
        <f>IFERROR(VLOOKUP(D112,'Master List'!D:H,2,FALSE),"NA")</f>
        <v>220302</v>
      </c>
      <c r="F112" s="37" t="str">
        <f>IFERROR(VLOOKUP(D112,'Master List'!D:H,3,FALSE),"NA")</f>
        <v>220302</v>
      </c>
      <c r="G112" s="38" t="str">
        <f>IFERROR(VLOOKUP(D112,'Master List'!D:H,4,FALSE),"NA")</f>
        <v>220302</v>
      </c>
      <c r="H112" s="39" t="str">
        <f>IFERROR(VLOOKUP(D112,'Master List'!D:H,5,FALSE),"NA")</f>
        <v>Legal Assistant/Paralegal.</v>
      </c>
      <c r="I112" s="19"/>
      <c r="J112" s="20"/>
      <c r="K112" s="18"/>
      <c r="L112" s="18"/>
    </row>
    <row r="113" spans="1:12" x14ac:dyDescent="0.3">
      <c r="A113" s="33">
        <v>1</v>
      </c>
      <c r="B113" s="33" t="s">
        <v>6</v>
      </c>
      <c r="C113" s="34" t="s">
        <v>7</v>
      </c>
      <c r="D113" s="35" t="s">
        <v>128</v>
      </c>
      <c r="E113" s="36" t="str">
        <f>IFERROR(VLOOKUP(D113,'Master List'!D:H,2,FALSE),"NA")</f>
        <v>430103</v>
      </c>
      <c r="F113" s="37" t="str">
        <f>IFERROR(VLOOKUP(D113,'Master List'!D:H,3,FALSE),"NA")</f>
        <v>430103</v>
      </c>
      <c r="G113" s="38" t="str">
        <f>IFERROR(VLOOKUP(D113,'Master List'!D:H,4,FALSE),"NA")</f>
        <v>430103</v>
      </c>
      <c r="H113" s="39" t="str">
        <f>IFERROR(VLOOKUP(D113,'Master List'!D:H,5,FALSE),"NA")</f>
        <v>Criminal Justice/Law Enforcement Administration.</v>
      </c>
      <c r="I113" s="19"/>
      <c r="J113" s="20"/>
      <c r="K113" s="18"/>
      <c r="L113" s="18"/>
    </row>
    <row r="114" spans="1:12" x14ac:dyDescent="0.3">
      <c r="A114" s="33">
        <v>1</v>
      </c>
      <c r="B114" s="33" t="s">
        <v>6</v>
      </c>
      <c r="C114" s="34" t="s">
        <v>7</v>
      </c>
      <c r="D114" s="35" t="s">
        <v>407</v>
      </c>
      <c r="E114" s="36" t="str">
        <f>IFERROR(VLOOKUP(D114,'Master List'!D:H,2,FALSE),"NA")</f>
        <v>430106</v>
      </c>
      <c r="F114" s="37" t="str">
        <f>IFERROR(VLOOKUP(D114,'Master List'!D:H,3,FALSE),"NA")</f>
        <v>430406</v>
      </c>
      <c r="G114" s="38" t="str">
        <f>IFERROR(VLOOKUP(D114,'Master List'!D:H,4,FALSE),"NA")</f>
        <v>430406</v>
      </c>
      <c r="H114" s="39" t="str">
        <f>IFERROR(VLOOKUP(D114,'Master List'!D:H,5,FALSE),"NA")</f>
        <v>Forensic Science and Technology.</v>
      </c>
      <c r="I114" s="19"/>
      <c r="J114" s="20"/>
      <c r="K114" s="18"/>
      <c r="L114" s="18"/>
    </row>
    <row r="115" spans="1:12" x14ac:dyDescent="0.3">
      <c r="A115" s="33">
        <v>1</v>
      </c>
      <c r="B115" s="33" t="s">
        <v>6</v>
      </c>
      <c r="C115" s="34" t="s">
        <v>7</v>
      </c>
      <c r="D115" s="35" t="s">
        <v>375</v>
      </c>
      <c r="E115" s="36" t="str">
        <f>IFERROR(VLOOKUP(D115,'Master List'!D:H,2,FALSE),"NA")</f>
        <v>430201</v>
      </c>
      <c r="F115" s="37" t="str">
        <f>IFERROR(VLOOKUP(D115,'Master List'!D:H,3,FALSE),"NA")</f>
        <v>430201</v>
      </c>
      <c r="G115" s="38" t="str">
        <f>IFERROR(VLOOKUP(D115,'Master List'!D:H,4,FALSE),"NA")</f>
        <v>430201</v>
      </c>
      <c r="H115" s="39" t="str">
        <f>IFERROR(VLOOKUP(D115,'Master List'!D:H,5,FALSE),"NA")</f>
        <v>Fire Prevention and Safety Technology/Technician.</v>
      </c>
      <c r="I115" s="19"/>
      <c r="J115" s="20"/>
      <c r="K115" s="18"/>
      <c r="L115" s="18"/>
    </row>
    <row r="116" spans="1:12" x14ac:dyDescent="0.3">
      <c r="A116" s="40"/>
      <c r="B116" s="40"/>
      <c r="C116" s="40"/>
      <c r="D116" s="41"/>
      <c r="E116" s="42"/>
      <c r="F116" s="42"/>
      <c r="G116" s="43"/>
      <c r="H116" s="40"/>
      <c r="I116" s="40"/>
      <c r="J116" s="40"/>
      <c r="K116" s="44"/>
      <c r="L116" s="44"/>
    </row>
    <row r="117" spans="1:12" x14ac:dyDescent="0.3">
      <c r="A117" s="45"/>
      <c r="B117" s="45"/>
      <c r="C117" s="45"/>
      <c r="D117" s="46"/>
      <c r="E117" s="47"/>
      <c r="F117" s="47"/>
      <c r="G117" s="48"/>
      <c r="H117" s="45"/>
      <c r="I117" s="45"/>
      <c r="J117" s="45"/>
      <c r="K117" s="49"/>
      <c r="L117" s="49"/>
    </row>
    <row r="118" spans="1:12" x14ac:dyDescent="0.3">
      <c r="A118" s="45"/>
      <c r="B118" s="45"/>
      <c r="C118" s="45"/>
      <c r="D118" s="46"/>
      <c r="E118" s="47"/>
      <c r="F118" s="47"/>
      <c r="G118" s="48"/>
      <c r="H118" s="45"/>
      <c r="I118" s="45"/>
      <c r="J118" s="45"/>
      <c r="K118" s="49"/>
      <c r="L118" s="49"/>
    </row>
    <row r="119" spans="1:12" x14ac:dyDescent="0.3">
      <c r="A119" s="45"/>
      <c r="B119" s="45"/>
      <c r="C119" s="45"/>
      <c r="D119" s="46"/>
      <c r="E119" s="47"/>
      <c r="F119" s="47"/>
      <c r="G119" s="48"/>
      <c r="H119" s="45"/>
      <c r="I119" s="45"/>
      <c r="J119" s="45"/>
      <c r="K119" s="49"/>
      <c r="L119" s="49"/>
    </row>
    <row r="120" spans="1:12" x14ac:dyDescent="0.3">
      <c r="A120" s="45"/>
      <c r="B120" s="45"/>
      <c r="C120" s="45"/>
      <c r="D120" s="46"/>
      <c r="E120" s="47"/>
      <c r="F120" s="47"/>
      <c r="G120" s="48"/>
      <c r="H120" s="45"/>
      <c r="I120" s="45"/>
      <c r="J120" s="45"/>
      <c r="K120" s="49"/>
      <c r="L120" s="49"/>
    </row>
    <row r="121" spans="1:12" x14ac:dyDescent="0.3">
      <c r="A121" s="45"/>
      <c r="B121" s="45"/>
      <c r="C121" s="45"/>
      <c r="D121" s="46"/>
      <c r="E121" s="47"/>
      <c r="F121" s="47"/>
      <c r="G121" s="48"/>
      <c r="H121" s="45"/>
      <c r="I121" s="45"/>
      <c r="J121" s="45"/>
      <c r="K121" s="49"/>
      <c r="L121" s="49"/>
    </row>
    <row r="122" spans="1:12" x14ac:dyDescent="0.3">
      <c r="A122" s="45"/>
      <c r="B122" s="45"/>
      <c r="C122" s="45"/>
      <c r="D122" s="46"/>
      <c r="E122" s="47"/>
      <c r="F122" s="47"/>
      <c r="G122" s="48"/>
      <c r="H122" s="45"/>
      <c r="I122" s="45"/>
      <c r="J122" s="45"/>
      <c r="K122" s="49"/>
      <c r="L122" s="49"/>
    </row>
    <row r="123" spans="1:12" x14ac:dyDescent="0.3">
      <c r="A123" s="45"/>
      <c r="B123" s="45"/>
      <c r="C123" s="45"/>
      <c r="D123" s="46"/>
      <c r="E123" s="47"/>
      <c r="F123" s="47"/>
      <c r="G123" s="48"/>
      <c r="H123" s="45"/>
      <c r="I123" s="45"/>
      <c r="J123" s="45"/>
      <c r="K123" s="49"/>
      <c r="L123" s="49"/>
    </row>
    <row r="124" spans="1:12" x14ac:dyDescent="0.3">
      <c r="A124" s="45"/>
      <c r="B124" s="45"/>
      <c r="C124" s="45"/>
      <c r="D124" s="46"/>
      <c r="E124" s="47"/>
      <c r="F124" s="47"/>
      <c r="G124" s="48"/>
      <c r="H124" s="45"/>
      <c r="I124" s="45"/>
      <c r="J124" s="45"/>
      <c r="K124" s="49"/>
      <c r="L124" s="49"/>
    </row>
    <row r="125" spans="1:12" x14ac:dyDescent="0.3">
      <c r="A125" s="45"/>
      <c r="B125" s="45"/>
      <c r="C125" s="45"/>
      <c r="D125" s="46"/>
      <c r="E125" s="47"/>
      <c r="F125" s="47"/>
      <c r="G125" s="48"/>
      <c r="H125" s="45"/>
      <c r="I125" s="45"/>
      <c r="J125" s="45"/>
      <c r="K125" s="49"/>
      <c r="L125" s="49"/>
    </row>
    <row r="126" spans="1:12" x14ac:dyDescent="0.3">
      <c r="K126" s="26"/>
    </row>
    <row r="127" spans="1:12" x14ac:dyDescent="0.3">
      <c r="K127" s="26"/>
    </row>
    <row r="128" spans="1:12" x14ac:dyDescent="0.3">
      <c r="K128" s="26"/>
    </row>
    <row r="129" spans="11:11" x14ac:dyDescent="0.3">
      <c r="K129" s="26"/>
    </row>
    <row r="130" spans="11:11" x14ac:dyDescent="0.3">
      <c r="K130" s="26"/>
    </row>
    <row r="131" spans="11:11" x14ac:dyDescent="0.3">
      <c r="K131" s="26"/>
    </row>
    <row r="132" spans="11:11" x14ac:dyDescent="0.3">
      <c r="K132" s="26"/>
    </row>
    <row r="133" spans="11:11" x14ac:dyDescent="0.3">
      <c r="K133" s="26"/>
    </row>
    <row r="134" spans="11:11" x14ac:dyDescent="0.3">
      <c r="K134" s="26"/>
    </row>
    <row r="135" spans="11:11" x14ac:dyDescent="0.3">
      <c r="K135" s="26"/>
    </row>
    <row r="136" spans="11:11" x14ac:dyDescent="0.3">
      <c r="K136" s="26"/>
    </row>
    <row r="137" spans="11:11" x14ac:dyDescent="0.3">
      <c r="K137" s="26"/>
    </row>
    <row r="138" spans="11:11" x14ac:dyDescent="0.3">
      <c r="K138" s="26"/>
    </row>
    <row r="139" spans="11:11" x14ac:dyDescent="0.3">
      <c r="K139" s="26"/>
    </row>
    <row r="140" spans="11:11" x14ac:dyDescent="0.3">
      <c r="K140" s="26"/>
    </row>
    <row r="141" spans="11:11" x14ac:dyDescent="0.3">
      <c r="K141" s="26"/>
    </row>
    <row r="142" spans="11:11" x14ac:dyDescent="0.3">
      <c r="K142" s="26"/>
    </row>
    <row r="143" spans="11:11" x14ac:dyDescent="0.3">
      <c r="K143" s="26"/>
    </row>
    <row r="144" spans="11:11" x14ac:dyDescent="0.3">
      <c r="K144" s="26"/>
    </row>
    <row r="145" spans="11:11" x14ac:dyDescent="0.3">
      <c r="K145" s="26"/>
    </row>
    <row r="146" spans="11:11" x14ac:dyDescent="0.3">
      <c r="K146" s="26"/>
    </row>
    <row r="147" spans="11:11" x14ac:dyDescent="0.3">
      <c r="K147" s="26"/>
    </row>
    <row r="148" spans="11:11" x14ac:dyDescent="0.3">
      <c r="K148" s="26"/>
    </row>
    <row r="149" spans="11:11" x14ac:dyDescent="0.3">
      <c r="K149" s="26"/>
    </row>
    <row r="150" spans="11:11" x14ac:dyDescent="0.3">
      <c r="K150" s="26"/>
    </row>
    <row r="151" spans="11:11" x14ac:dyDescent="0.3">
      <c r="K151" s="26"/>
    </row>
  </sheetData>
  <sheetProtection algorithmName="SHA-512" hashValue="+sPLbiSqJ95ZPCiUA+08szMTacJ7G7WQDjJmc0G8UmiJTwh3aTy4Nt1BHYHYN6TwBB2q60xU5GL5SkNonE8rAg==" saltValue="o2ve5JzEJLiTtAqATFDBBQ==" spinCount="100000" sheet="1" objects="1" scenarios="1" sort="0" autoFilter="0"/>
  <autoFilter ref="A2:L115"/>
  <mergeCells count="3">
    <mergeCell ref="A1:D1"/>
    <mergeCell ref="E1:H1"/>
    <mergeCell ref="I1:L1"/>
  </mergeCells>
  <dataValidations count="1">
    <dataValidation type="list" allowBlank="1" showInputMessage="1" showErrorMessage="1" sqref="I3:I115">
      <formula1>"Agree,Disagree"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9"/>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25" customWidth="1"/>
    <col min="6" max="6" width="12.5546875" style="25" customWidth="1"/>
    <col min="7" max="7" width="13.6640625" style="25"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81" customHeight="1" x14ac:dyDescent="0.3">
      <c r="A1" s="95"/>
      <c r="B1" s="95"/>
      <c r="C1" s="95"/>
      <c r="D1" s="95"/>
      <c r="E1" s="100" t="s">
        <v>2145</v>
      </c>
      <c r="F1" s="100"/>
      <c r="G1" s="100"/>
      <c r="H1" s="100"/>
      <c r="I1" s="97" t="s">
        <v>0</v>
      </c>
      <c r="J1" s="98"/>
      <c r="K1" s="98"/>
      <c r="L1" s="99"/>
    </row>
    <row r="2" spans="1:12" s="27" customFormat="1" ht="72" customHeight="1" x14ac:dyDescent="0.3">
      <c r="A2" s="28" t="s">
        <v>1</v>
      </c>
      <c r="B2" s="28" t="s">
        <v>2146</v>
      </c>
      <c r="C2" s="28" t="s">
        <v>2147</v>
      </c>
      <c r="D2" s="28" t="s">
        <v>2148</v>
      </c>
      <c r="E2" s="29" t="s">
        <v>3</v>
      </c>
      <c r="F2" s="30" t="s">
        <v>4</v>
      </c>
      <c r="G2" s="31" t="s">
        <v>2149</v>
      </c>
      <c r="H2" s="50" t="s">
        <v>2150</v>
      </c>
      <c r="I2" s="15" t="s">
        <v>2151</v>
      </c>
      <c r="J2" s="15" t="s">
        <v>2152</v>
      </c>
      <c r="K2" s="15" t="s">
        <v>5</v>
      </c>
      <c r="L2" s="15" t="s">
        <v>2153</v>
      </c>
    </row>
    <row r="3" spans="1:12" x14ac:dyDescent="0.3">
      <c r="A3" s="33">
        <v>2</v>
      </c>
      <c r="B3" s="33" t="s">
        <v>2174</v>
      </c>
      <c r="C3" s="34" t="s">
        <v>726</v>
      </c>
      <c r="D3" s="51" t="s">
        <v>143</v>
      </c>
      <c r="E3" s="52" t="str">
        <f>IFERROR(VLOOKUP(D3,'Master List'!D:H,2,FALSE),"NA")</f>
        <v>520701</v>
      </c>
      <c r="F3" s="53" t="str">
        <f>IFERROR(VLOOKUP(D3,'Master List'!D:H,3,FALSE),"NA")</f>
        <v>520701</v>
      </c>
      <c r="G3" s="38" t="str">
        <f>IFERROR(VLOOKUP(D3,'Master List'!D:H,4,FALSE),"NA")</f>
        <v>520701</v>
      </c>
      <c r="H3" s="39" t="str">
        <f>IFERROR(VLOOKUP(D3,'Master List'!D:H,5,FALSE),"NA")</f>
        <v>Entrepreneurship/Entrepreneurial Studies.</v>
      </c>
      <c r="I3" s="19"/>
      <c r="J3" s="20"/>
      <c r="K3" s="18"/>
      <c r="L3" s="22"/>
    </row>
    <row r="4" spans="1:12" x14ac:dyDescent="0.3">
      <c r="A4" s="33">
        <v>2</v>
      </c>
      <c r="B4" s="33" t="s">
        <v>2174</v>
      </c>
      <c r="C4" s="34" t="s">
        <v>726</v>
      </c>
      <c r="D4" s="51" t="s">
        <v>146</v>
      </c>
      <c r="E4" s="52" t="str">
        <f>IFERROR(VLOOKUP(D4,'Master List'!D:H,2,FALSE),"NA")</f>
        <v>520904</v>
      </c>
      <c r="F4" s="53" t="str">
        <f>IFERROR(VLOOKUP(D4,'Master List'!D:H,3,FALSE),"NA")</f>
        <v>520904</v>
      </c>
      <c r="G4" s="38" t="str">
        <f>IFERROR(VLOOKUP(D4,'Master List'!D:H,4,FALSE),"NA")</f>
        <v>520904</v>
      </c>
      <c r="H4" s="39" t="str">
        <f>IFERROR(VLOOKUP(D4,'Master List'!D:H,5,FALSE),"NA")</f>
        <v>Hotel/Motel Administration/Management.</v>
      </c>
      <c r="I4" s="19"/>
      <c r="J4" s="20"/>
      <c r="K4" s="18"/>
      <c r="L4" s="22"/>
    </row>
    <row r="5" spans="1:12" x14ac:dyDescent="0.3">
      <c r="A5" s="33">
        <v>2</v>
      </c>
      <c r="B5" s="33" t="s">
        <v>2174</v>
      </c>
      <c r="C5" s="34" t="s">
        <v>726</v>
      </c>
      <c r="D5" s="51" t="s">
        <v>149</v>
      </c>
      <c r="E5" s="52" t="str">
        <f>IFERROR(VLOOKUP(D5,'Master List'!D:H,2,FALSE),"NA")</f>
        <v>520904</v>
      </c>
      <c r="F5" s="53" t="str">
        <f>IFERROR(VLOOKUP(D5,'Master List'!D:H,3,FALSE),"NA")</f>
        <v>520904</v>
      </c>
      <c r="G5" s="38" t="str">
        <f>IFERROR(VLOOKUP(D5,'Master List'!D:H,4,FALSE),"NA")</f>
        <v>520904</v>
      </c>
      <c r="H5" s="39" t="str">
        <f>IFERROR(VLOOKUP(D5,'Master List'!D:H,5,FALSE),"NA")</f>
        <v>Hotel/Motel Administration/Management.</v>
      </c>
      <c r="I5" s="19"/>
      <c r="J5" s="20"/>
      <c r="K5" s="18"/>
      <c r="L5" s="22"/>
    </row>
    <row r="6" spans="1:12" x14ac:dyDescent="0.3">
      <c r="A6" s="33">
        <v>2</v>
      </c>
      <c r="B6" s="33" t="s">
        <v>2174</v>
      </c>
      <c r="C6" s="34" t="s">
        <v>726</v>
      </c>
      <c r="D6" s="51" t="s">
        <v>176</v>
      </c>
      <c r="E6" s="52" t="str">
        <f>IFERROR(VLOOKUP(D6,'Master List'!D:H,2,FALSE),"NA")</f>
        <v>520905</v>
      </c>
      <c r="F6" s="53" t="str">
        <f>IFERROR(VLOOKUP(D6,'Master List'!D:H,3,FALSE),"NA")</f>
        <v>520905</v>
      </c>
      <c r="G6" s="38" t="str">
        <f>IFERROR(VLOOKUP(D6,'Master List'!D:H,4,FALSE),"NA")</f>
        <v>520905</v>
      </c>
      <c r="H6" s="39" t="str">
        <f>IFERROR(VLOOKUP(D6,'Master List'!D:H,5,FALSE),"NA")</f>
        <v>Restaurant/Food Services Management.</v>
      </c>
      <c r="I6" s="19"/>
      <c r="J6" s="20"/>
      <c r="K6" s="18"/>
      <c r="L6" s="22"/>
    </row>
    <row r="7" spans="1:12" x14ac:dyDescent="0.3">
      <c r="A7" s="33">
        <v>2</v>
      </c>
      <c r="B7" s="33" t="s">
        <v>2174</v>
      </c>
      <c r="C7" s="34" t="s">
        <v>726</v>
      </c>
      <c r="D7" s="51" t="s">
        <v>536</v>
      </c>
      <c r="E7" s="52" t="str">
        <f>IFERROR(VLOOKUP(D7,'Master List'!D:H,2,FALSE),"NA")</f>
        <v>520909</v>
      </c>
      <c r="F7" s="53" t="str">
        <f>IFERROR(VLOOKUP(D7,'Master List'!D:H,3,FALSE),"NA")</f>
        <v>520909</v>
      </c>
      <c r="G7" s="38" t="str">
        <f>IFERROR(VLOOKUP(D7,'Master List'!D:H,4,FALSE),"NA")</f>
        <v>520909</v>
      </c>
      <c r="H7" s="39" t="str">
        <f>IFERROR(VLOOKUP(D7,'Master List'!D:H,5,FALSE),"NA")</f>
        <v>Hotel, Motel, and Restaurant Management.</v>
      </c>
      <c r="I7" s="19"/>
      <c r="J7" s="20"/>
      <c r="K7" s="18"/>
      <c r="L7" s="22"/>
    </row>
    <row r="8" spans="1:12" x14ac:dyDescent="0.3">
      <c r="A8" s="33">
        <v>2</v>
      </c>
      <c r="B8" s="33" t="s">
        <v>2174</v>
      </c>
      <c r="C8" s="34" t="s">
        <v>726</v>
      </c>
      <c r="D8" s="51" t="s">
        <v>498</v>
      </c>
      <c r="E8" s="52" t="str">
        <f>IFERROR(VLOOKUP(D8,'Master List'!D:H,2,FALSE),"NA")</f>
        <v>521401</v>
      </c>
      <c r="F8" s="53" t="str">
        <f>IFERROR(VLOOKUP(D8,'Master List'!D:H,3,FALSE),"NA")</f>
        <v>521401</v>
      </c>
      <c r="G8" s="38" t="str">
        <f>IFERROR(VLOOKUP(D8,'Master List'!D:H,4,FALSE),"NA")</f>
        <v>521401</v>
      </c>
      <c r="H8" s="39" t="str">
        <f>IFERROR(VLOOKUP(D8,'Master List'!D:H,5,FALSE),"NA")</f>
        <v>Marketing/Marketing Management, General.</v>
      </c>
      <c r="I8" s="19"/>
      <c r="J8" s="20"/>
      <c r="K8" s="18"/>
      <c r="L8" s="22"/>
    </row>
    <row r="9" spans="1:12" x14ac:dyDescent="0.3">
      <c r="A9" s="33">
        <v>2</v>
      </c>
      <c r="B9" s="33" t="s">
        <v>2174</v>
      </c>
      <c r="C9" s="34" t="s">
        <v>726</v>
      </c>
      <c r="D9" s="51" t="s">
        <v>8</v>
      </c>
      <c r="E9" s="52" t="str">
        <f>IFERROR(VLOOKUP(D9,'Master List'!D:H,2,FALSE),"NA")</f>
        <v>510601</v>
      </c>
      <c r="F9" s="53" t="str">
        <f>IFERROR(VLOOKUP(D9,'Master List'!D:H,3,FALSE),"NA")</f>
        <v>510601</v>
      </c>
      <c r="G9" s="38" t="str">
        <f>IFERROR(VLOOKUP(D9,'Master List'!D:H,4,FALSE),"NA")</f>
        <v>510601</v>
      </c>
      <c r="H9" s="39" t="str">
        <f>IFERROR(VLOOKUP(D9,'Master List'!D:H,5,FALSE),"NA")</f>
        <v>Dental Assisting/Assistant.</v>
      </c>
      <c r="I9" s="19"/>
      <c r="J9" s="20"/>
      <c r="K9" s="18"/>
      <c r="L9" s="22"/>
    </row>
    <row r="10" spans="1:12" x14ac:dyDescent="0.3">
      <c r="A10" s="33">
        <v>2</v>
      </c>
      <c r="B10" s="33" t="s">
        <v>2174</v>
      </c>
      <c r="C10" s="34" t="s">
        <v>726</v>
      </c>
      <c r="D10" s="51" t="s">
        <v>619</v>
      </c>
      <c r="E10" s="52" t="str">
        <f>IFERROR(VLOOKUP(D10,'Master List'!D:H,2,FALSE),"NA")</f>
        <v>510702</v>
      </c>
      <c r="F10" s="53" t="str">
        <f>IFERROR(VLOOKUP(D10,'Master List'!D:H,3,FALSE),"NA")</f>
        <v>510702</v>
      </c>
      <c r="G10" s="38" t="str">
        <f>IFERROR(VLOOKUP(D10,'Master List'!D:H,4,FALSE),"NA")</f>
        <v>510702</v>
      </c>
      <c r="H10" s="39" t="str">
        <f>IFERROR(VLOOKUP(D10,'Master List'!D:H,5,FALSE),"NA")</f>
        <v>Hospital and Health Care Facilities Administration/Management.</v>
      </c>
      <c r="I10" s="19"/>
      <c r="J10" s="20"/>
      <c r="K10" s="18"/>
      <c r="L10" s="22"/>
    </row>
    <row r="11" spans="1:12" x14ac:dyDescent="0.3">
      <c r="A11" s="33">
        <v>2</v>
      </c>
      <c r="B11" s="33" t="s">
        <v>2174</v>
      </c>
      <c r="C11" s="34" t="s">
        <v>726</v>
      </c>
      <c r="D11" s="51" t="s">
        <v>202</v>
      </c>
      <c r="E11" s="52" t="str">
        <f>IFERROR(VLOOKUP(D11,'Master List'!D:H,2,FALSE),"NA")</f>
        <v>510801</v>
      </c>
      <c r="F11" s="53" t="str">
        <f>IFERROR(VLOOKUP(D11,'Master List'!D:H,3,FALSE),"NA")</f>
        <v>510801</v>
      </c>
      <c r="G11" s="38" t="str">
        <f>IFERROR(VLOOKUP(D11,'Master List'!D:H,4,FALSE),"NA")</f>
        <v>510801</v>
      </c>
      <c r="H11" s="39" t="str">
        <f>IFERROR(VLOOKUP(D11,'Master List'!D:H,5,FALSE),"NA")</f>
        <v>Medical/Clinical Assistant.</v>
      </c>
      <c r="I11" s="19"/>
      <c r="J11" s="20"/>
      <c r="K11" s="18"/>
      <c r="L11" s="22"/>
    </row>
    <row r="12" spans="1:12" x14ac:dyDescent="0.3">
      <c r="A12" s="33">
        <v>2</v>
      </c>
      <c r="B12" s="33" t="s">
        <v>2174</v>
      </c>
      <c r="C12" s="34" t="s">
        <v>726</v>
      </c>
      <c r="D12" s="51" t="s">
        <v>14</v>
      </c>
      <c r="E12" s="52" t="str">
        <f>IFERROR(VLOOKUP(D12,'Master List'!D:H,2,FALSE),"NA")</f>
        <v>510904</v>
      </c>
      <c r="F12" s="53" t="str">
        <f>IFERROR(VLOOKUP(D12,'Master List'!D:H,3,FALSE),"NA")</f>
        <v>510904</v>
      </c>
      <c r="G12" s="38" t="str">
        <f>IFERROR(VLOOKUP(D12,'Master List'!D:H,4,FALSE),"NA")</f>
        <v>510904</v>
      </c>
      <c r="H12" s="39" t="str">
        <f>IFERROR(VLOOKUP(D12,'Master List'!D:H,5,FALSE),"NA")</f>
        <v>Emergency Medical Technology/Technician (EMT Paramedic).</v>
      </c>
      <c r="I12" s="19"/>
      <c r="J12" s="20"/>
      <c r="K12" s="18"/>
      <c r="L12" s="22"/>
    </row>
    <row r="13" spans="1:12" x14ac:dyDescent="0.3">
      <c r="A13" s="33">
        <v>2</v>
      </c>
      <c r="B13" s="33" t="s">
        <v>2174</v>
      </c>
      <c r="C13" s="34" t="s">
        <v>726</v>
      </c>
      <c r="D13" s="51" t="s">
        <v>17</v>
      </c>
      <c r="E13" s="52" t="str">
        <f>IFERROR(VLOOKUP(D13,'Master List'!D:H,2,FALSE),"NA")</f>
        <v>510904</v>
      </c>
      <c r="F13" s="53" t="str">
        <f>IFERROR(VLOOKUP(D13,'Master List'!D:H,3,FALSE),"NA")</f>
        <v>510904</v>
      </c>
      <c r="G13" s="38" t="str">
        <f>IFERROR(VLOOKUP(D13,'Master List'!D:H,4,FALSE),"NA")</f>
        <v>510904</v>
      </c>
      <c r="H13" s="39" t="str">
        <f>IFERROR(VLOOKUP(D13,'Master List'!D:H,5,FALSE),"NA")</f>
        <v>Emergency Medical Technology/Technician (EMT Paramedic).</v>
      </c>
      <c r="I13" s="19"/>
      <c r="J13" s="20"/>
      <c r="K13" s="18"/>
      <c r="L13" s="22"/>
    </row>
    <row r="14" spans="1:12" x14ac:dyDescent="0.3">
      <c r="A14" s="33">
        <v>2</v>
      </c>
      <c r="B14" s="33" t="s">
        <v>2174</v>
      </c>
      <c r="C14" s="34" t="s">
        <v>726</v>
      </c>
      <c r="D14" s="51" t="s">
        <v>727</v>
      </c>
      <c r="E14" s="52" t="str">
        <f>IFERROR(VLOOKUP(D14,'Master List'!D:H,2,FALSE),"NA")</f>
        <v>510905</v>
      </c>
      <c r="F14" s="53" t="str">
        <f>IFERROR(VLOOKUP(D14,'Master List'!D:H,3,FALSE),"NA")</f>
        <v>510905</v>
      </c>
      <c r="G14" s="38" t="str">
        <f>IFERROR(VLOOKUP(D14,'Master List'!D:H,4,FALSE),"NA")</f>
        <v>510905</v>
      </c>
      <c r="H14" s="39" t="str">
        <f>IFERROR(VLOOKUP(D14,'Master List'!D:H,5,FALSE),"NA")</f>
        <v>Nuclear Medical Technology/Technologist.</v>
      </c>
      <c r="I14" s="19"/>
      <c r="J14" s="20"/>
      <c r="K14" s="18"/>
      <c r="L14" s="22"/>
    </row>
    <row r="15" spans="1:12" x14ac:dyDescent="0.3">
      <c r="A15" s="33">
        <v>2</v>
      </c>
      <c r="B15" s="33" t="s">
        <v>2174</v>
      </c>
      <c r="C15" s="34" t="s">
        <v>726</v>
      </c>
      <c r="D15" s="51" t="s">
        <v>206</v>
      </c>
      <c r="E15" s="52" t="str">
        <f>IFERROR(VLOOKUP(D15,'Master List'!D:H,2,FALSE),"NA")</f>
        <v>510907</v>
      </c>
      <c r="F15" s="53" t="str">
        <f>IFERROR(VLOOKUP(D15,'Master List'!D:H,3,FALSE),"NA")</f>
        <v>510907</v>
      </c>
      <c r="G15" s="38" t="str">
        <f>IFERROR(VLOOKUP(D15,'Master List'!D:H,4,FALSE),"NA")</f>
        <v>510907</v>
      </c>
      <c r="H15" s="39" t="str">
        <f>IFERROR(VLOOKUP(D15,'Master List'!D:H,5,FALSE),"NA")</f>
        <v>Medical Radiologic Technology/Science - Radiation Therapist.</v>
      </c>
      <c r="I15" s="19"/>
      <c r="J15" s="20"/>
      <c r="K15" s="18"/>
      <c r="L15" s="22"/>
    </row>
    <row r="16" spans="1:12" x14ac:dyDescent="0.3">
      <c r="A16" s="33">
        <v>2</v>
      </c>
      <c r="B16" s="33" t="s">
        <v>2174</v>
      </c>
      <c r="C16" s="34" t="s">
        <v>726</v>
      </c>
      <c r="D16" s="51" t="s">
        <v>210</v>
      </c>
      <c r="E16" s="52" t="str">
        <f>IFERROR(VLOOKUP(D16,'Master List'!D:H,2,FALSE),"NA")</f>
        <v>NA</v>
      </c>
      <c r="F16" s="53" t="str">
        <f>IFERROR(VLOOKUP(D16,'Master List'!D:H,3,FALSE),"NA")</f>
        <v>NA</v>
      </c>
      <c r="G16" s="38" t="str">
        <f>IFERROR(VLOOKUP(D16,'Master List'!D:H,4,FALSE),"NA")</f>
        <v>NA</v>
      </c>
      <c r="H16" s="39" t="str">
        <f>IFERROR(VLOOKUP(D16,'Master List'!D:H,5,FALSE),"NA")</f>
        <v>NA</v>
      </c>
      <c r="I16" s="19"/>
      <c r="J16" s="20"/>
      <c r="K16" s="18"/>
      <c r="L16" s="22"/>
    </row>
    <row r="17" spans="1:12" x14ac:dyDescent="0.3">
      <c r="A17" s="33">
        <v>2</v>
      </c>
      <c r="B17" s="33" t="s">
        <v>2174</v>
      </c>
      <c r="C17" s="34" t="s">
        <v>726</v>
      </c>
      <c r="D17" s="51" t="s">
        <v>28</v>
      </c>
      <c r="E17" s="52" t="str">
        <f>IFERROR(VLOOKUP(D17,'Master List'!D:H,2,FALSE),"NA")</f>
        <v>190709</v>
      </c>
      <c r="F17" s="53" t="str">
        <f>IFERROR(VLOOKUP(D17,'Master List'!D:H,3,FALSE),"NA")</f>
        <v>190709</v>
      </c>
      <c r="G17" s="38" t="str">
        <f>IFERROR(VLOOKUP(D17,'Master List'!D:H,4,FALSE),"NA")</f>
        <v>190709</v>
      </c>
      <c r="H17" s="39" t="str">
        <f>IFERROR(VLOOKUP(D17,'Master List'!D:H,5,FALSE),"NA")</f>
        <v>Child Care Provider/Assistant.</v>
      </c>
      <c r="I17" s="19"/>
      <c r="J17" s="20"/>
      <c r="K17" s="18"/>
      <c r="L17" s="22"/>
    </row>
    <row r="18" spans="1:12" x14ac:dyDescent="0.3">
      <c r="A18" s="33">
        <v>2</v>
      </c>
      <c r="B18" s="33" t="s">
        <v>2174</v>
      </c>
      <c r="C18" s="34" t="s">
        <v>726</v>
      </c>
      <c r="D18" s="51" t="s">
        <v>483</v>
      </c>
      <c r="E18" s="52" t="str">
        <f>IFERROR(VLOOKUP(D18,'Master List'!D:H,2,FALSE),"NA")</f>
        <v>190709</v>
      </c>
      <c r="F18" s="53" t="str">
        <f>IFERROR(VLOOKUP(D18,'Master List'!D:H,3,FALSE),"NA")</f>
        <v>190709</v>
      </c>
      <c r="G18" s="38" t="str">
        <f>IFERROR(VLOOKUP(D18,'Master List'!D:H,4,FALSE),"NA")</f>
        <v>190709</v>
      </c>
      <c r="H18" s="39" t="str">
        <f>IFERROR(VLOOKUP(D18,'Master List'!D:H,5,FALSE),"NA")</f>
        <v>Child Care Provider/Assistant.</v>
      </c>
      <c r="I18" s="19"/>
      <c r="J18" s="20"/>
      <c r="K18" s="18"/>
      <c r="L18" s="22"/>
    </row>
    <row r="19" spans="1:12" x14ac:dyDescent="0.3">
      <c r="A19" s="33">
        <v>2</v>
      </c>
      <c r="B19" s="33" t="s">
        <v>2174</v>
      </c>
      <c r="C19" s="34" t="s">
        <v>726</v>
      </c>
      <c r="D19" s="51" t="s">
        <v>588</v>
      </c>
      <c r="E19" s="52" t="str">
        <f>IFERROR(VLOOKUP(D19,'Master List'!D:H,2,FALSE),"NA")</f>
        <v>190709</v>
      </c>
      <c r="F19" s="53" t="str">
        <f>IFERROR(VLOOKUP(D19,'Master List'!D:H,3,FALSE),"NA")</f>
        <v>190709</v>
      </c>
      <c r="G19" s="38" t="str">
        <f>IFERROR(VLOOKUP(D19,'Master List'!D:H,4,FALSE),"NA")</f>
        <v>190709</v>
      </c>
      <c r="H19" s="39" t="str">
        <f>IFERROR(VLOOKUP(D19,'Master List'!D:H,5,FALSE),"NA")</f>
        <v>Child Care Provider/Assistant.</v>
      </c>
      <c r="I19" s="19"/>
      <c r="J19" s="20"/>
      <c r="K19" s="18"/>
      <c r="L19" s="22"/>
    </row>
    <row r="20" spans="1:12" x14ac:dyDescent="0.3">
      <c r="A20" s="33">
        <v>2</v>
      </c>
      <c r="B20" s="33" t="s">
        <v>2174</v>
      </c>
      <c r="C20" s="34" t="s">
        <v>726</v>
      </c>
      <c r="D20" s="51" t="s">
        <v>589</v>
      </c>
      <c r="E20" s="52" t="str">
        <f>IFERROR(VLOOKUP(D20,'Master List'!D:H,2,FALSE),"NA")</f>
        <v>190709</v>
      </c>
      <c r="F20" s="53" t="str">
        <f>IFERROR(VLOOKUP(D20,'Master List'!D:H,3,FALSE),"NA")</f>
        <v>190709</v>
      </c>
      <c r="G20" s="38" t="str">
        <f>IFERROR(VLOOKUP(D20,'Master List'!D:H,4,FALSE),"NA")</f>
        <v>190709</v>
      </c>
      <c r="H20" s="39" t="str">
        <f>IFERROR(VLOOKUP(D20,'Master List'!D:H,5,FALSE),"NA")</f>
        <v>Child Care Provider/Assistant.</v>
      </c>
      <c r="I20" s="19"/>
      <c r="J20" s="20"/>
      <c r="K20" s="18"/>
      <c r="L20" s="22"/>
    </row>
    <row r="21" spans="1:12" x14ac:dyDescent="0.3">
      <c r="A21" s="33">
        <v>2</v>
      </c>
      <c r="B21" s="33" t="s">
        <v>2174</v>
      </c>
      <c r="C21" s="34" t="s">
        <v>726</v>
      </c>
      <c r="D21" s="51" t="s">
        <v>418</v>
      </c>
      <c r="E21" s="52" t="str">
        <f>IFERROR(VLOOKUP(D21,'Master List'!D:H,2,FALSE),"NA")</f>
        <v>110103</v>
      </c>
      <c r="F21" s="53" t="str">
        <f>IFERROR(VLOOKUP(D21,'Master List'!D:H,3,FALSE),"NA")</f>
        <v>110103</v>
      </c>
      <c r="G21" s="38" t="str">
        <f>IFERROR(VLOOKUP(D21,'Master List'!D:H,4,FALSE),"NA")</f>
        <v>110103</v>
      </c>
      <c r="H21" s="39" t="str">
        <f>IFERROR(VLOOKUP(D21,'Master List'!D:H,5,FALSE),"NA")</f>
        <v>Information Technology.</v>
      </c>
      <c r="I21" s="19"/>
      <c r="J21" s="20"/>
      <c r="K21" s="18"/>
      <c r="L21" s="22"/>
    </row>
    <row r="22" spans="1:12" x14ac:dyDescent="0.3">
      <c r="A22" s="33">
        <v>2</v>
      </c>
      <c r="B22" s="33" t="s">
        <v>2174</v>
      </c>
      <c r="C22" s="34" t="s">
        <v>726</v>
      </c>
      <c r="D22" s="51" t="s">
        <v>217</v>
      </c>
      <c r="E22" s="52" t="str">
        <f>IFERROR(VLOOKUP(D22,'Master List'!D:H,2,FALSE),"NA")</f>
        <v>110103</v>
      </c>
      <c r="F22" s="53" t="str">
        <f>IFERROR(VLOOKUP(D22,'Master List'!D:H,3,FALSE),"NA")</f>
        <v>110103</v>
      </c>
      <c r="G22" s="38" t="str">
        <f>IFERROR(VLOOKUP(D22,'Master List'!D:H,4,FALSE),"NA")</f>
        <v>110103</v>
      </c>
      <c r="H22" s="39" t="str">
        <f>IFERROR(VLOOKUP(D22,'Master List'!D:H,5,FALSE),"NA")</f>
        <v>Information Technology.</v>
      </c>
      <c r="I22" s="19"/>
      <c r="J22" s="20"/>
      <c r="K22" s="18"/>
      <c r="L22" s="22"/>
    </row>
    <row r="23" spans="1:12" x14ac:dyDescent="0.3">
      <c r="A23" s="33">
        <v>2</v>
      </c>
      <c r="B23" s="33" t="s">
        <v>2174</v>
      </c>
      <c r="C23" s="34" t="s">
        <v>726</v>
      </c>
      <c r="D23" s="51" t="s">
        <v>218</v>
      </c>
      <c r="E23" s="52" t="str">
        <f>IFERROR(VLOOKUP(D23,'Master List'!D:H,2,FALSE),"NA")</f>
        <v>110103</v>
      </c>
      <c r="F23" s="53" t="str">
        <f>IFERROR(VLOOKUP(D23,'Master List'!D:H,3,FALSE),"NA")</f>
        <v>110103</v>
      </c>
      <c r="G23" s="38" t="str">
        <f>IFERROR(VLOOKUP(D23,'Master List'!D:H,4,FALSE),"NA")</f>
        <v>110103</v>
      </c>
      <c r="H23" s="39" t="str">
        <f>IFERROR(VLOOKUP(D23,'Master List'!D:H,5,FALSE),"NA")</f>
        <v>Information Technology.</v>
      </c>
      <c r="I23" s="19"/>
      <c r="J23" s="20"/>
      <c r="K23" s="18"/>
      <c r="L23" s="22"/>
    </row>
    <row r="24" spans="1:12" x14ac:dyDescent="0.3">
      <c r="A24" s="33">
        <v>2</v>
      </c>
      <c r="B24" s="33" t="s">
        <v>2174</v>
      </c>
      <c r="C24" s="34" t="s">
        <v>726</v>
      </c>
      <c r="D24" s="51" t="s">
        <v>389</v>
      </c>
      <c r="E24" s="52" t="str">
        <f>IFERROR(VLOOKUP(D24,'Master List'!D:H,2,FALSE),"NA")</f>
        <v>110201</v>
      </c>
      <c r="F24" s="53" t="str">
        <f>IFERROR(VLOOKUP(D24,'Master List'!D:H,3,FALSE),"NA")</f>
        <v>110201</v>
      </c>
      <c r="G24" s="38" t="str">
        <f>IFERROR(VLOOKUP(D24,'Master List'!D:H,4,FALSE),"NA")</f>
        <v>110201</v>
      </c>
      <c r="H24" s="39" t="str">
        <f>IFERROR(VLOOKUP(D24,'Master List'!D:H,5,FALSE),"NA")</f>
        <v>Computer Programming/Programmer, General.</v>
      </c>
      <c r="I24" s="19"/>
      <c r="J24" s="20"/>
      <c r="K24" s="18"/>
      <c r="L24" s="22"/>
    </row>
    <row r="25" spans="1:12" x14ac:dyDescent="0.3">
      <c r="A25" s="33">
        <v>2</v>
      </c>
      <c r="B25" s="33" t="s">
        <v>2174</v>
      </c>
      <c r="C25" s="34" t="s">
        <v>726</v>
      </c>
      <c r="D25" s="51" t="s">
        <v>390</v>
      </c>
      <c r="E25" s="52" t="str">
        <f>IFERROR(VLOOKUP(D25,'Master List'!D:H,2,FALSE),"NA")</f>
        <v>110202</v>
      </c>
      <c r="F25" s="53" t="str">
        <f>IFERROR(VLOOKUP(D25,'Master List'!D:H,3,FALSE),"NA")</f>
        <v>110202</v>
      </c>
      <c r="G25" s="38" t="str">
        <f>IFERROR(VLOOKUP(D25,'Master List'!D:H,4,FALSE),"NA")</f>
        <v>110202</v>
      </c>
      <c r="H25" s="39" t="str">
        <f>IFERROR(VLOOKUP(D25,'Master List'!D:H,5,FALSE),"NA")</f>
        <v>Computer Programming, Specific Applications.</v>
      </c>
      <c r="I25" s="19"/>
      <c r="J25" s="20"/>
      <c r="K25" s="18"/>
      <c r="L25" s="22"/>
    </row>
    <row r="26" spans="1:12" x14ac:dyDescent="0.3">
      <c r="A26" s="33">
        <v>2</v>
      </c>
      <c r="B26" s="33" t="s">
        <v>2174</v>
      </c>
      <c r="C26" s="34" t="s">
        <v>726</v>
      </c>
      <c r="D26" s="51" t="s">
        <v>421</v>
      </c>
      <c r="E26" s="52" t="str">
        <f>IFERROR(VLOOKUP(D26,'Master List'!D:H,2,FALSE),"NA")</f>
        <v>110801</v>
      </c>
      <c r="F26" s="53" t="str">
        <f>IFERROR(VLOOKUP(D26,'Master List'!D:H,3,FALSE),"NA")</f>
        <v>110801</v>
      </c>
      <c r="G26" s="38" t="str">
        <f>IFERROR(VLOOKUP(D26,'Master List'!D:H,4,FALSE),"NA")</f>
        <v>110801</v>
      </c>
      <c r="H26" s="39" t="str">
        <f>IFERROR(VLOOKUP(D26,'Master List'!D:H,5,FALSE),"NA")</f>
        <v>Web Page, Digital/Multimedia and Information Resources Design.</v>
      </c>
      <c r="I26" s="19"/>
      <c r="J26" s="20"/>
      <c r="K26" s="18"/>
      <c r="L26" s="22"/>
    </row>
    <row r="27" spans="1:12" x14ac:dyDescent="0.3">
      <c r="A27" s="33">
        <v>2</v>
      </c>
      <c r="B27" s="33" t="s">
        <v>2174</v>
      </c>
      <c r="C27" s="34" t="s">
        <v>726</v>
      </c>
      <c r="D27" s="51" t="s">
        <v>31</v>
      </c>
      <c r="E27" s="52" t="str">
        <f>IFERROR(VLOOKUP(D27,'Master List'!D:H,2,FALSE),"NA")</f>
        <v>111001</v>
      </c>
      <c r="F27" s="53" t="str">
        <f>IFERROR(VLOOKUP(D27,'Master List'!D:H,3,FALSE),"NA")</f>
        <v>111001</v>
      </c>
      <c r="G27" s="38" t="str">
        <f>IFERROR(VLOOKUP(D27,'Master List'!D:H,4,FALSE),"NA")</f>
        <v>111001</v>
      </c>
      <c r="H27" s="39" t="str">
        <f>IFERROR(VLOOKUP(D27,'Master List'!D:H,5,FALSE),"NA")</f>
        <v>Network and System Administration/Administrator.</v>
      </c>
      <c r="I27" s="19"/>
      <c r="J27" s="20"/>
      <c r="K27" s="18"/>
      <c r="L27" s="22"/>
    </row>
    <row r="28" spans="1:12" x14ac:dyDescent="0.3">
      <c r="A28" s="33">
        <v>2</v>
      </c>
      <c r="B28" s="33" t="s">
        <v>2174</v>
      </c>
      <c r="C28" s="34" t="s">
        <v>726</v>
      </c>
      <c r="D28" s="51" t="s">
        <v>34</v>
      </c>
      <c r="E28" s="52" t="str">
        <f>IFERROR(VLOOKUP(D28,'Master List'!D:H,2,FALSE),"NA")</f>
        <v>111001</v>
      </c>
      <c r="F28" s="53" t="str">
        <f>IFERROR(VLOOKUP(D28,'Master List'!D:H,3,FALSE),"NA")</f>
        <v>111001</v>
      </c>
      <c r="G28" s="38" t="str">
        <f>IFERROR(VLOOKUP(D28,'Master List'!D:H,4,FALSE),"NA")</f>
        <v>111001</v>
      </c>
      <c r="H28" s="39" t="str">
        <f>IFERROR(VLOOKUP(D28,'Master List'!D:H,5,FALSE),"NA")</f>
        <v>Network and System Administration/Administrator.</v>
      </c>
      <c r="I28" s="19"/>
      <c r="J28" s="20"/>
      <c r="K28" s="18"/>
      <c r="L28" s="22"/>
    </row>
    <row r="29" spans="1:12" x14ac:dyDescent="0.3">
      <c r="A29" s="33">
        <v>2</v>
      </c>
      <c r="B29" s="33" t="s">
        <v>2174</v>
      </c>
      <c r="C29" s="34" t="s">
        <v>726</v>
      </c>
      <c r="D29" s="51" t="s">
        <v>542</v>
      </c>
      <c r="E29" s="52" t="str">
        <f>IFERROR(VLOOKUP(D29,'Master List'!D:H,2,FALSE),"NA")</f>
        <v>111001</v>
      </c>
      <c r="F29" s="53" t="str">
        <f>IFERROR(VLOOKUP(D29,'Master List'!D:H,3,FALSE),"NA")</f>
        <v>111001</v>
      </c>
      <c r="G29" s="38" t="str">
        <f>IFERROR(VLOOKUP(D29,'Master List'!D:H,4,FALSE),"NA")</f>
        <v>111001</v>
      </c>
      <c r="H29" s="39" t="str">
        <f>IFERROR(VLOOKUP(D29,'Master List'!D:H,5,FALSE),"NA")</f>
        <v>Network and System Administration/Administrator.</v>
      </c>
      <c r="I29" s="19"/>
      <c r="J29" s="20"/>
      <c r="K29" s="18"/>
      <c r="L29" s="22"/>
    </row>
    <row r="30" spans="1:12" x14ac:dyDescent="0.3">
      <c r="A30" s="33">
        <v>2</v>
      </c>
      <c r="B30" s="33" t="s">
        <v>2174</v>
      </c>
      <c r="C30" s="34" t="s">
        <v>726</v>
      </c>
      <c r="D30" s="51" t="s">
        <v>35</v>
      </c>
      <c r="E30" s="52" t="str">
        <f>IFERROR(VLOOKUP(D30,'Master List'!D:H,2,FALSE),"NA")</f>
        <v>111001</v>
      </c>
      <c r="F30" s="53" t="str">
        <f>IFERROR(VLOOKUP(D30,'Master List'!D:H,3,FALSE),"NA")</f>
        <v>111001</v>
      </c>
      <c r="G30" s="38" t="str">
        <f>IFERROR(VLOOKUP(D30,'Master List'!D:H,4,FALSE),"NA")</f>
        <v>111001</v>
      </c>
      <c r="H30" s="39" t="str">
        <f>IFERROR(VLOOKUP(D30,'Master List'!D:H,5,FALSE),"NA")</f>
        <v>Network and System Administration/Administrator.</v>
      </c>
      <c r="I30" s="19"/>
      <c r="J30" s="20"/>
      <c r="K30" s="18"/>
      <c r="L30" s="22"/>
    </row>
    <row r="31" spans="1:12" x14ac:dyDescent="0.3">
      <c r="A31" s="33">
        <v>2</v>
      </c>
      <c r="B31" s="33" t="s">
        <v>2174</v>
      </c>
      <c r="C31" s="34" t="s">
        <v>726</v>
      </c>
      <c r="D31" s="51" t="s">
        <v>223</v>
      </c>
      <c r="E31" s="52" t="str">
        <f>IFERROR(VLOOKUP(D31,'Master List'!D:H,2,FALSE),"NA")</f>
        <v>450702</v>
      </c>
      <c r="F31" s="53" t="str">
        <f>IFERROR(VLOOKUP(D31,'Master List'!D:H,3,FALSE),"NA")</f>
        <v>450702</v>
      </c>
      <c r="G31" s="38" t="str">
        <f>IFERROR(VLOOKUP(D31,'Master List'!D:H,4,FALSE),"NA")</f>
        <v>450702</v>
      </c>
      <c r="H31" s="39" t="str">
        <f>IFERROR(VLOOKUP(D31,'Master List'!D:H,5,FALSE),"NA")</f>
        <v>Geographic Information Science and Cartography.</v>
      </c>
      <c r="I31" s="19"/>
      <c r="J31" s="20"/>
      <c r="K31" s="18"/>
      <c r="L31" s="22"/>
    </row>
    <row r="32" spans="1:12" x14ac:dyDescent="0.3">
      <c r="A32" s="33">
        <v>2</v>
      </c>
      <c r="B32" s="33" t="s">
        <v>2174</v>
      </c>
      <c r="C32" s="34" t="s">
        <v>726</v>
      </c>
      <c r="D32" s="51" t="s">
        <v>422</v>
      </c>
      <c r="E32" s="52" t="str">
        <f>IFERROR(VLOOKUP(D32,'Master List'!D:H,2,FALSE),"NA")</f>
        <v>510716</v>
      </c>
      <c r="F32" s="53" t="str">
        <f>IFERROR(VLOOKUP(D32,'Master List'!D:H,3,FALSE),"NA")</f>
        <v>510716</v>
      </c>
      <c r="G32" s="38">
        <f>IFERROR(VLOOKUP(D32,'Master List'!D:H,4,FALSE),"NA")</f>
        <v>510705</v>
      </c>
      <c r="H32" s="39" t="str">
        <f>IFERROR(VLOOKUP(D32,'Master List'!D:H,5,FALSE),"NA")</f>
        <v>Medical Office Management/Administration</v>
      </c>
      <c r="I32" s="19"/>
      <c r="J32" s="20"/>
      <c r="K32" s="18"/>
      <c r="L32" s="22"/>
    </row>
    <row r="33" spans="1:12" x14ac:dyDescent="0.3">
      <c r="A33" s="33">
        <v>2</v>
      </c>
      <c r="B33" s="33" t="s">
        <v>2174</v>
      </c>
      <c r="C33" s="34" t="s">
        <v>726</v>
      </c>
      <c r="D33" s="51" t="s">
        <v>153</v>
      </c>
      <c r="E33" s="52" t="str">
        <f>IFERROR(VLOOKUP(D33,'Master List'!D:H,2,FALSE),"NA")</f>
        <v>520201</v>
      </c>
      <c r="F33" s="53" t="str">
        <f>IFERROR(VLOOKUP(D33,'Master List'!D:H,3,FALSE),"NA")</f>
        <v>520201</v>
      </c>
      <c r="G33" s="38" t="str">
        <f>IFERROR(VLOOKUP(D33,'Master List'!D:H,4,FALSE),"NA")</f>
        <v>520201</v>
      </c>
      <c r="H33" s="39" t="str">
        <f>IFERROR(VLOOKUP(D33,'Master List'!D:H,5,FALSE),"NA")</f>
        <v>Business Administration and Management, General.</v>
      </c>
      <c r="I33" s="19"/>
      <c r="J33" s="20"/>
      <c r="K33" s="18"/>
      <c r="L33" s="22"/>
    </row>
    <row r="34" spans="1:12" x14ac:dyDescent="0.3">
      <c r="A34" s="33">
        <v>2</v>
      </c>
      <c r="B34" s="33" t="s">
        <v>2174</v>
      </c>
      <c r="C34" s="34" t="s">
        <v>726</v>
      </c>
      <c r="D34" s="51" t="s">
        <v>154</v>
      </c>
      <c r="E34" s="52" t="str">
        <f>IFERROR(VLOOKUP(D34,'Master List'!D:H,2,FALSE),"NA")</f>
        <v>520201</v>
      </c>
      <c r="F34" s="53" t="str">
        <f>IFERROR(VLOOKUP(D34,'Master List'!D:H,3,FALSE),"NA")</f>
        <v>520201</v>
      </c>
      <c r="G34" s="38" t="str">
        <f>IFERROR(VLOOKUP(D34,'Master List'!D:H,4,FALSE),"NA")</f>
        <v>520201</v>
      </c>
      <c r="H34" s="39" t="str">
        <f>IFERROR(VLOOKUP(D34,'Master List'!D:H,5,FALSE),"NA")</f>
        <v>Business Administration and Management, General.</v>
      </c>
      <c r="I34" s="19"/>
      <c r="J34" s="20"/>
      <c r="K34" s="18"/>
      <c r="L34" s="22"/>
    </row>
    <row r="35" spans="1:12" x14ac:dyDescent="0.3">
      <c r="A35" s="33">
        <v>2</v>
      </c>
      <c r="B35" s="33" t="s">
        <v>2174</v>
      </c>
      <c r="C35" s="34" t="s">
        <v>726</v>
      </c>
      <c r="D35" s="51" t="s">
        <v>697</v>
      </c>
      <c r="E35" s="52" t="str">
        <f>IFERROR(VLOOKUP(D35,'Master List'!D:H,2,FALSE),"NA")</f>
        <v>520201</v>
      </c>
      <c r="F35" s="53" t="str">
        <f>IFERROR(VLOOKUP(D35,'Master List'!D:H,3,FALSE),"NA")</f>
        <v>520201</v>
      </c>
      <c r="G35" s="38">
        <f>IFERROR(VLOOKUP(D35,'Master List'!D:H,4,FALSE),"NA")</f>
        <v>520215</v>
      </c>
      <c r="H35" s="39" t="str">
        <f>IFERROR(VLOOKUP(D35,'Master List'!D:H,5,FALSE),"NA")</f>
        <v>Risk Management</v>
      </c>
      <c r="I35" s="19"/>
      <c r="J35" s="20"/>
      <c r="K35" s="18"/>
      <c r="L35" s="22"/>
    </row>
    <row r="36" spans="1:12" x14ac:dyDescent="0.3">
      <c r="A36" s="33">
        <v>2</v>
      </c>
      <c r="B36" s="33" t="s">
        <v>2174</v>
      </c>
      <c r="C36" s="34" t="s">
        <v>726</v>
      </c>
      <c r="D36" s="51" t="s">
        <v>393</v>
      </c>
      <c r="E36" s="52" t="str">
        <f>IFERROR(VLOOKUP(D36,'Master List'!D:H,2,FALSE),"NA")</f>
        <v>520201</v>
      </c>
      <c r="F36" s="53" t="str">
        <f>IFERROR(VLOOKUP(D36,'Master List'!D:H,3,FALSE),"NA")</f>
        <v>520201</v>
      </c>
      <c r="G36" s="38">
        <f>IFERROR(VLOOKUP(D36,'Master List'!D:H,4,FALSE),"NA")</f>
        <v>520215</v>
      </c>
      <c r="H36" s="39" t="str">
        <f>IFERROR(VLOOKUP(D36,'Master List'!D:H,5,FALSE),"NA")</f>
        <v>Risk Management</v>
      </c>
      <c r="I36" s="19"/>
      <c r="J36" s="20"/>
      <c r="K36" s="18"/>
      <c r="L36" s="22"/>
    </row>
    <row r="37" spans="1:12" x14ac:dyDescent="0.3">
      <c r="A37" s="33">
        <v>2</v>
      </c>
      <c r="B37" s="33" t="s">
        <v>2174</v>
      </c>
      <c r="C37" s="34" t="s">
        <v>726</v>
      </c>
      <c r="D37" s="51" t="s">
        <v>37</v>
      </c>
      <c r="E37" s="52" t="str">
        <f>IFERROR(VLOOKUP(D37,'Master List'!D:H,2,FALSE),"NA")</f>
        <v>520204</v>
      </c>
      <c r="F37" s="53" t="str">
        <f>IFERROR(VLOOKUP(D37,'Master List'!D:H,3,FALSE),"NA")</f>
        <v>520204</v>
      </c>
      <c r="G37" s="38" t="str">
        <f>IFERROR(VLOOKUP(D37,'Master List'!D:H,4,FALSE),"NA")</f>
        <v>520204</v>
      </c>
      <c r="H37" s="39" t="str">
        <f>IFERROR(VLOOKUP(D37,'Master List'!D:H,5,FALSE),"NA")</f>
        <v>Office Management and Supervision.</v>
      </c>
      <c r="I37" s="19"/>
      <c r="J37" s="20"/>
      <c r="K37" s="18"/>
      <c r="L37" s="22"/>
    </row>
    <row r="38" spans="1:12" x14ac:dyDescent="0.3">
      <c r="A38" s="33">
        <v>2</v>
      </c>
      <c r="B38" s="33" t="s">
        <v>2174</v>
      </c>
      <c r="C38" s="34" t="s">
        <v>726</v>
      </c>
      <c r="D38" s="51" t="s">
        <v>226</v>
      </c>
      <c r="E38" s="52" t="str">
        <f>IFERROR(VLOOKUP(D38,'Master List'!D:H,2,FALSE),"NA")</f>
        <v>520204</v>
      </c>
      <c r="F38" s="53" t="str">
        <f>IFERROR(VLOOKUP(D38,'Master List'!D:H,3,FALSE),"NA")</f>
        <v>520204</v>
      </c>
      <c r="G38" s="38" t="str">
        <f>IFERROR(VLOOKUP(D38,'Master List'!D:H,4,FALSE),"NA")</f>
        <v>520204</v>
      </c>
      <c r="H38" s="39" t="str">
        <f>IFERROR(VLOOKUP(D38,'Master List'!D:H,5,FALSE),"NA")</f>
        <v>Office Management and Supervision.</v>
      </c>
      <c r="I38" s="19"/>
      <c r="J38" s="20"/>
      <c r="K38" s="18"/>
      <c r="L38" s="22"/>
    </row>
    <row r="39" spans="1:12" x14ac:dyDescent="0.3">
      <c r="A39" s="33">
        <v>2</v>
      </c>
      <c r="B39" s="33" t="s">
        <v>2174</v>
      </c>
      <c r="C39" s="34" t="s">
        <v>726</v>
      </c>
      <c r="D39" s="51" t="s">
        <v>227</v>
      </c>
      <c r="E39" s="52" t="str">
        <f>IFERROR(VLOOKUP(D39,'Master List'!D:H,2,FALSE),"NA")</f>
        <v>520302</v>
      </c>
      <c r="F39" s="53" t="str">
        <f>IFERROR(VLOOKUP(D39,'Master List'!D:H,3,FALSE),"NA")</f>
        <v>520302</v>
      </c>
      <c r="G39" s="38" t="str">
        <f>IFERROR(VLOOKUP(D39,'Master List'!D:H,4,FALSE),"NA")</f>
        <v>520302</v>
      </c>
      <c r="H39" s="39" t="str">
        <f>IFERROR(VLOOKUP(D39,'Master List'!D:H,5,FALSE),"NA")</f>
        <v>Accounting Technology/Technician and Bookkeeping.</v>
      </c>
      <c r="I39" s="19"/>
      <c r="J39" s="20"/>
      <c r="K39" s="18"/>
      <c r="L39" s="22"/>
    </row>
    <row r="40" spans="1:12" x14ac:dyDescent="0.3">
      <c r="A40" s="33">
        <v>2</v>
      </c>
      <c r="B40" s="33" t="s">
        <v>2174</v>
      </c>
      <c r="C40" s="34" t="s">
        <v>726</v>
      </c>
      <c r="D40" s="51" t="s">
        <v>228</v>
      </c>
      <c r="E40" s="52" t="str">
        <f>IFERROR(VLOOKUP(D40,'Master List'!D:H,2,FALSE),"NA")</f>
        <v>520302</v>
      </c>
      <c r="F40" s="53" t="str">
        <f>IFERROR(VLOOKUP(D40,'Master List'!D:H,3,FALSE),"NA")</f>
        <v>520302</v>
      </c>
      <c r="G40" s="38" t="str">
        <f>IFERROR(VLOOKUP(D40,'Master List'!D:H,4,FALSE),"NA")</f>
        <v>520302</v>
      </c>
      <c r="H40" s="39" t="str">
        <f>IFERROR(VLOOKUP(D40,'Master List'!D:H,5,FALSE),"NA")</f>
        <v>Accounting Technology/Technician and Bookkeeping.</v>
      </c>
      <c r="I40" s="19"/>
      <c r="J40" s="20"/>
      <c r="K40" s="18"/>
      <c r="L40" s="22"/>
    </row>
    <row r="41" spans="1:12" x14ac:dyDescent="0.3">
      <c r="A41" s="33">
        <v>2</v>
      </c>
      <c r="B41" s="33" t="s">
        <v>2174</v>
      </c>
      <c r="C41" s="34" t="s">
        <v>726</v>
      </c>
      <c r="D41" s="51" t="s">
        <v>40</v>
      </c>
      <c r="E41" s="52" t="str">
        <f>IFERROR(VLOOKUP(D41,'Master List'!D:H,2,FALSE),"NA")</f>
        <v>520302</v>
      </c>
      <c r="F41" s="53" t="str">
        <f>IFERROR(VLOOKUP(D41,'Master List'!D:H,3,FALSE),"NA")</f>
        <v>520302</v>
      </c>
      <c r="G41" s="38" t="str">
        <f>IFERROR(VLOOKUP(D41,'Master List'!D:H,4,FALSE),"NA")</f>
        <v>520302</v>
      </c>
      <c r="H41" s="39" t="str">
        <f>IFERROR(VLOOKUP(D41,'Master List'!D:H,5,FALSE),"NA")</f>
        <v>Accounting Technology/Technician and Bookkeeping.</v>
      </c>
      <c r="I41" s="19"/>
      <c r="J41" s="20"/>
      <c r="K41" s="18"/>
      <c r="L41" s="22"/>
    </row>
    <row r="42" spans="1:12" x14ac:dyDescent="0.3">
      <c r="A42" s="33">
        <v>2</v>
      </c>
      <c r="B42" s="33" t="s">
        <v>2174</v>
      </c>
      <c r="C42" s="34" t="s">
        <v>726</v>
      </c>
      <c r="D42" s="51" t="s">
        <v>229</v>
      </c>
      <c r="E42" s="52" t="str">
        <f>IFERROR(VLOOKUP(D42,'Master List'!D:H,2,FALSE),"NA")</f>
        <v>520407</v>
      </c>
      <c r="F42" s="53" t="str">
        <f>IFERROR(VLOOKUP(D42,'Master List'!D:H,3,FALSE),"NA")</f>
        <v>520407</v>
      </c>
      <c r="G42" s="38" t="str">
        <f>IFERROR(VLOOKUP(D42,'Master List'!D:H,4,FALSE),"NA")</f>
        <v>520407</v>
      </c>
      <c r="H42" s="39" t="str">
        <f>IFERROR(VLOOKUP(D42,'Master List'!D:H,5,FALSE),"NA")</f>
        <v>Business/Office Automation/Technology/Data Entry.</v>
      </c>
      <c r="I42" s="19"/>
      <c r="J42" s="20"/>
      <c r="K42" s="18"/>
      <c r="L42" s="22"/>
    </row>
    <row r="43" spans="1:12" x14ac:dyDescent="0.3">
      <c r="A43" s="33">
        <v>2</v>
      </c>
      <c r="B43" s="33" t="s">
        <v>2174</v>
      </c>
      <c r="C43" s="34" t="s">
        <v>726</v>
      </c>
      <c r="D43" s="51" t="s">
        <v>232</v>
      </c>
      <c r="E43" s="52" t="str">
        <f>IFERROR(VLOOKUP(D43,'Master List'!D:H,2,FALSE),"NA")</f>
        <v>520701</v>
      </c>
      <c r="F43" s="53" t="str">
        <f>IFERROR(VLOOKUP(D43,'Master List'!D:H,3,FALSE),"NA")</f>
        <v>520701</v>
      </c>
      <c r="G43" s="38" t="str">
        <f>IFERROR(VLOOKUP(D43,'Master List'!D:H,4,FALSE),"NA")</f>
        <v>520701</v>
      </c>
      <c r="H43" s="39" t="str">
        <f>IFERROR(VLOOKUP(D43,'Master List'!D:H,5,FALSE),"NA")</f>
        <v>Entrepreneurship/Entrepreneurial Studies.</v>
      </c>
      <c r="I43" s="19"/>
      <c r="J43" s="20"/>
      <c r="K43" s="18"/>
      <c r="L43" s="22"/>
    </row>
    <row r="44" spans="1:12" x14ac:dyDescent="0.3">
      <c r="A44" s="33">
        <v>2</v>
      </c>
      <c r="B44" s="33" t="s">
        <v>2174</v>
      </c>
      <c r="C44" s="34" t="s">
        <v>726</v>
      </c>
      <c r="D44" s="51" t="s">
        <v>394</v>
      </c>
      <c r="E44" s="52" t="str">
        <f>IFERROR(VLOOKUP(D44,'Master List'!D:H,2,FALSE),"NA")</f>
        <v>520703</v>
      </c>
      <c r="F44" s="53" t="str">
        <f>IFERROR(VLOOKUP(D44,'Master List'!D:H,3,FALSE),"NA")</f>
        <v>520703</v>
      </c>
      <c r="G44" s="38" t="str">
        <f>IFERROR(VLOOKUP(D44,'Master List'!D:H,4,FALSE),"NA")</f>
        <v>520703</v>
      </c>
      <c r="H44" s="39" t="str">
        <f>IFERROR(VLOOKUP(D44,'Master List'!D:H,5,FALSE),"NA")</f>
        <v>Small Business Administration/Management.</v>
      </c>
      <c r="I44" s="19"/>
      <c r="J44" s="20"/>
      <c r="K44" s="18"/>
      <c r="L44" s="22"/>
    </row>
    <row r="45" spans="1:12" x14ac:dyDescent="0.3">
      <c r="A45" s="33">
        <v>2</v>
      </c>
      <c r="B45" s="33" t="s">
        <v>2174</v>
      </c>
      <c r="C45" s="34" t="s">
        <v>726</v>
      </c>
      <c r="D45" s="51" t="s">
        <v>515</v>
      </c>
      <c r="E45" s="52" t="str">
        <f>IFERROR(VLOOKUP(D45,'Master List'!D:H,2,FALSE),"NA")</f>
        <v>110803</v>
      </c>
      <c r="F45" s="53" t="str">
        <f>IFERROR(VLOOKUP(D45,'Master List'!D:H,3,FALSE),"NA")</f>
        <v>110803</v>
      </c>
      <c r="G45" s="38" t="str">
        <f>IFERROR(VLOOKUP(D45,'Master List'!D:H,4,FALSE),"NA")</f>
        <v>110803</v>
      </c>
      <c r="H45" s="39" t="str">
        <f>IFERROR(VLOOKUP(D45,'Master List'!D:H,5,FALSE),"NA")</f>
        <v>Computer Graphics.</v>
      </c>
      <c r="I45" s="19"/>
      <c r="J45" s="20"/>
      <c r="K45" s="18"/>
      <c r="L45" s="22"/>
    </row>
    <row r="46" spans="1:12" x14ac:dyDescent="0.3">
      <c r="A46" s="33">
        <v>2</v>
      </c>
      <c r="B46" s="33" t="s">
        <v>2174</v>
      </c>
      <c r="C46" s="34" t="s">
        <v>726</v>
      </c>
      <c r="D46" s="51" t="s">
        <v>237</v>
      </c>
      <c r="E46" s="52" t="str">
        <f>IFERROR(VLOOKUP(D46,'Master List'!D:H,2,FALSE),"NA")</f>
        <v>110803</v>
      </c>
      <c r="F46" s="53" t="str">
        <f>IFERROR(VLOOKUP(D46,'Master List'!D:H,3,FALSE),"NA")</f>
        <v>110803</v>
      </c>
      <c r="G46" s="38" t="str">
        <f>IFERROR(VLOOKUP(D46,'Master List'!D:H,4,FALSE),"NA")</f>
        <v>110803</v>
      </c>
      <c r="H46" s="39" t="str">
        <f>IFERROR(VLOOKUP(D46,'Master List'!D:H,5,FALSE),"NA")</f>
        <v>Computer Graphics.</v>
      </c>
      <c r="I46" s="19"/>
      <c r="J46" s="20"/>
      <c r="K46" s="18"/>
      <c r="L46" s="22"/>
    </row>
    <row r="47" spans="1:12" x14ac:dyDescent="0.3">
      <c r="A47" s="33">
        <v>2</v>
      </c>
      <c r="B47" s="33" t="s">
        <v>2174</v>
      </c>
      <c r="C47" s="34" t="s">
        <v>726</v>
      </c>
      <c r="D47" s="51" t="s">
        <v>246</v>
      </c>
      <c r="E47" s="52" t="str">
        <f>IFERROR(VLOOKUP(D47,'Master List'!D:H,2,FALSE),"NA")</f>
        <v>150000</v>
      </c>
      <c r="F47" s="53" t="str">
        <f>IFERROR(VLOOKUP(D47,'Master List'!D:H,3,FALSE),"NA")</f>
        <v>150000</v>
      </c>
      <c r="G47" s="38" t="str">
        <f>IFERROR(VLOOKUP(D47,'Master List'!D:H,4,FALSE),"NA")</f>
        <v>150000</v>
      </c>
      <c r="H47" s="39" t="str">
        <f>IFERROR(VLOOKUP(D47,'Master List'!D:H,5,FALSE),"NA")</f>
        <v>Engineering Technologies/Technicians, General.</v>
      </c>
      <c r="I47" s="19"/>
      <c r="J47" s="20"/>
      <c r="K47" s="18"/>
      <c r="L47" s="22"/>
    </row>
    <row r="48" spans="1:12" x14ac:dyDescent="0.3">
      <c r="A48" s="33">
        <v>2</v>
      </c>
      <c r="B48" s="33" t="s">
        <v>2174</v>
      </c>
      <c r="C48" s="34" t="s">
        <v>726</v>
      </c>
      <c r="D48" s="51" t="s">
        <v>719</v>
      </c>
      <c r="E48" s="52" t="str">
        <f>IFERROR(VLOOKUP(D48,'Master List'!D:H,2,FALSE),"NA")</f>
        <v>150000</v>
      </c>
      <c r="F48" s="53" t="str">
        <f>IFERROR(VLOOKUP(D48,'Master List'!D:H,3,FALSE),"NA")</f>
        <v>150000</v>
      </c>
      <c r="G48" s="38" t="str">
        <f>IFERROR(VLOOKUP(D48,'Master List'!D:H,4,FALSE),"NA")</f>
        <v>150000</v>
      </c>
      <c r="H48" s="39" t="str">
        <f>IFERROR(VLOOKUP(D48,'Master List'!D:H,5,FALSE),"NA")</f>
        <v>Engineering Technologies/Technicians, General.</v>
      </c>
      <c r="I48" s="19"/>
      <c r="J48" s="20"/>
      <c r="K48" s="18"/>
      <c r="L48" s="22"/>
    </row>
    <row r="49" spans="1:12" x14ac:dyDescent="0.3">
      <c r="A49" s="33">
        <v>2</v>
      </c>
      <c r="B49" s="33" t="s">
        <v>2174</v>
      </c>
      <c r="C49" s="34" t="s">
        <v>726</v>
      </c>
      <c r="D49" s="51" t="s">
        <v>53</v>
      </c>
      <c r="E49" s="52" t="str">
        <f>IFERROR(VLOOKUP(D49,'Master List'!D:H,2,FALSE),"NA")</f>
        <v>150303</v>
      </c>
      <c r="F49" s="53" t="str">
        <f>IFERROR(VLOOKUP(D49,'Master List'!D:H,3,FALSE),"NA")</f>
        <v>150303</v>
      </c>
      <c r="G49" s="38" t="str">
        <f>IFERROR(VLOOKUP(D49,'Master List'!D:H,4,FALSE),"NA")</f>
        <v>150303</v>
      </c>
      <c r="H49" s="39" t="str">
        <f>IFERROR(VLOOKUP(D49,'Master List'!D:H,5,FALSE),"NA")</f>
        <v>Electrical, Electronic, and Communications Engineering Technology/Technician.</v>
      </c>
      <c r="I49" s="19"/>
      <c r="J49" s="20"/>
      <c r="K49" s="18"/>
      <c r="L49" s="22"/>
    </row>
    <row r="50" spans="1:12" x14ac:dyDescent="0.3">
      <c r="A50" s="33">
        <v>2</v>
      </c>
      <c r="B50" s="33" t="s">
        <v>2174</v>
      </c>
      <c r="C50" s="34" t="s">
        <v>726</v>
      </c>
      <c r="D50" s="51" t="s">
        <v>733</v>
      </c>
      <c r="E50" s="52" t="str">
        <f>IFERROR(VLOOKUP(D50,'Master List'!D:H,2,FALSE),"NA")</f>
        <v>150503</v>
      </c>
      <c r="F50" s="53" t="str">
        <f>IFERROR(VLOOKUP(D50,'Master List'!D:H,3,FALSE),"NA")</f>
        <v>151701</v>
      </c>
      <c r="G50" s="38" t="str">
        <f>IFERROR(VLOOKUP(D50,'Master List'!D:H,4,FALSE),"NA")</f>
        <v>151701</v>
      </c>
      <c r="H50" s="39" t="str">
        <f>IFERROR(VLOOKUP(D50,'Master List'!D:H,5,FALSE),"NA")</f>
        <v>Energy Systems Technology/Technician.</v>
      </c>
      <c r="I50" s="19"/>
      <c r="J50" s="20"/>
      <c r="K50" s="18"/>
      <c r="L50" s="22"/>
    </row>
    <row r="51" spans="1:12" x14ac:dyDescent="0.3">
      <c r="A51" s="33">
        <v>2</v>
      </c>
      <c r="B51" s="33" t="s">
        <v>2174</v>
      </c>
      <c r="C51" s="34" t="s">
        <v>726</v>
      </c>
      <c r="D51" s="51" t="s">
        <v>255</v>
      </c>
      <c r="E51" s="52" t="str">
        <f>IFERROR(VLOOKUP(D51,'Master List'!D:H,2,FALSE),"NA")</f>
        <v>150803</v>
      </c>
      <c r="F51" s="53" t="str">
        <f>IFERROR(VLOOKUP(D51,'Master List'!D:H,3,FALSE),"NA")</f>
        <v>150803</v>
      </c>
      <c r="G51" s="38" t="str">
        <f>IFERROR(VLOOKUP(D51,'Master List'!D:H,4,FALSE),"NA")</f>
        <v>150803</v>
      </c>
      <c r="H51" s="39" t="str">
        <f>IFERROR(VLOOKUP(D51,'Master List'!D:H,5,FALSE),"NA")</f>
        <v>Automotive Engineering Technology/Technician.</v>
      </c>
      <c r="I51" s="19"/>
      <c r="J51" s="20"/>
      <c r="K51" s="18"/>
      <c r="L51" s="22"/>
    </row>
    <row r="52" spans="1:12" x14ac:dyDescent="0.3">
      <c r="A52" s="33">
        <v>2</v>
      </c>
      <c r="B52" s="33" t="s">
        <v>2174</v>
      </c>
      <c r="C52" s="34" t="s">
        <v>726</v>
      </c>
      <c r="D52" s="51" t="s">
        <v>258</v>
      </c>
      <c r="E52" s="52" t="str">
        <f>IFERROR(VLOOKUP(D52,'Master List'!D:H,2,FALSE),"NA")</f>
        <v>150803</v>
      </c>
      <c r="F52" s="53" t="str">
        <f>IFERROR(VLOOKUP(D52,'Master List'!D:H,3,FALSE),"NA")</f>
        <v>150803</v>
      </c>
      <c r="G52" s="38" t="str">
        <f>IFERROR(VLOOKUP(D52,'Master List'!D:H,4,FALSE),"NA")</f>
        <v>150803</v>
      </c>
      <c r="H52" s="39" t="str">
        <f>IFERROR(VLOOKUP(D52,'Master List'!D:H,5,FALSE),"NA")</f>
        <v>Automotive Engineering Technology/Technician.</v>
      </c>
      <c r="I52" s="19"/>
      <c r="J52" s="20"/>
      <c r="K52" s="18"/>
      <c r="L52" s="22"/>
    </row>
    <row r="53" spans="1:12" x14ac:dyDescent="0.3">
      <c r="A53" s="33">
        <v>2</v>
      </c>
      <c r="B53" s="33" t="s">
        <v>2174</v>
      </c>
      <c r="C53" s="34" t="s">
        <v>726</v>
      </c>
      <c r="D53" s="51" t="s">
        <v>633</v>
      </c>
      <c r="E53" s="52" t="str">
        <f>IFERROR(VLOOKUP(D53,'Master List'!D:H,2,FALSE),"NA")</f>
        <v>150803</v>
      </c>
      <c r="F53" s="53" t="str">
        <f>IFERROR(VLOOKUP(D53,'Master List'!D:H,3,FALSE),"NA")</f>
        <v>150803</v>
      </c>
      <c r="G53" s="38" t="str">
        <f>IFERROR(VLOOKUP(D53,'Master List'!D:H,4,FALSE),"NA")</f>
        <v>150803</v>
      </c>
      <c r="H53" s="39" t="str">
        <f>IFERROR(VLOOKUP(D53,'Master List'!D:H,5,FALSE),"NA")</f>
        <v>Automotive Engineering Technology/Technician.</v>
      </c>
      <c r="I53" s="19"/>
      <c r="J53" s="20"/>
      <c r="K53" s="18"/>
      <c r="L53" s="22"/>
    </row>
    <row r="54" spans="1:12" x14ac:dyDescent="0.3">
      <c r="A54" s="33">
        <v>2</v>
      </c>
      <c r="B54" s="33" t="s">
        <v>2174</v>
      </c>
      <c r="C54" s="34" t="s">
        <v>726</v>
      </c>
      <c r="D54" s="51" t="s">
        <v>564</v>
      </c>
      <c r="E54" s="52" t="str">
        <f>IFERROR(VLOOKUP(D54,'Master List'!D:H,2,FALSE),"NA")</f>
        <v>151001</v>
      </c>
      <c r="F54" s="53" t="str">
        <f>IFERROR(VLOOKUP(D54,'Master List'!D:H,3,FALSE),"NA")</f>
        <v>151001</v>
      </c>
      <c r="G54" s="38" t="str">
        <f>IFERROR(VLOOKUP(D54,'Master List'!D:H,4,FALSE),"NA")</f>
        <v>151001</v>
      </c>
      <c r="H54" s="39" t="str">
        <f>IFERROR(VLOOKUP(D54,'Master List'!D:H,5,FALSE),"NA")</f>
        <v>Construction Engineering Technology/Technician.</v>
      </c>
      <c r="I54" s="19"/>
      <c r="J54" s="20"/>
      <c r="K54" s="18"/>
      <c r="L54" s="22"/>
    </row>
    <row r="55" spans="1:12" x14ac:dyDescent="0.3">
      <c r="A55" s="33">
        <v>2</v>
      </c>
      <c r="B55" s="33" t="s">
        <v>2174</v>
      </c>
      <c r="C55" s="34" t="s">
        <v>726</v>
      </c>
      <c r="D55" s="51" t="s">
        <v>271</v>
      </c>
      <c r="E55" s="52" t="str">
        <f>IFERROR(VLOOKUP(D55,'Master List'!D:H,2,FALSE),"NA")</f>
        <v>410301</v>
      </c>
      <c r="F55" s="53" t="str">
        <f>IFERROR(VLOOKUP(D55,'Master List'!D:H,3,FALSE),"NA")</f>
        <v>410301</v>
      </c>
      <c r="G55" s="38" t="str">
        <f>IFERROR(VLOOKUP(D55,'Master List'!D:H,4,FALSE),"NA")</f>
        <v>410301</v>
      </c>
      <c r="H55" s="39" t="str">
        <f>IFERROR(VLOOKUP(D55,'Master List'!D:H,5,FALSE),"NA")</f>
        <v>Chemical Technology/Technician.</v>
      </c>
      <c r="I55" s="19"/>
      <c r="J55" s="20"/>
      <c r="K55" s="18"/>
      <c r="L55" s="22"/>
    </row>
    <row r="56" spans="1:12" x14ac:dyDescent="0.3">
      <c r="A56" s="33">
        <v>2</v>
      </c>
      <c r="B56" s="33" t="s">
        <v>2174</v>
      </c>
      <c r="C56" s="34" t="s">
        <v>726</v>
      </c>
      <c r="D56" s="51" t="s">
        <v>734</v>
      </c>
      <c r="E56" s="52" t="str">
        <f>IFERROR(VLOOKUP(D56,'Master List'!D:H,2,FALSE),"NA")</f>
        <v>470604</v>
      </c>
      <c r="F56" s="53" t="str">
        <f>IFERROR(VLOOKUP(D56,'Master List'!D:H,3,FALSE),"NA")</f>
        <v>470604</v>
      </c>
      <c r="G56" s="38" t="str">
        <f>IFERROR(VLOOKUP(D56,'Master List'!D:H,4,FALSE),"NA")</f>
        <v>470604</v>
      </c>
      <c r="H56" s="39" t="str">
        <f>IFERROR(VLOOKUP(D56,'Master List'!D:H,5,FALSE),"NA")</f>
        <v>Automobile/Automotive Mechanics Technology/Technician.</v>
      </c>
      <c r="I56" s="19"/>
      <c r="J56" s="20"/>
      <c r="K56" s="18"/>
      <c r="L56" s="22"/>
    </row>
    <row r="57" spans="1:12" x14ac:dyDescent="0.3">
      <c r="A57" s="33">
        <v>2</v>
      </c>
      <c r="B57" s="33" t="s">
        <v>2174</v>
      </c>
      <c r="C57" s="34" t="s">
        <v>726</v>
      </c>
      <c r="D57" s="51" t="s">
        <v>735</v>
      </c>
      <c r="E57" s="52" t="str">
        <f>IFERROR(VLOOKUP(D57,'Master List'!D:H,2,FALSE),"NA")</f>
        <v>470604</v>
      </c>
      <c r="F57" s="53" t="str">
        <f>IFERROR(VLOOKUP(D57,'Master List'!D:H,3,FALSE),"NA")</f>
        <v>470604</v>
      </c>
      <c r="G57" s="38" t="str">
        <f>IFERROR(VLOOKUP(D57,'Master List'!D:H,4,FALSE),"NA")</f>
        <v>470604</v>
      </c>
      <c r="H57" s="39" t="str">
        <f>IFERROR(VLOOKUP(D57,'Master List'!D:H,5,FALSE),"NA")</f>
        <v>Automobile/Automotive Mechanics Technology/Technician.</v>
      </c>
      <c r="I57" s="19"/>
      <c r="J57" s="20"/>
      <c r="K57" s="18"/>
      <c r="L57" s="22"/>
    </row>
    <row r="58" spans="1:12" x14ac:dyDescent="0.3">
      <c r="A58" s="33">
        <v>2</v>
      </c>
      <c r="B58" s="33" t="s">
        <v>2174</v>
      </c>
      <c r="C58" s="34" t="s">
        <v>726</v>
      </c>
      <c r="D58" s="51" t="s">
        <v>156</v>
      </c>
      <c r="E58" s="52" t="str">
        <f>IFERROR(VLOOKUP(D58,'Master List'!D:H,2,FALSE),"NA")</f>
        <v>470605</v>
      </c>
      <c r="F58" s="53" t="str">
        <f>IFERROR(VLOOKUP(D58,'Master List'!D:H,3,FALSE),"NA")</f>
        <v>470605</v>
      </c>
      <c r="G58" s="38" t="str">
        <f>IFERROR(VLOOKUP(D58,'Master List'!D:H,4,FALSE),"NA")</f>
        <v>470605</v>
      </c>
      <c r="H58" s="39" t="str">
        <f>IFERROR(VLOOKUP(D58,'Master List'!D:H,5,FALSE),"NA")</f>
        <v>Diesel Mechanics Technology/Technician.</v>
      </c>
      <c r="I58" s="19"/>
      <c r="J58" s="20"/>
      <c r="K58" s="18"/>
      <c r="L58" s="22"/>
    </row>
    <row r="59" spans="1:12" x14ac:dyDescent="0.3">
      <c r="A59" s="33">
        <v>2</v>
      </c>
      <c r="B59" s="33" t="s">
        <v>2174</v>
      </c>
      <c r="C59" s="34" t="s">
        <v>726</v>
      </c>
      <c r="D59" s="51" t="s">
        <v>736</v>
      </c>
      <c r="E59" s="52" t="str">
        <f>IFERROR(VLOOKUP(D59,'Master List'!D:H,2,FALSE),"NA")</f>
        <v>470605</v>
      </c>
      <c r="F59" s="53" t="str">
        <f>IFERROR(VLOOKUP(D59,'Master List'!D:H,3,FALSE),"NA")</f>
        <v>470605</v>
      </c>
      <c r="G59" s="38" t="str">
        <f>IFERROR(VLOOKUP(D59,'Master List'!D:H,4,FALSE),"NA")</f>
        <v>470605</v>
      </c>
      <c r="H59" s="39" t="str">
        <f>IFERROR(VLOOKUP(D59,'Master List'!D:H,5,FALSE),"NA")</f>
        <v>Diesel Mechanics Technology/Technician.</v>
      </c>
      <c r="I59" s="19"/>
      <c r="J59" s="20"/>
      <c r="K59" s="18"/>
      <c r="L59" s="22"/>
    </row>
    <row r="60" spans="1:12" x14ac:dyDescent="0.3">
      <c r="A60" s="33">
        <v>2</v>
      </c>
      <c r="B60" s="33" t="s">
        <v>2174</v>
      </c>
      <c r="C60" s="34" t="s">
        <v>726</v>
      </c>
      <c r="D60" s="51" t="s">
        <v>737</v>
      </c>
      <c r="E60" s="52" t="str">
        <f>IFERROR(VLOOKUP(D60,'Master List'!D:H,2,FALSE),"NA")</f>
        <v>470605</v>
      </c>
      <c r="F60" s="53" t="str">
        <f>IFERROR(VLOOKUP(D60,'Master List'!D:H,3,FALSE),"NA")</f>
        <v>470605</v>
      </c>
      <c r="G60" s="38" t="str">
        <f>IFERROR(VLOOKUP(D60,'Master List'!D:H,4,FALSE),"NA")</f>
        <v>470605</v>
      </c>
      <c r="H60" s="39" t="str">
        <f>IFERROR(VLOOKUP(D60,'Master List'!D:H,5,FALSE),"NA")</f>
        <v>Diesel Mechanics Technology/Technician.</v>
      </c>
      <c r="I60" s="19"/>
      <c r="J60" s="20"/>
      <c r="K60" s="18"/>
      <c r="L60" s="22"/>
    </row>
    <row r="61" spans="1:12" x14ac:dyDescent="0.3">
      <c r="A61" s="33">
        <v>2</v>
      </c>
      <c r="B61" s="33" t="s">
        <v>2174</v>
      </c>
      <c r="C61" s="34" t="s">
        <v>726</v>
      </c>
      <c r="D61" s="51" t="s">
        <v>159</v>
      </c>
      <c r="E61" s="52" t="str">
        <f>IFERROR(VLOOKUP(D61,'Master List'!D:H,2,FALSE),"NA")</f>
        <v>470605</v>
      </c>
      <c r="F61" s="53" t="str">
        <f>IFERROR(VLOOKUP(D61,'Master List'!D:H,3,FALSE),"NA")</f>
        <v>470605</v>
      </c>
      <c r="G61" s="38" t="str">
        <f>IFERROR(VLOOKUP(D61,'Master List'!D:H,4,FALSE),"NA")</f>
        <v>470605</v>
      </c>
      <c r="H61" s="39" t="str">
        <f>IFERROR(VLOOKUP(D61,'Master List'!D:H,5,FALSE),"NA")</f>
        <v>Diesel Mechanics Technology/Technician.</v>
      </c>
      <c r="I61" s="19"/>
      <c r="J61" s="20"/>
      <c r="K61" s="18"/>
      <c r="L61" s="22"/>
    </row>
    <row r="62" spans="1:12" x14ac:dyDescent="0.3">
      <c r="A62" s="33">
        <v>2</v>
      </c>
      <c r="B62" s="33" t="s">
        <v>2174</v>
      </c>
      <c r="C62" s="34" t="s">
        <v>726</v>
      </c>
      <c r="D62" s="51" t="s">
        <v>738</v>
      </c>
      <c r="E62" s="52" t="str">
        <f>IFERROR(VLOOKUP(D62,'Master List'!D:H,2,FALSE),"NA")</f>
        <v>470605</v>
      </c>
      <c r="F62" s="53" t="str">
        <f>IFERROR(VLOOKUP(D62,'Master List'!D:H,3,FALSE),"NA")</f>
        <v>470605</v>
      </c>
      <c r="G62" s="38" t="str">
        <f>IFERROR(VLOOKUP(D62,'Master List'!D:H,4,FALSE),"NA")</f>
        <v>470605</v>
      </c>
      <c r="H62" s="39" t="str">
        <f>IFERROR(VLOOKUP(D62,'Master List'!D:H,5,FALSE),"NA")</f>
        <v>Diesel Mechanics Technology/Technician.</v>
      </c>
      <c r="I62" s="19"/>
      <c r="J62" s="20"/>
      <c r="K62" s="18"/>
      <c r="L62" s="22"/>
    </row>
    <row r="63" spans="1:12" x14ac:dyDescent="0.3">
      <c r="A63" s="33">
        <v>2</v>
      </c>
      <c r="B63" s="33" t="s">
        <v>2174</v>
      </c>
      <c r="C63" s="34" t="s">
        <v>726</v>
      </c>
      <c r="D63" s="51" t="s">
        <v>282</v>
      </c>
      <c r="E63" s="52" t="str">
        <f>IFERROR(VLOOKUP(D63,'Master List'!D:H,2,FALSE),"NA")</f>
        <v>470607</v>
      </c>
      <c r="F63" s="53" t="str">
        <f>IFERROR(VLOOKUP(D63,'Master List'!D:H,3,FALSE),"NA")</f>
        <v>470607</v>
      </c>
      <c r="G63" s="38" t="str">
        <f>IFERROR(VLOOKUP(D63,'Master List'!D:H,4,FALSE),"NA")</f>
        <v>470607</v>
      </c>
      <c r="H63" s="39" t="str">
        <f>IFERROR(VLOOKUP(D63,'Master List'!D:H,5,FALSE),"NA")</f>
        <v>Airframe Mechanics and Aircraft Maintenance Technology/Technician.</v>
      </c>
      <c r="I63" s="19"/>
      <c r="J63" s="20"/>
      <c r="K63" s="18"/>
      <c r="L63" s="22"/>
    </row>
    <row r="64" spans="1:12" x14ac:dyDescent="0.3">
      <c r="A64" s="33">
        <v>2</v>
      </c>
      <c r="B64" s="33" t="s">
        <v>2174</v>
      </c>
      <c r="C64" s="34" t="s">
        <v>726</v>
      </c>
      <c r="D64" s="51" t="s">
        <v>285</v>
      </c>
      <c r="E64" s="52" t="str">
        <f>IFERROR(VLOOKUP(D64,'Master List'!D:H,2,FALSE),"NA")</f>
        <v>470608</v>
      </c>
      <c r="F64" s="53" t="str">
        <f>IFERROR(VLOOKUP(D64,'Master List'!D:H,3,FALSE),"NA")</f>
        <v>470608</v>
      </c>
      <c r="G64" s="38" t="str">
        <f>IFERROR(VLOOKUP(D64,'Master List'!D:H,4,FALSE),"NA")</f>
        <v>470608</v>
      </c>
      <c r="H64" s="39" t="str">
        <f>IFERROR(VLOOKUP(D64,'Master List'!D:H,5,FALSE),"NA")</f>
        <v>Aircraft Powerplant Technology/Technician.</v>
      </c>
      <c r="I64" s="19"/>
      <c r="J64" s="20"/>
      <c r="K64" s="18"/>
      <c r="L64" s="22"/>
    </row>
    <row r="65" spans="1:12" x14ac:dyDescent="0.3">
      <c r="A65" s="33">
        <v>2</v>
      </c>
      <c r="B65" s="33" t="s">
        <v>2174</v>
      </c>
      <c r="C65" s="34" t="s">
        <v>726</v>
      </c>
      <c r="D65" s="51" t="s">
        <v>739</v>
      </c>
      <c r="E65" s="52" t="str">
        <f>IFERROR(VLOOKUP(D65,'Master List'!D:H,2,FALSE),"NA")</f>
        <v>470609</v>
      </c>
      <c r="F65" s="53" t="str">
        <f>IFERROR(VLOOKUP(D65,'Master List'!D:H,3,FALSE),"NA")</f>
        <v>470609</v>
      </c>
      <c r="G65" s="38" t="str">
        <f>IFERROR(VLOOKUP(D65,'Master List'!D:H,4,FALSE),"NA")</f>
        <v>470609</v>
      </c>
      <c r="H65" s="39" t="str">
        <f>IFERROR(VLOOKUP(D65,'Master List'!D:H,5,FALSE),"NA")</f>
        <v>Avionics Maintenance Technology/Technician.</v>
      </c>
      <c r="I65" s="19"/>
      <c r="J65" s="20"/>
      <c r="K65" s="18"/>
      <c r="L65" s="22"/>
    </row>
    <row r="66" spans="1:12" x14ac:dyDescent="0.3">
      <c r="A66" s="33">
        <v>2</v>
      </c>
      <c r="B66" s="33" t="s">
        <v>2174</v>
      </c>
      <c r="C66" s="34" t="s">
        <v>726</v>
      </c>
      <c r="D66" s="51" t="s">
        <v>297</v>
      </c>
      <c r="E66" s="52" t="str">
        <f>IFERROR(VLOOKUP(D66,'Master List'!D:H,2,FALSE),"NA")</f>
        <v>490102</v>
      </c>
      <c r="F66" s="53" t="str">
        <f>IFERROR(VLOOKUP(D66,'Master List'!D:H,3,FALSE),"NA")</f>
        <v>490102</v>
      </c>
      <c r="G66" s="38" t="str">
        <f>IFERROR(VLOOKUP(D66,'Master List'!D:H,4,FALSE),"NA")</f>
        <v>490102</v>
      </c>
      <c r="H66" s="39" t="str">
        <f>IFERROR(VLOOKUP(D66,'Master List'!D:H,5,FALSE),"NA")</f>
        <v>Airline/Commercial/Professional Pilot and Flight Crew.</v>
      </c>
      <c r="I66" s="19"/>
      <c r="J66" s="20"/>
      <c r="K66" s="18"/>
      <c r="L66" s="22"/>
    </row>
    <row r="67" spans="1:12" x14ac:dyDescent="0.3">
      <c r="A67" s="33">
        <v>2</v>
      </c>
      <c r="B67" s="33" t="s">
        <v>2174</v>
      </c>
      <c r="C67" s="34" t="s">
        <v>726</v>
      </c>
      <c r="D67" s="51" t="s">
        <v>742</v>
      </c>
      <c r="E67" s="52" t="str">
        <f>IFERROR(VLOOKUP(D67,'Master List'!D:H,2,FALSE),"NA")</f>
        <v>490104</v>
      </c>
      <c r="F67" s="53" t="str">
        <f>IFERROR(VLOOKUP(D67,'Master List'!D:H,3,FALSE),"NA")</f>
        <v>490104</v>
      </c>
      <c r="G67" s="38" t="str">
        <f>IFERROR(VLOOKUP(D67,'Master List'!D:H,4,FALSE),"NA")</f>
        <v>490104</v>
      </c>
      <c r="H67" s="39" t="str">
        <f>IFERROR(VLOOKUP(D67,'Master List'!D:H,5,FALSE),"NA")</f>
        <v>Aviation/Airway Management and Operations.</v>
      </c>
      <c r="I67" s="19"/>
      <c r="J67" s="20"/>
      <c r="K67" s="18"/>
      <c r="L67" s="22"/>
    </row>
    <row r="68" spans="1:12" x14ac:dyDescent="0.3">
      <c r="A68" s="33">
        <v>2</v>
      </c>
      <c r="B68" s="33" t="s">
        <v>2174</v>
      </c>
      <c r="C68" s="34" t="s">
        <v>726</v>
      </c>
      <c r="D68" s="51" t="s">
        <v>303</v>
      </c>
      <c r="E68" s="52" t="str">
        <f>IFERROR(VLOOKUP(D68,'Master List'!D:H,2,FALSE),"NA")</f>
        <v>490104</v>
      </c>
      <c r="F68" s="53" t="str">
        <f>IFERROR(VLOOKUP(D68,'Master List'!D:H,3,FALSE),"NA")</f>
        <v>490104</v>
      </c>
      <c r="G68" s="38" t="str">
        <f>IFERROR(VLOOKUP(D68,'Master List'!D:H,4,FALSE),"NA")</f>
        <v>490104</v>
      </c>
      <c r="H68" s="39" t="str">
        <f>IFERROR(VLOOKUP(D68,'Master List'!D:H,5,FALSE),"NA")</f>
        <v>Aviation/Airway Management and Operations.</v>
      </c>
      <c r="I68" s="19"/>
      <c r="J68" s="20"/>
      <c r="K68" s="18"/>
      <c r="L68" s="22"/>
    </row>
    <row r="69" spans="1:12" x14ac:dyDescent="0.3">
      <c r="A69" s="33">
        <v>2</v>
      </c>
      <c r="B69" s="33" t="s">
        <v>2174</v>
      </c>
      <c r="C69" s="34" t="s">
        <v>726</v>
      </c>
      <c r="D69" s="51" t="s">
        <v>743</v>
      </c>
      <c r="E69" s="52" t="str">
        <f>IFERROR(VLOOKUP(D69,'Master List'!D:H,2,FALSE),"NA")</f>
        <v>490104</v>
      </c>
      <c r="F69" s="53" t="str">
        <f>IFERROR(VLOOKUP(D69,'Master List'!D:H,3,FALSE),"NA")</f>
        <v>490104</v>
      </c>
      <c r="G69" s="38" t="str">
        <f>IFERROR(VLOOKUP(D69,'Master List'!D:H,4,FALSE),"NA")</f>
        <v>490104</v>
      </c>
      <c r="H69" s="39" t="str">
        <f>IFERROR(VLOOKUP(D69,'Master List'!D:H,5,FALSE),"NA")</f>
        <v>Aviation/Airway Management and Operations.</v>
      </c>
      <c r="I69" s="19"/>
      <c r="J69" s="20"/>
      <c r="K69" s="18"/>
      <c r="L69" s="22"/>
    </row>
    <row r="70" spans="1:12" x14ac:dyDescent="0.3">
      <c r="A70" s="33">
        <v>2</v>
      </c>
      <c r="B70" s="33" t="s">
        <v>2174</v>
      </c>
      <c r="C70" s="34" t="s">
        <v>726</v>
      </c>
      <c r="D70" s="51" t="s">
        <v>567</v>
      </c>
      <c r="E70" s="52" t="str">
        <f>IFERROR(VLOOKUP(D70,'Master List'!D:H,2,FALSE),"NA")</f>
        <v>500602</v>
      </c>
      <c r="F70" s="53" t="str">
        <f>IFERROR(VLOOKUP(D70,'Master List'!D:H,3,FALSE),"NA")</f>
        <v>500602</v>
      </c>
      <c r="G70" s="38" t="str">
        <f>IFERROR(VLOOKUP(D70,'Master List'!D:H,4,FALSE),"NA")</f>
        <v>500602</v>
      </c>
      <c r="H70" s="39" t="str">
        <f>IFERROR(VLOOKUP(D70,'Master List'!D:H,5,FALSE),"NA")</f>
        <v>Cinematography and Film/Video Production.</v>
      </c>
      <c r="I70" s="19"/>
      <c r="J70" s="20"/>
      <c r="K70" s="18"/>
      <c r="L70" s="22"/>
    </row>
    <row r="71" spans="1:12" x14ac:dyDescent="0.3">
      <c r="A71" s="33">
        <v>2</v>
      </c>
      <c r="B71" s="33" t="s">
        <v>2174</v>
      </c>
      <c r="C71" s="34" t="s">
        <v>726</v>
      </c>
      <c r="D71" s="51" t="s">
        <v>744</v>
      </c>
      <c r="E71" s="52" t="str">
        <f>IFERROR(VLOOKUP(D71,'Master List'!D:H,2,FALSE),"NA")</f>
        <v>500602</v>
      </c>
      <c r="F71" s="53" t="str">
        <f>IFERROR(VLOOKUP(D71,'Master List'!D:H,3,FALSE),"NA")</f>
        <v>500602</v>
      </c>
      <c r="G71" s="38" t="str">
        <f>IFERROR(VLOOKUP(D71,'Master List'!D:H,4,FALSE),"NA")</f>
        <v>500602</v>
      </c>
      <c r="H71" s="39" t="str">
        <f>IFERROR(VLOOKUP(D71,'Master List'!D:H,5,FALSE),"NA")</f>
        <v>Cinematography and Film/Video Production.</v>
      </c>
      <c r="I71" s="19"/>
      <c r="J71" s="20"/>
      <c r="K71" s="18"/>
      <c r="L71" s="22"/>
    </row>
    <row r="72" spans="1:12" x14ac:dyDescent="0.3">
      <c r="A72" s="33">
        <v>2</v>
      </c>
      <c r="B72" s="33" t="s">
        <v>2174</v>
      </c>
      <c r="C72" s="34" t="s">
        <v>726</v>
      </c>
      <c r="D72" s="51" t="s">
        <v>745</v>
      </c>
      <c r="E72" s="52" t="str">
        <f>IFERROR(VLOOKUP(D72,'Master List'!D:H,2,FALSE),"NA")</f>
        <v>500602</v>
      </c>
      <c r="F72" s="53" t="str">
        <f>IFERROR(VLOOKUP(D72,'Master List'!D:H,3,FALSE),"NA")</f>
        <v>500602</v>
      </c>
      <c r="G72" s="38" t="str">
        <f>IFERROR(VLOOKUP(D72,'Master List'!D:H,4,FALSE),"NA")</f>
        <v>500602</v>
      </c>
      <c r="H72" s="39" t="str">
        <f>IFERROR(VLOOKUP(D72,'Master List'!D:H,5,FALSE),"NA")</f>
        <v>Cinematography and Film/Video Production.</v>
      </c>
      <c r="I72" s="19"/>
      <c r="J72" s="20"/>
      <c r="K72" s="18"/>
      <c r="L72" s="22"/>
    </row>
    <row r="73" spans="1:12" x14ac:dyDescent="0.3">
      <c r="A73" s="33">
        <v>2</v>
      </c>
      <c r="B73" s="33" t="s">
        <v>2174</v>
      </c>
      <c r="C73" s="34" t="s">
        <v>726</v>
      </c>
      <c r="D73" s="51" t="s">
        <v>746</v>
      </c>
      <c r="E73" s="52" t="str">
        <f>IFERROR(VLOOKUP(D73,'Master List'!D:H,2,FALSE),"NA")</f>
        <v>500602</v>
      </c>
      <c r="F73" s="53" t="str">
        <f>IFERROR(VLOOKUP(D73,'Master List'!D:H,3,FALSE),"NA")</f>
        <v>500602</v>
      </c>
      <c r="G73" s="38" t="str">
        <f>IFERROR(VLOOKUP(D73,'Master List'!D:H,4,FALSE),"NA")</f>
        <v>500602</v>
      </c>
      <c r="H73" s="39" t="str">
        <f>IFERROR(VLOOKUP(D73,'Master List'!D:H,5,FALSE),"NA")</f>
        <v>Cinematography and Film/Video Production.</v>
      </c>
      <c r="I73" s="19"/>
      <c r="J73" s="20"/>
      <c r="K73" s="18"/>
      <c r="L73" s="22"/>
    </row>
    <row r="74" spans="1:12" x14ac:dyDescent="0.3">
      <c r="A74" s="33">
        <v>2</v>
      </c>
      <c r="B74" s="33" t="s">
        <v>2174</v>
      </c>
      <c r="C74" s="34" t="s">
        <v>726</v>
      </c>
      <c r="D74" s="51" t="s">
        <v>62</v>
      </c>
      <c r="E74" s="52" t="str">
        <f>IFERROR(VLOOKUP(D74,'Master List'!D:H,2,FALSE),"NA")</f>
        <v>500602</v>
      </c>
      <c r="F74" s="53" t="str">
        <f>IFERROR(VLOOKUP(D74,'Master List'!D:H,3,FALSE),"NA")</f>
        <v>500602</v>
      </c>
      <c r="G74" s="38">
        <f>IFERROR(VLOOKUP(D74,'Master List'!D:H,4,FALSE),"NA")</f>
        <v>100203</v>
      </c>
      <c r="H74" s="39" t="str">
        <f>IFERROR(VLOOKUP(D74,'Master List'!D:H,5,FALSE),"NA")</f>
        <v>Recording Arts Technology/Technician</v>
      </c>
      <c r="I74" s="19"/>
      <c r="J74" s="20"/>
      <c r="K74" s="18"/>
      <c r="L74" s="22"/>
    </row>
    <row r="75" spans="1:12" x14ac:dyDescent="0.3">
      <c r="A75" s="33">
        <v>2</v>
      </c>
      <c r="B75" s="33" t="s">
        <v>2174</v>
      </c>
      <c r="C75" s="34" t="s">
        <v>726</v>
      </c>
      <c r="D75" s="51" t="s">
        <v>65</v>
      </c>
      <c r="E75" s="52" t="str">
        <f>IFERROR(VLOOKUP(D75,'Master List'!D:H,2,FALSE),"NA")</f>
        <v>520209</v>
      </c>
      <c r="F75" s="53" t="str">
        <f>IFERROR(VLOOKUP(D75,'Master List'!D:H,3,FALSE),"NA")</f>
        <v>520209</v>
      </c>
      <c r="G75" s="38" t="str">
        <f>IFERROR(VLOOKUP(D75,'Master List'!D:H,4,FALSE),"NA")</f>
        <v>520209</v>
      </c>
      <c r="H75" s="39" t="str">
        <f>IFERROR(VLOOKUP(D75,'Master List'!D:H,5,FALSE),"NA")</f>
        <v>Transportation/Mobility Management.</v>
      </c>
      <c r="I75" s="19"/>
      <c r="J75" s="20"/>
      <c r="K75" s="18"/>
      <c r="L75" s="22"/>
    </row>
    <row r="76" spans="1:12" x14ac:dyDescent="0.3">
      <c r="A76" s="33">
        <v>2</v>
      </c>
      <c r="B76" s="33" t="s">
        <v>2174</v>
      </c>
      <c r="C76" s="34" t="s">
        <v>726</v>
      </c>
      <c r="D76" s="51" t="s">
        <v>68</v>
      </c>
      <c r="E76" s="52" t="str">
        <f>IFERROR(VLOOKUP(D76,'Master List'!D:H,2,FALSE),"NA")</f>
        <v>430102</v>
      </c>
      <c r="F76" s="53" t="str">
        <f>IFERROR(VLOOKUP(D76,'Master List'!D:H,3,FALSE),"NA")</f>
        <v>430102</v>
      </c>
      <c r="G76" s="38" t="str">
        <f>IFERROR(VLOOKUP(D76,'Master List'!D:H,4,FALSE),"NA")</f>
        <v>430102</v>
      </c>
      <c r="H76" s="39" t="str">
        <f>IFERROR(VLOOKUP(D76,'Master List'!D:H,5,FALSE),"NA")</f>
        <v>Corrections.</v>
      </c>
      <c r="I76" s="19"/>
      <c r="J76" s="20"/>
      <c r="K76" s="18"/>
      <c r="L76" s="22"/>
    </row>
    <row r="77" spans="1:12" x14ac:dyDescent="0.3">
      <c r="A77" s="33">
        <v>2</v>
      </c>
      <c r="B77" s="33" t="s">
        <v>2174</v>
      </c>
      <c r="C77" s="34" t="s">
        <v>726</v>
      </c>
      <c r="D77" s="51" t="s">
        <v>316</v>
      </c>
      <c r="E77" s="52" t="str">
        <f>IFERROR(VLOOKUP(D77,'Master List'!D:H,2,FALSE),"NA")</f>
        <v>430103</v>
      </c>
      <c r="F77" s="53" t="str">
        <f>IFERROR(VLOOKUP(D77,'Master List'!D:H,3,FALSE),"NA")</f>
        <v>430103</v>
      </c>
      <c r="G77" s="38" t="str">
        <f>IFERROR(VLOOKUP(D77,'Master List'!D:H,4,FALSE),"NA")</f>
        <v>430103</v>
      </c>
      <c r="H77" s="39" t="str">
        <f>IFERROR(VLOOKUP(D77,'Master List'!D:H,5,FALSE),"NA")</f>
        <v>Criminal Justice/Law Enforcement Administration.</v>
      </c>
      <c r="I77" s="19"/>
      <c r="J77" s="20"/>
      <c r="K77" s="18"/>
      <c r="L77" s="22"/>
    </row>
    <row r="78" spans="1:12" x14ac:dyDescent="0.3">
      <c r="A78" s="33">
        <v>2</v>
      </c>
      <c r="B78" s="33" t="s">
        <v>2174</v>
      </c>
      <c r="C78" s="34" t="s">
        <v>726</v>
      </c>
      <c r="D78" s="51" t="s">
        <v>574</v>
      </c>
      <c r="E78" s="52" t="str">
        <f>IFERROR(VLOOKUP(D78,'Master List'!D:H,2,FALSE),"NA")</f>
        <v>430103</v>
      </c>
      <c r="F78" s="53" t="str">
        <f>IFERROR(VLOOKUP(D78,'Master List'!D:H,3,FALSE),"NA")</f>
        <v>430103</v>
      </c>
      <c r="G78" s="38" t="str">
        <f>IFERROR(VLOOKUP(D78,'Master List'!D:H,4,FALSE),"NA")</f>
        <v>430103</v>
      </c>
      <c r="H78" s="39" t="str">
        <f>IFERROR(VLOOKUP(D78,'Master List'!D:H,5,FALSE),"NA")</f>
        <v>Criminal Justice/Law Enforcement Administration.</v>
      </c>
      <c r="I78" s="19"/>
      <c r="J78" s="20"/>
      <c r="K78" s="18"/>
      <c r="L78" s="22"/>
    </row>
    <row r="79" spans="1:12" x14ac:dyDescent="0.3">
      <c r="A79" s="33">
        <v>2</v>
      </c>
      <c r="B79" s="33" t="s">
        <v>2174</v>
      </c>
      <c r="C79" s="34" t="s">
        <v>726</v>
      </c>
      <c r="D79" s="51" t="s">
        <v>395</v>
      </c>
      <c r="E79" s="52" t="str">
        <f>IFERROR(VLOOKUP(D79,'Master List'!D:H,2,FALSE),"NA")</f>
        <v>430106</v>
      </c>
      <c r="F79" s="53" t="str">
        <f>IFERROR(VLOOKUP(D79,'Master List'!D:H,3,FALSE),"NA")</f>
        <v>430406</v>
      </c>
      <c r="G79" s="38" t="str">
        <f>IFERROR(VLOOKUP(D79,'Master List'!D:H,4,FALSE),"NA")</f>
        <v>430406</v>
      </c>
      <c r="H79" s="39" t="str">
        <f>IFERROR(VLOOKUP(D79,'Master List'!D:H,5,FALSE),"NA")</f>
        <v>Forensic Science and Technology.</v>
      </c>
      <c r="I79" s="19"/>
      <c r="J79" s="20"/>
      <c r="K79" s="18"/>
      <c r="L79" s="22"/>
    </row>
    <row r="80" spans="1:12" x14ac:dyDescent="0.3">
      <c r="A80" s="33">
        <v>2</v>
      </c>
      <c r="B80" s="33" t="s">
        <v>2174</v>
      </c>
      <c r="C80" s="34" t="s">
        <v>726</v>
      </c>
      <c r="D80" s="51" t="s">
        <v>71</v>
      </c>
      <c r="E80" s="52" t="str">
        <f>IFERROR(VLOOKUP(D80,'Master List'!D:H,2,FALSE),"NA")</f>
        <v>430107</v>
      </c>
      <c r="F80" s="53" t="str">
        <f>IFERROR(VLOOKUP(D80,'Master List'!D:H,3,FALSE),"NA")</f>
        <v>430107</v>
      </c>
      <c r="G80" s="38" t="str">
        <f>IFERROR(VLOOKUP(D80,'Master List'!D:H,4,FALSE),"NA")</f>
        <v>430107</v>
      </c>
      <c r="H80" s="39" t="str">
        <f>IFERROR(VLOOKUP(D80,'Master List'!D:H,5,FALSE),"NA")</f>
        <v>Criminal Justice/Police Science.</v>
      </c>
      <c r="I80" s="19"/>
      <c r="J80" s="20"/>
      <c r="K80" s="18"/>
      <c r="L80" s="22"/>
    </row>
    <row r="81" spans="1:12" x14ac:dyDescent="0.3">
      <c r="A81" s="33">
        <v>2</v>
      </c>
      <c r="B81" s="33" t="s">
        <v>2174</v>
      </c>
      <c r="C81" s="34" t="s">
        <v>726</v>
      </c>
      <c r="D81" s="51" t="s">
        <v>74</v>
      </c>
      <c r="E81" s="52" t="str">
        <f>IFERROR(VLOOKUP(D81,'Master List'!D:H,2,FALSE),"NA")</f>
        <v>430107</v>
      </c>
      <c r="F81" s="53" t="str">
        <f>IFERROR(VLOOKUP(D81,'Master List'!D:H,3,FALSE),"NA")</f>
        <v>430107</v>
      </c>
      <c r="G81" s="38" t="str">
        <f>IFERROR(VLOOKUP(D81,'Master List'!D:H,4,FALSE),"NA")</f>
        <v>430107</v>
      </c>
      <c r="H81" s="39" t="str">
        <f>IFERROR(VLOOKUP(D81,'Master List'!D:H,5,FALSE),"NA")</f>
        <v>Criminal Justice/Police Science.</v>
      </c>
      <c r="I81" s="19"/>
      <c r="J81" s="20"/>
      <c r="K81" s="18"/>
      <c r="L81" s="22"/>
    </row>
    <row r="82" spans="1:12" x14ac:dyDescent="0.3">
      <c r="A82" s="33">
        <v>2</v>
      </c>
      <c r="B82" s="33" t="s">
        <v>2174</v>
      </c>
      <c r="C82" s="34" t="s">
        <v>726</v>
      </c>
      <c r="D82" s="51" t="s">
        <v>748</v>
      </c>
      <c r="E82" s="52" t="str">
        <f>IFERROR(VLOOKUP(D82,'Master List'!D:H,2,FALSE),"NA")</f>
        <v>430199</v>
      </c>
      <c r="F82" s="53" t="str">
        <f>IFERROR(VLOOKUP(D82,'Master List'!D:H,3,FALSE),"NA")</f>
        <v>430199</v>
      </c>
      <c r="G82" s="38" t="str">
        <f>IFERROR(VLOOKUP(D82,'Master List'!D:H,4,FALSE),"NA")</f>
        <v>430199</v>
      </c>
      <c r="H82" s="39" t="str">
        <f>IFERROR(VLOOKUP(D82,'Master List'!D:H,5,FALSE),"NA")</f>
        <v>Corrections and Criminal Justice, Other.</v>
      </c>
      <c r="I82" s="19"/>
      <c r="J82" s="20"/>
      <c r="K82" s="18"/>
      <c r="L82" s="22"/>
    </row>
    <row r="83" spans="1:12" x14ac:dyDescent="0.3">
      <c r="A83" s="33">
        <v>2</v>
      </c>
      <c r="B83" s="33" t="s">
        <v>2174</v>
      </c>
      <c r="C83" s="34" t="s">
        <v>726</v>
      </c>
      <c r="D83" s="51" t="s">
        <v>166</v>
      </c>
      <c r="E83" s="52" t="str">
        <f>IFERROR(VLOOKUP(D83,'Master List'!D:H,2,FALSE),"NA")</f>
        <v>NA</v>
      </c>
      <c r="F83" s="53" t="str">
        <f>IFERROR(VLOOKUP(D83,'Master List'!D:H,3,FALSE),"NA")</f>
        <v>NA</v>
      </c>
      <c r="G83" s="38" t="str">
        <f>IFERROR(VLOOKUP(D83,'Master List'!D:H,4,FALSE),"NA")</f>
        <v>NA</v>
      </c>
      <c r="H83" s="39" t="str">
        <f>IFERROR(VLOOKUP(D83,'Master List'!D:H,5,FALSE),"NA")</f>
        <v>NA</v>
      </c>
      <c r="I83" s="19"/>
      <c r="J83" s="20"/>
      <c r="K83" s="18"/>
      <c r="L83" s="22"/>
    </row>
    <row r="84" spans="1:12" x14ac:dyDescent="0.3">
      <c r="A84" s="33">
        <v>2</v>
      </c>
      <c r="B84" s="33" t="s">
        <v>2174</v>
      </c>
      <c r="C84" s="34" t="s">
        <v>726</v>
      </c>
      <c r="D84" s="51" t="s">
        <v>79</v>
      </c>
      <c r="E84" s="52" t="str">
        <f>IFERROR(VLOOKUP(D84,'Master List'!D:H,2,FALSE),"NA")</f>
        <v>520901</v>
      </c>
      <c r="F84" s="53" t="str">
        <f>IFERROR(VLOOKUP(D84,'Master List'!D:H,3,FALSE),"NA")</f>
        <v>520901</v>
      </c>
      <c r="G84" s="38" t="str">
        <f>IFERROR(VLOOKUP(D84,'Master List'!D:H,4,FALSE),"NA")</f>
        <v>520901</v>
      </c>
      <c r="H84" s="39" t="str">
        <f>IFERROR(VLOOKUP(D84,'Master List'!D:H,5,FALSE),"NA")</f>
        <v>Hospitality Administration/Management, General.</v>
      </c>
      <c r="I84" s="19"/>
      <c r="J84" s="20"/>
      <c r="K84" s="18"/>
      <c r="L84" s="22"/>
    </row>
    <row r="85" spans="1:12" x14ac:dyDescent="0.3">
      <c r="A85" s="33">
        <v>2</v>
      </c>
      <c r="B85" s="33" t="s">
        <v>2174</v>
      </c>
      <c r="C85" s="34" t="s">
        <v>726</v>
      </c>
      <c r="D85" s="51" t="s">
        <v>643</v>
      </c>
      <c r="E85" s="52" t="str">
        <f>IFERROR(VLOOKUP(D85,'Master List'!D:H,2,FALSE),"NA")</f>
        <v>521401</v>
      </c>
      <c r="F85" s="53" t="str">
        <f>IFERROR(VLOOKUP(D85,'Master List'!D:H,3,FALSE),"NA")</f>
        <v>521401</v>
      </c>
      <c r="G85" s="38" t="str">
        <f>IFERROR(VLOOKUP(D85,'Master List'!D:H,4,FALSE),"NA")</f>
        <v>521401</v>
      </c>
      <c r="H85" s="39" t="str">
        <f>IFERROR(VLOOKUP(D85,'Master List'!D:H,5,FALSE),"NA")</f>
        <v>Marketing/Marketing Management, General.</v>
      </c>
      <c r="I85" s="19"/>
      <c r="J85" s="20"/>
      <c r="K85" s="18"/>
      <c r="L85" s="22"/>
    </row>
    <row r="86" spans="1:12" x14ac:dyDescent="0.3">
      <c r="A86" s="33">
        <v>2</v>
      </c>
      <c r="B86" s="33" t="s">
        <v>2174</v>
      </c>
      <c r="C86" s="34" t="s">
        <v>726</v>
      </c>
      <c r="D86" s="51" t="s">
        <v>525</v>
      </c>
      <c r="E86" s="52" t="str">
        <f>IFERROR(VLOOKUP(D86,'Master List'!D:H,2,FALSE),"NA")</f>
        <v>510601</v>
      </c>
      <c r="F86" s="53" t="str">
        <f>IFERROR(VLOOKUP(D86,'Master List'!D:H,3,FALSE),"NA")</f>
        <v>510601</v>
      </c>
      <c r="G86" s="38" t="str">
        <f>IFERROR(VLOOKUP(D86,'Master List'!D:H,4,FALSE),"NA")</f>
        <v>510601</v>
      </c>
      <c r="H86" s="39" t="str">
        <f>IFERROR(VLOOKUP(D86,'Master List'!D:H,5,FALSE),"NA")</f>
        <v>Dental Assisting/Assistant.</v>
      </c>
      <c r="I86" s="19"/>
      <c r="J86" s="20"/>
      <c r="K86" s="18"/>
      <c r="L86" s="22"/>
    </row>
    <row r="87" spans="1:12" x14ac:dyDescent="0.3">
      <c r="A87" s="33">
        <v>2</v>
      </c>
      <c r="B87" s="33" t="s">
        <v>2174</v>
      </c>
      <c r="C87" s="34" t="s">
        <v>726</v>
      </c>
      <c r="D87" s="51" t="s">
        <v>84</v>
      </c>
      <c r="E87" s="52" t="str">
        <f>IFERROR(VLOOKUP(D87,'Master List'!D:H,2,FALSE),"NA")</f>
        <v>510602</v>
      </c>
      <c r="F87" s="53" t="str">
        <f>IFERROR(VLOOKUP(D87,'Master List'!D:H,3,FALSE),"NA")</f>
        <v>510602</v>
      </c>
      <c r="G87" s="38" t="str">
        <f>IFERROR(VLOOKUP(D87,'Master List'!D:H,4,FALSE),"NA")</f>
        <v>510602</v>
      </c>
      <c r="H87" s="39" t="str">
        <f>IFERROR(VLOOKUP(D87,'Master List'!D:H,5,FALSE),"NA")</f>
        <v>Dental Hygiene/Hygienist.</v>
      </c>
      <c r="I87" s="19"/>
      <c r="J87" s="20"/>
      <c r="K87" s="18"/>
      <c r="L87" s="22"/>
    </row>
    <row r="88" spans="1:12" x14ac:dyDescent="0.3">
      <c r="A88" s="33">
        <v>2</v>
      </c>
      <c r="B88" s="33" t="s">
        <v>2174</v>
      </c>
      <c r="C88" s="34" t="s">
        <v>726</v>
      </c>
      <c r="D88" s="51" t="s">
        <v>612</v>
      </c>
      <c r="E88" s="52" t="str">
        <f>IFERROR(VLOOKUP(D88,'Master List'!D:H,2,FALSE),"NA")</f>
        <v>510701</v>
      </c>
      <c r="F88" s="53" t="str">
        <f>IFERROR(VLOOKUP(D88,'Master List'!D:H,3,FALSE),"NA")</f>
        <v>510701</v>
      </c>
      <c r="G88" s="38" t="str">
        <f>IFERROR(VLOOKUP(D88,'Master List'!D:H,4,FALSE),"NA")</f>
        <v>510701</v>
      </c>
      <c r="H88" s="39" t="str">
        <f>IFERROR(VLOOKUP(D88,'Master List'!D:H,5,FALSE),"NA")</f>
        <v>Health/Health Care Administration/Management.</v>
      </c>
      <c r="I88" s="19"/>
      <c r="J88" s="20"/>
      <c r="K88" s="18"/>
      <c r="L88" s="22"/>
    </row>
    <row r="89" spans="1:12" x14ac:dyDescent="0.3">
      <c r="A89" s="33">
        <v>2</v>
      </c>
      <c r="B89" s="33" t="s">
        <v>2174</v>
      </c>
      <c r="C89" s="34" t="s">
        <v>726</v>
      </c>
      <c r="D89" s="51" t="s">
        <v>325</v>
      </c>
      <c r="E89" s="52" t="str">
        <f>IFERROR(VLOOKUP(D89,'Master List'!D:H,2,FALSE),"NA")</f>
        <v>510707</v>
      </c>
      <c r="F89" s="53" t="str">
        <f>IFERROR(VLOOKUP(D89,'Master List'!D:H,3,FALSE),"NA")</f>
        <v>510707</v>
      </c>
      <c r="G89" s="38" t="str">
        <f>IFERROR(VLOOKUP(D89,'Master List'!D:H,4,FALSE),"NA")</f>
        <v>510707</v>
      </c>
      <c r="H89" s="39" t="str">
        <f>IFERROR(VLOOKUP(D89,'Master List'!D:H,5,FALSE),"NA")</f>
        <v>Health Information/Medical Records Technology/Technician.</v>
      </c>
      <c r="I89" s="19"/>
      <c r="J89" s="20"/>
      <c r="K89" s="18"/>
      <c r="L89" s="22"/>
    </row>
    <row r="90" spans="1:12" x14ac:dyDescent="0.3">
      <c r="A90" s="33">
        <v>2</v>
      </c>
      <c r="B90" s="33" t="s">
        <v>2174</v>
      </c>
      <c r="C90" s="34" t="s">
        <v>726</v>
      </c>
      <c r="D90" s="51" t="s">
        <v>326</v>
      </c>
      <c r="E90" s="52" t="str">
        <f>IFERROR(VLOOKUP(D90,'Master List'!D:H,2,FALSE),"NA")</f>
        <v>510801</v>
      </c>
      <c r="F90" s="53" t="str">
        <f>IFERROR(VLOOKUP(D90,'Master List'!D:H,3,FALSE),"NA")</f>
        <v>510801</v>
      </c>
      <c r="G90" s="38" t="str">
        <f>IFERROR(VLOOKUP(D90,'Master List'!D:H,4,FALSE),"NA")</f>
        <v>510801</v>
      </c>
      <c r="H90" s="39" t="str">
        <f>IFERROR(VLOOKUP(D90,'Master List'!D:H,5,FALSE),"NA")</f>
        <v>Medical/Clinical Assistant.</v>
      </c>
      <c r="I90" s="19"/>
      <c r="J90" s="20"/>
      <c r="K90" s="18"/>
      <c r="L90" s="22"/>
    </row>
    <row r="91" spans="1:12" x14ac:dyDescent="0.3">
      <c r="A91" s="33">
        <v>2</v>
      </c>
      <c r="B91" s="33" t="s">
        <v>2174</v>
      </c>
      <c r="C91" s="34" t="s">
        <v>726</v>
      </c>
      <c r="D91" s="51" t="s">
        <v>87</v>
      </c>
      <c r="E91" s="52" t="str">
        <f>IFERROR(VLOOKUP(D91,'Master List'!D:H,2,FALSE),"NA")</f>
        <v>510806</v>
      </c>
      <c r="F91" s="53" t="str">
        <f>IFERROR(VLOOKUP(D91,'Master List'!D:H,3,FALSE),"NA")</f>
        <v>510806</v>
      </c>
      <c r="G91" s="38" t="str">
        <f>IFERROR(VLOOKUP(D91,'Master List'!D:H,4,FALSE),"NA")</f>
        <v>510806</v>
      </c>
      <c r="H91" s="39" t="str">
        <f>IFERROR(VLOOKUP(D91,'Master List'!D:H,5,FALSE),"NA")</f>
        <v>Physical Therapy Assistant.</v>
      </c>
      <c r="I91" s="19"/>
      <c r="J91" s="20"/>
      <c r="K91" s="18"/>
      <c r="L91" s="22"/>
    </row>
    <row r="92" spans="1:12" x14ac:dyDescent="0.3">
      <c r="A92" s="33">
        <v>2</v>
      </c>
      <c r="B92" s="33" t="s">
        <v>2174</v>
      </c>
      <c r="C92" s="34" t="s">
        <v>726</v>
      </c>
      <c r="D92" s="51" t="s">
        <v>90</v>
      </c>
      <c r="E92" s="52" t="str">
        <f>IFERROR(VLOOKUP(D92,'Master List'!D:H,2,FALSE),"NA")</f>
        <v>510904</v>
      </c>
      <c r="F92" s="53" t="str">
        <f>IFERROR(VLOOKUP(D92,'Master List'!D:H,3,FALSE),"NA")</f>
        <v>510904</v>
      </c>
      <c r="G92" s="38" t="str">
        <f>IFERROR(VLOOKUP(D92,'Master List'!D:H,4,FALSE),"NA")</f>
        <v>510904</v>
      </c>
      <c r="H92" s="39" t="str">
        <f>IFERROR(VLOOKUP(D92,'Master List'!D:H,5,FALSE),"NA")</f>
        <v>Emergency Medical Technology/Technician (EMT Paramedic).</v>
      </c>
      <c r="I92" s="19"/>
      <c r="J92" s="20"/>
      <c r="K92" s="18"/>
      <c r="L92" s="22"/>
    </row>
    <row r="93" spans="1:12" x14ac:dyDescent="0.3">
      <c r="A93" s="33">
        <v>2</v>
      </c>
      <c r="B93" s="33" t="s">
        <v>2174</v>
      </c>
      <c r="C93" s="34" t="s">
        <v>726</v>
      </c>
      <c r="D93" s="51" t="s">
        <v>653</v>
      </c>
      <c r="E93" s="52" t="str">
        <f>IFERROR(VLOOKUP(D93,'Master List'!D:H,2,FALSE),"NA")</f>
        <v>510905</v>
      </c>
      <c r="F93" s="53" t="str">
        <f>IFERROR(VLOOKUP(D93,'Master List'!D:H,3,FALSE),"NA")</f>
        <v>510905</v>
      </c>
      <c r="G93" s="38" t="str">
        <f>IFERROR(VLOOKUP(D93,'Master List'!D:H,4,FALSE),"NA")</f>
        <v>510905</v>
      </c>
      <c r="H93" s="39" t="str">
        <f>IFERROR(VLOOKUP(D93,'Master List'!D:H,5,FALSE),"NA")</f>
        <v>Nuclear Medical Technology/Technologist.</v>
      </c>
      <c r="I93" s="19"/>
      <c r="J93" s="20"/>
      <c r="K93" s="18"/>
      <c r="L93" s="22"/>
    </row>
    <row r="94" spans="1:12" x14ac:dyDescent="0.3">
      <c r="A94" s="33">
        <v>2</v>
      </c>
      <c r="B94" s="33" t="s">
        <v>2174</v>
      </c>
      <c r="C94" s="34" t="s">
        <v>726</v>
      </c>
      <c r="D94" s="51" t="s">
        <v>91</v>
      </c>
      <c r="E94" s="52" t="str">
        <f>IFERROR(VLOOKUP(D94,'Master List'!D:H,2,FALSE),"NA")</f>
        <v>510907</v>
      </c>
      <c r="F94" s="53" t="str">
        <f>IFERROR(VLOOKUP(D94,'Master List'!D:H,3,FALSE),"NA")</f>
        <v>510907</v>
      </c>
      <c r="G94" s="38">
        <f>IFERROR(VLOOKUP(D94,'Master List'!D:H,4,FALSE),"NA")</f>
        <v>510911</v>
      </c>
      <c r="H94" s="39" t="str">
        <f>IFERROR(VLOOKUP(D94,'Master List'!D:H,5,FALSE),"NA")</f>
        <v>Radiologic Technology/Science - Radiographer</v>
      </c>
      <c r="I94" s="19"/>
      <c r="J94" s="20"/>
      <c r="K94" s="18"/>
      <c r="L94" s="22"/>
    </row>
    <row r="95" spans="1:12" x14ac:dyDescent="0.3">
      <c r="A95" s="33">
        <v>2</v>
      </c>
      <c r="B95" s="33" t="s">
        <v>2174</v>
      </c>
      <c r="C95" s="34" t="s">
        <v>726</v>
      </c>
      <c r="D95" s="51" t="s">
        <v>331</v>
      </c>
      <c r="E95" s="52" t="str">
        <f>IFERROR(VLOOKUP(D95,'Master List'!D:H,2,FALSE),"NA")</f>
        <v>510907</v>
      </c>
      <c r="F95" s="53" t="str">
        <f>IFERROR(VLOOKUP(D95,'Master List'!D:H,3,FALSE),"NA")</f>
        <v>510907</v>
      </c>
      <c r="G95" s="38" t="str">
        <f>IFERROR(VLOOKUP(D95,'Master List'!D:H,4,FALSE),"NA")</f>
        <v>510907</v>
      </c>
      <c r="H95" s="39" t="str">
        <f>IFERROR(VLOOKUP(D95,'Master List'!D:H,5,FALSE),"NA")</f>
        <v>Medical Radiologic Technology/Science - Radiation Therapist.</v>
      </c>
      <c r="I95" s="19"/>
      <c r="J95" s="20"/>
      <c r="K95" s="18"/>
      <c r="L95" s="22"/>
    </row>
    <row r="96" spans="1:12" x14ac:dyDescent="0.3">
      <c r="A96" s="33">
        <v>2</v>
      </c>
      <c r="B96" s="33" t="s">
        <v>2174</v>
      </c>
      <c r="C96" s="34" t="s">
        <v>726</v>
      </c>
      <c r="D96" s="51" t="s">
        <v>94</v>
      </c>
      <c r="E96" s="52" t="str">
        <f>IFERROR(VLOOKUP(D96,'Master List'!D:H,2,FALSE),"NA")</f>
        <v>510908</v>
      </c>
      <c r="F96" s="53" t="str">
        <f>IFERROR(VLOOKUP(D96,'Master List'!D:H,3,FALSE),"NA")</f>
        <v>510908</v>
      </c>
      <c r="G96" s="38" t="str">
        <f>IFERROR(VLOOKUP(D96,'Master List'!D:H,4,FALSE),"NA")</f>
        <v>510908</v>
      </c>
      <c r="H96" s="39" t="str">
        <f>IFERROR(VLOOKUP(D96,'Master List'!D:H,5,FALSE),"NA")</f>
        <v>Respiratory Care Therapy/Therapist.</v>
      </c>
      <c r="I96" s="19"/>
      <c r="J96" s="20"/>
      <c r="K96" s="18"/>
      <c r="L96" s="22"/>
    </row>
    <row r="97" spans="1:12" x14ac:dyDescent="0.3">
      <c r="A97" s="33">
        <v>2</v>
      </c>
      <c r="B97" s="33" t="s">
        <v>2174</v>
      </c>
      <c r="C97" s="34" t="s">
        <v>726</v>
      </c>
      <c r="D97" s="51" t="s">
        <v>98</v>
      </c>
      <c r="E97" s="52" t="str">
        <f>IFERROR(VLOOKUP(D97,'Master List'!D:H,2,FALSE),"NA")</f>
        <v>510910</v>
      </c>
      <c r="F97" s="53" t="str">
        <f>IFERROR(VLOOKUP(D97,'Master List'!D:H,3,FALSE),"NA")</f>
        <v>510910</v>
      </c>
      <c r="G97" s="38" t="str">
        <f>IFERROR(VLOOKUP(D97,'Master List'!D:H,4,FALSE),"NA")</f>
        <v>510910</v>
      </c>
      <c r="H97" s="39" t="str">
        <f>IFERROR(VLOOKUP(D97,'Master List'!D:H,5,FALSE),"NA")</f>
        <v>Diagnostic Medical Sonography/Sonographer and Ultrasound Technician.</v>
      </c>
      <c r="I97" s="19"/>
      <c r="J97" s="20"/>
      <c r="K97" s="18"/>
      <c r="L97" s="22"/>
    </row>
    <row r="98" spans="1:12" x14ac:dyDescent="0.3">
      <c r="A98" s="33">
        <v>2</v>
      </c>
      <c r="B98" s="33" t="s">
        <v>2174</v>
      </c>
      <c r="C98" s="34" t="s">
        <v>726</v>
      </c>
      <c r="D98" s="51" t="s">
        <v>332</v>
      </c>
      <c r="E98" s="52" t="str">
        <f>IFERROR(VLOOKUP(D98,'Master List'!D:H,2,FALSE),"NA")</f>
        <v>511004</v>
      </c>
      <c r="F98" s="53" t="str">
        <f>IFERROR(VLOOKUP(D98,'Master List'!D:H,3,FALSE),"NA")</f>
        <v>511004</v>
      </c>
      <c r="G98" s="38" t="str">
        <f>IFERROR(VLOOKUP(D98,'Master List'!D:H,4,FALSE),"NA")</f>
        <v>511004</v>
      </c>
      <c r="H98" s="39" t="str">
        <f>IFERROR(VLOOKUP(D98,'Master List'!D:H,5,FALSE),"NA")</f>
        <v>Clinical/Medical Laboratory Technician.</v>
      </c>
      <c r="I98" s="19"/>
      <c r="J98" s="20"/>
      <c r="K98" s="18"/>
      <c r="L98" s="22"/>
    </row>
    <row r="99" spans="1:12" x14ac:dyDescent="0.3">
      <c r="A99" s="33">
        <v>2</v>
      </c>
      <c r="B99" s="33" t="s">
        <v>2174</v>
      </c>
      <c r="C99" s="34" t="s">
        <v>726</v>
      </c>
      <c r="D99" s="51" t="s">
        <v>461</v>
      </c>
      <c r="E99" s="52" t="str">
        <f>IFERROR(VLOOKUP(D99,'Master List'!D:H,2,FALSE),"NA")</f>
        <v>511801</v>
      </c>
      <c r="F99" s="53" t="str">
        <f>IFERROR(VLOOKUP(D99,'Master List'!D:H,3,FALSE),"NA")</f>
        <v>511801</v>
      </c>
      <c r="G99" s="38" t="str">
        <f>IFERROR(VLOOKUP(D99,'Master List'!D:H,4,FALSE),"NA")</f>
        <v>511801</v>
      </c>
      <c r="H99" s="39" t="str">
        <f>IFERROR(VLOOKUP(D99,'Master List'!D:H,5,FALSE),"NA")</f>
        <v>Opticianry/Ophthalmic Dispensing Optician.</v>
      </c>
      <c r="I99" s="19"/>
      <c r="J99" s="20"/>
      <c r="K99" s="18"/>
      <c r="L99" s="22"/>
    </row>
    <row r="100" spans="1:12" x14ac:dyDescent="0.3">
      <c r="A100" s="33">
        <v>2</v>
      </c>
      <c r="B100" s="33" t="s">
        <v>2174</v>
      </c>
      <c r="C100" s="34" t="s">
        <v>726</v>
      </c>
      <c r="D100" s="51" t="s">
        <v>341</v>
      </c>
      <c r="E100" s="52" t="str">
        <f>IFERROR(VLOOKUP(D100,'Master List'!D:H,2,FALSE),"NA")</f>
        <v>512211</v>
      </c>
      <c r="F100" s="53" t="str">
        <f>IFERROR(VLOOKUP(D100,'Master List'!D:H,3,FALSE),"NA")</f>
        <v>512211</v>
      </c>
      <c r="G100" s="38">
        <f>IFERROR(VLOOKUP(D100,'Master List'!D:H,4,FALSE),"NA")</f>
        <v>512208</v>
      </c>
      <c r="H100" s="39" t="str">
        <f>IFERROR(VLOOKUP(D100,'Master List'!D:H,5,FALSE),"NA")</f>
        <v>Community Health and Preventive Medicine</v>
      </c>
      <c r="I100" s="19"/>
      <c r="J100" s="20"/>
      <c r="K100" s="18"/>
      <c r="L100" s="22"/>
    </row>
    <row r="101" spans="1:12" x14ac:dyDescent="0.3">
      <c r="A101" s="33">
        <v>2</v>
      </c>
      <c r="B101" s="33" t="s">
        <v>2174</v>
      </c>
      <c r="C101" s="34" t="s">
        <v>726</v>
      </c>
      <c r="D101" s="51" t="s">
        <v>101</v>
      </c>
      <c r="E101" s="52" t="str">
        <f>IFERROR(VLOOKUP(D101,'Master List'!D:H,2,FALSE),"NA")</f>
        <v>513801</v>
      </c>
      <c r="F101" s="53" t="str">
        <f>IFERROR(VLOOKUP(D101,'Master List'!D:H,3,FALSE),"NA")</f>
        <v>513801</v>
      </c>
      <c r="G101" s="38" t="str">
        <f>IFERROR(VLOOKUP(D101,'Master List'!D:H,4,FALSE),"NA")</f>
        <v>513801</v>
      </c>
      <c r="H101" s="39" t="str">
        <f>IFERROR(VLOOKUP(D101,'Master List'!D:H,5,FALSE),"NA")</f>
        <v>Registered Nursing/Registered Nurse.</v>
      </c>
      <c r="I101" s="19"/>
      <c r="J101" s="20"/>
      <c r="K101" s="18"/>
      <c r="L101" s="22"/>
    </row>
    <row r="102" spans="1:12" x14ac:dyDescent="0.3">
      <c r="A102" s="33">
        <v>2</v>
      </c>
      <c r="B102" s="33" t="s">
        <v>2174</v>
      </c>
      <c r="C102" s="34" t="s">
        <v>726</v>
      </c>
      <c r="D102" s="51" t="s">
        <v>400</v>
      </c>
      <c r="E102" s="52" t="str">
        <f>IFERROR(VLOOKUP(D102,'Master List'!D:H,2,FALSE),"NA")</f>
        <v>131210</v>
      </c>
      <c r="F102" s="53" t="str">
        <f>IFERROR(VLOOKUP(D102,'Master List'!D:H,3,FALSE),"NA")</f>
        <v>131210</v>
      </c>
      <c r="G102" s="38" t="str">
        <f>IFERROR(VLOOKUP(D102,'Master List'!D:H,4,FALSE),"NA")</f>
        <v>131210</v>
      </c>
      <c r="H102" s="39" t="str">
        <f>IFERROR(VLOOKUP(D102,'Master List'!D:H,5,FALSE),"NA")</f>
        <v>Early Childhood Education and Teaching.</v>
      </c>
      <c r="I102" s="19"/>
      <c r="J102" s="20"/>
      <c r="K102" s="18"/>
      <c r="L102" s="22"/>
    </row>
    <row r="103" spans="1:12" x14ac:dyDescent="0.3">
      <c r="A103" s="33">
        <v>2</v>
      </c>
      <c r="B103" s="33" t="s">
        <v>2174</v>
      </c>
      <c r="C103" s="34" t="s">
        <v>726</v>
      </c>
      <c r="D103" s="51" t="s">
        <v>403</v>
      </c>
      <c r="E103" s="52" t="str">
        <f>IFERROR(VLOOKUP(D103,'Master List'!D:H,2,FALSE),"NA")</f>
        <v>511599</v>
      </c>
      <c r="F103" s="53" t="str">
        <f>IFERROR(VLOOKUP(D103,'Master List'!D:H,3,FALSE),"NA")</f>
        <v>511599</v>
      </c>
      <c r="G103" s="38" t="str">
        <f>IFERROR(VLOOKUP(D103,'Master List'!D:H,4,FALSE),"NA")</f>
        <v>511599</v>
      </c>
      <c r="H103" s="39" t="str">
        <f>IFERROR(VLOOKUP(D103,'Master List'!D:H,5,FALSE),"NA")</f>
        <v>Mental and Social Health Services and Allied Professions, Other.</v>
      </c>
      <c r="I103" s="19"/>
      <c r="J103" s="20"/>
      <c r="K103" s="18"/>
      <c r="L103" s="22"/>
    </row>
    <row r="104" spans="1:12" x14ac:dyDescent="0.3">
      <c r="A104" s="33">
        <v>2</v>
      </c>
      <c r="B104" s="33" t="s">
        <v>2174</v>
      </c>
      <c r="C104" s="34" t="s">
        <v>726</v>
      </c>
      <c r="D104" s="51" t="s">
        <v>348</v>
      </c>
      <c r="E104" s="52" t="str">
        <f>IFERROR(VLOOKUP(D104,'Master List'!D:H,2,FALSE),"NA")</f>
        <v>NA</v>
      </c>
      <c r="F104" s="53" t="str">
        <f>IFERROR(VLOOKUP(D104,'Master List'!D:H,3,FALSE),"NA")</f>
        <v>NA</v>
      </c>
      <c r="G104" s="38" t="str">
        <f>IFERROR(VLOOKUP(D104,'Master List'!D:H,4,FALSE),"NA")</f>
        <v>NA</v>
      </c>
      <c r="H104" s="39" t="str">
        <f>IFERROR(VLOOKUP(D104,'Master List'!D:H,5,FALSE),"NA")</f>
        <v>NA</v>
      </c>
      <c r="I104" s="19"/>
      <c r="J104" s="20"/>
      <c r="K104" s="18"/>
      <c r="L104" s="22"/>
    </row>
    <row r="105" spans="1:12" x14ac:dyDescent="0.3">
      <c r="A105" s="33">
        <v>2</v>
      </c>
      <c r="B105" s="33" t="s">
        <v>2174</v>
      </c>
      <c r="C105" s="34" t="s">
        <v>726</v>
      </c>
      <c r="D105" s="51" t="s">
        <v>167</v>
      </c>
      <c r="E105" s="52" t="str">
        <f>IFERROR(VLOOKUP(D105,'Master List'!D:H,2,FALSE),"NA")</f>
        <v>110103</v>
      </c>
      <c r="F105" s="53" t="str">
        <f>IFERROR(VLOOKUP(D105,'Master List'!D:H,3,FALSE),"NA")</f>
        <v>110103</v>
      </c>
      <c r="G105" s="38" t="str">
        <f>IFERROR(VLOOKUP(D105,'Master List'!D:H,4,FALSE),"NA")</f>
        <v>110103</v>
      </c>
      <c r="H105" s="39" t="str">
        <f>IFERROR(VLOOKUP(D105,'Master List'!D:H,5,FALSE),"NA")</f>
        <v>Information Technology.</v>
      </c>
      <c r="I105" s="19"/>
      <c r="J105" s="20"/>
      <c r="K105" s="18"/>
      <c r="L105" s="22"/>
    </row>
    <row r="106" spans="1:12" x14ac:dyDescent="0.3">
      <c r="A106" s="33">
        <v>2</v>
      </c>
      <c r="B106" s="33" t="s">
        <v>2174</v>
      </c>
      <c r="C106" s="34" t="s">
        <v>726</v>
      </c>
      <c r="D106" s="51" t="s">
        <v>170</v>
      </c>
      <c r="E106" s="52" t="str">
        <f>IFERROR(VLOOKUP(D106,'Master List'!D:H,2,FALSE),"NA")</f>
        <v>110201</v>
      </c>
      <c r="F106" s="53" t="str">
        <f>IFERROR(VLOOKUP(D106,'Master List'!D:H,3,FALSE),"NA")</f>
        <v>110201</v>
      </c>
      <c r="G106" s="38" t="str">
        <f>IFERROR(VLOOKUP(D106,'Master List'!D:H,4,FALSE),"NA")</f>
        <v>110201</v>
      </c>
      <c r="H106" s="39" t="str">
        <f>IFERROR(VLOOKUP(D106,'Master List'!D:H,5,FALSE),"NA")</f>
        <v>Computer Programming/Programmer, General.</v>
      </c>
      <c r="I106" s="19"/>
      <c r="J106" s="20"/>
      <c r="K106" s="18"/>
      <c r="L106" s="22"/>
    </row>
    <row r="107" spans="1:12" x14ac:dyDescent="0.3">
      <c r="A107" s="33">
        <v>2</v>
      </c>
      <c r="B107" s="33" t="s">
        <v>2174</v>
      </c>
      <c r="C107" s="34" t="s">
        <v>726</v>
      </c>
      <c r="D107" s="51" t="s">
        <v>404</v>
      </c>
      <c r="E107" s="52" t="str">
        <f>IFERROR(VLOOKUP(D107,'Master List'!D:H,2,FALSE),"NA")</f>
        <v>110801</v>
      </c>
      <c r="F107" s="53" t="str">
        <f>IFERROR(VLOOKUP(D107,'Master List'!D:H,3,FALSE),"NA")</f>
        <v>110801</v>
      </c>
      <c r="G107" s="38" t="str">
        <f>IFERROR(VLOOKUP(D107,'Master List'!D:H,4,FALSE),"NA")</f>
        <v>110801</v>
      </c>
      <c r="H107" s="39" t="str">
        <f>IFERROR(VLOOKUP(D107,'Master List'!D:H,5,FALSE),"NA")</f>
        <v>Web Page, Digital/Multimedia and Information Resources Design.</v>
      </c>
      <c r="I107" s="19"/>
      <c r="J107" s="20"/>
      <c r="K107" s="18"/>
      <c r="L107" s="22"/>
    </row>
    <row r="108" spans="1:12" x14ac:dyDescent="0.3">
      <c r="A108" s="33">
        <v>2</v>
      </c>
      <c r="B108" s="33" t="s">
        <v>2174</v>
      </c>
      <c r="C108" s="34" t="s">
        <v>726</v>
      </c>
      <c r="D108" s="51" t="s">
        <v>106</v>
      </c>
      <c r="E108" s="52" t="str">
        <f>IFERROR(VLOOKUP(D108,'Master List'!D:H,2,FALSE),"NA")</f>
        <v>111001</v>
      </c>
      <c r="F108" s="53" t="str">
        <f>IFERROR(VLOOKUP(D108,'Master List'!D:H,3,FALSE),"NA")</f>
        <v>111001</v>
      </c>
      <c r="G108" s="38" t="str">
        <f>IFERROR(VLOOKUP(D108,'Master List'!D:H,4,FALSE),"NA")</f>
        <v>111001</v>
      </c>
      <c r="H108" s="39" t="str">
        <f>IFERROR(VLOOKUP(D108,'Master List'!D:H,5,FALSE),"NA")</f>
        <v>Network and System Administration/Administrator.</v>
      </c>
      <c r="I108" s="19"/>
      <c r="J108" s="20"/>
      <c r="K108" s="18"/>
      <c r="L108" s="22"/>
    </row>
    <row r="109" spans="1:12" x14ac:dyDescent="0.3">
      <c r="A109" s="33">
        <v>2</v>
      </c>
      <c r="B109" s="33" t="s">
        <v>2174</v>
      </c>
      <c r="C109" s="34" t="s">
        <v>726</v>
      </c>
      <c r="D109" s="51" t="s">
        <v>656</v>
      </c>
      <c r="E109" s="52" t="str">
        <f>IFERROR(VLOOKUP(D109,'Master List'!D:H,2,FALSE),"NA")</f>
        <v>111003</v>
      </c>
      <c r="F109" s="53" t="str">
        <f>IFERROR(VLOOKUP(D109,'Master List'!D:H,3,FALSE),"NA")</f>
        <v>111003</v>
      </c>
      <c r="G109" s="38" t="str">
        <f>IFERROR(VLOOKUP(D109,'Master List'!D:H,4,FALSE),"NA")</f>
        <v>111003</v>
      </c>
      <c r="H109" s="39" t="str">
        <f>IFERROR(VLOOKUP(D109,'Master List'!D:H,5,FALSE),"NA")</f>
        <v>Computer and Information Systems Security/Auditing/Information Assurance.</v>
      </c>
      <c r="I109" s="19"/>
      <c r="J109" s="20"/>
      <c r="K109" s="18"/>
      <c r="L109" s="22"/>
    </row>
    <row r="110" spans="1:12" x14ac:dyDescent="0.3">
      <c r="A110" s="33">
        <v>2</v>
      </c>
      <c r="B110" s="33" t="s">
        <v>2174</v>
      </c>
      <c r="C110" s="34" t="s">
        <v>726</v>
      </c>
      <c r="D110" s="51" t="s">
        <v>751</v>
      </c>
      <c r="E110" s="52" t="str">
        <f>IFERROR(VLOOKUP(D110,'Master List'!D:H,2,FALSE),"NA")</f>
        <v>111005</v>
      </c>
      <c r="F110" s="53" t="str">
        <f>IFERROR(VLOOKUP(D110,'Master List'!D:H,3,FALSE),"NA")</f>
        <v>111005</v>
      </c>
      <c r="G110" s="38" t="str">
        <f>IFERROR(VLOOKUP(D110,'Master List'!D:H,4,FALSE),"NA")</f>
        <v>111005</v>
      </c>
      <c r="H110" s="39" t="str">
        <f>IFERROR(VLOOKUP(D110,'Master List'!D:H,5,FALSE),"NA")</f>
        <v>Information Technology Project Management.</v>
      </c>
      <c r="I110" s="19"/>
      <c r="J110" s="20"/>
      <c r="K110" s="18"/>
      <c r="L110" s="22"/>
    </row>
    <row r="111" spans="1:12" x14ac:dyDescent="0.3">
      <c r="A111" s="33">
        <v>2</v>
      </c>
      <c r="B111" s="33" t="s">
        <v>2174</v>
      </c>
      <c r="C111" s="34" t="s">
        <v>726</v>
      </c>
      <c r="D111" s="51" t="s">
        <v>107</v>
      </c>
      <c r="E111" s="52" t="str">
        <f>IFERROR(VLOOKUP(D111,'Master List'!D:H,2,FALSE),"NA")</f>
        <v>520201</v>
      </c>
      <c r="F111" s="53" t="str">
        <f>IFERROR(VLOOKUP(D111,'Master List'!D:H,3,FALSE),"NA")</f>
        <v>520201</v>
      </c>
      <c r="G111" s="38" t="str">
        <f>IFERROR(VLOOKUP(D111,'Master List'!D:H,4,FALSE),"NA")</f>
        <v>520201</v>
      </c>
      <c r="H111" s="39" t="str">
        <f>IFERROR(VLOOKUP(D111,'Master List'!D:H,5,FALSE),"NA")</f>
        <v>Business Administration and Management, General.</v>
      </c>
      <c r="I111" s="19"/>
      <c r="J111" s="20"/>
      <c r="K111" s="18"/>
      <c r="L111" s="22"/>
    </row>
    <row r="112" spans="1:12" x14ac:dyDescent="0.3">
      <c r="A112" s="33">
        <v>2</v>
      </c>
      <c r="B112" s="33" t="s">
        <v>2174</v>
      </c>
      <c r="C112" s="34" t="s">
        <v>726</v>
      </c>
      <c r="D112" s="51" t="s">
        <v>598</v>
      </c>
      <c r="E112" s="52" t="str">
        <f>IFERROR(VLOOKUP(D112,'Master List'!D:H,2,FALSE),"NA")</f>
        <v>NA</v>
      </c>
      <c r="F112" s="53" t="str">
        <f>IFERROR(VLOOKUP(D112,'Master List'!D:H,3,FALSE),"NA")</f>
        <v>NA</v>
      </c>
      <c r="G112" s="38" t="str">
        <f>IFERROR(VLOOKUP(D112,'Master List'!D:H,4,FALSE),"NA")</f>
        <v>NA</v>
      </c>
      <c r="H112" s="39" t="str">
        <f>IFERROR(VLOOKUP(D112,'Master List'!D:H,5,FALSE),"NA")</f>
        <v>NA</v>
      </c>
      <c r="I112" s="19"/>
      <c r="J112" s="20"/>
      <c r="K112" s="18"/>
      <c r="L112" s="22"/>
    </row>
    <row r="113" spans="1:12" x14ac:dyDescent="0.3">
      <c r="A113" s="33">
        <v>2</v>
      </c>
      <c r="B113" s="33" t="s">
        <v>2174</v>
      </c>
      <c r="C113" s="34" t="s">
        <v>726</v>
      </c>
      <c r="D113" s="51" t="s">
        <v>351</v>
      </c>
      <c r="E113" s="52" t="str">
        <f>IFERROR(VLOOKUP(D113,'Master List'!D:H,2,FALSE),"NA")</f>
        <v>520204</v>
      </c>
      <c r="F113" s="53" t="str">
        <f>IFERROR(VLOOKUP(D113,'Master List'!D:H,3,FALSE),"NA")</f>
        <v>520204</v>
      </c>
      <c r="G113" s="38" t="str">
        <f>IFERROR(VLOOKUP(D113,'Master List'!D:H,4,FALSE),"NA")</f>
        <v>520204</v>
      </c>
      <c r="H113" s="39" t="str">
        <f>IFERROR(VLOOKUP(D113,'Master List'!D:H,5,FALSE),"NA")</f>
        <v>Office Management and Supervision.</v>
      </c>
      <c r="I113" s="19"/>
      <c r="J113" s="20"/>
      <c r="K113" s="18"/>
      <c r="L113" s="22"/>
    </row>
    <row r="114" spans="1:12" x14ac:dyDescent="0.3">
      <c r="A114" s="33">
        <v>2</v>
      </c>
      <c r="B114" s="33" t="s">
        <v>2174</v>
      </c>
      <c r="C114" s="34" t="s">
        <v>726</v>
      </c>
      <c r="D114" s="51" t="s">
        <v>528</v>
      </c>
      <c r="E114" s="52" t="str">
        <f>IFERROR(VLOOKUP(D114,'Master List'!D:H,2,FALSE),"NA")</f>
        <v>520204</v>
      </c>
      <c r="F114" s="53" t="str">
        <f>IFERROR(VLOOKUP(D114,'Master List'!D:H,3,FALSE),"NA")</f>
        <v>520204</v>
      </c>
      <c r="G114" s="38">
        <f>IFERROR(VLOOKUP(D114,'Master List'!D:H,4,FALSE),"NA")</f>
        <v>510705</v>
      </c>
      <c r="H114" s="39" t="str">
        <f>IFERROR(VLOOKUP(D114,'Master List'!D:H,5,FALSE),"NA")</f>
        <v>Medical Office Management/Administration</v>
      </c>
      <c r="I114" s="19"/>
      <c r="J114" s="20"/>
      <c r="K114" s="18"/>
      <c r="L114" s="22"/>
    </row>
    <row r="115" spans="1:12" x14ac:dyDescent="0.3">
      <c r="A115" s="33">
        <v>2</v>
      </c>
      <c r="B115" s="33" t="s">
        <v>2174</v>
      </c>
      <c r="C115" s="34" t="s">
        <v>726</v>
      </c>
      <c r="D115" s="51" t="s">
        <v>352</v>
      </c>
      <c r="E115" s="52" t="str">
        <f>IFERROR(VLOOKUP(D115,'Master List'!D:H,2,FALSE),"NA")</f>
        <v>NA</v>
      </c>
      <c r="F115" s="53" t="str">
        <f>IFERROR(VLOOKUP(D115,'Master List'!D:H,3,FALSE),"NA")</f>
        <v>NA</v>
      </c>
      <c r="G115" s="38" t="str">
        <f>IFERROR(VLOOKUP(D115,'Master List'!D:H,4,FALSE),"NA")</f>
        <v>NA</v>
      </c>
      <c r="H115" s="39" t="str">
        <f>IFERROR(VLOOKUP(D115,'Master List'!D:H,5,FALSE),"NA")</f>
        <v>NA</v>
      </c>
      <c r="I115" s="19"/>
      <c r="J115" s="20"/>
      <c r="K115" s="18"/>
      <c r="L115" s="22"/>
    </row>
    <row r="116" spans="1:12" x14ac:dyDescent="0.3">
      <c r="A116" s="33">
        <v>2</v>
      </c>
      <c r="B116" s="33" t="s">
        <v>2174</v>
      </c>
      <c r="C116" s="34" t="s">
        <v>726</v>
      </c>
      <c r="D116" s="51" t="s">
        <v>110</v>
      </c>
      <c r="E116" s="52" t="str">
        <f>IFERROR(VLOOKUP(D116,'Master List'!D:H,2,FALSE),"NA")</f>
        <v>520302</v>
      </c>
      <c r="F116" s="53" t="str">
        <f>IFERROR(VLOOKUP(D116,'Master List'!D:H,3,FALSE),"NA")</f>
        <v>520302</v>
      </c>
      <c r="G116" s="38" t="str">
        <f>IFERROR(VLOOKUP(D116,'Master List'!D:H,4,FALSE),"NA")</f>
        <v>520302</v>
      </c>
      <c r="H116" s="39" t="str">
        <f>IFERROR(VLOOKUP(D116,'Master List'!D:H,5,FALSE),"NA")</f>
        <v>Accounting Technology/Technician and Bookkeeping.</v>
      </c>
      <c r="I116" s="19"/>
      <c r="J116" s="20"/>
      <c r="K116" s="18"/>
      <c r="L116" s="22"/>
    </row>
    <row r="117" spans="1:12" x14ac:dyDescent="0.3">
      <c r="A117" s="33">
        <v>2</v>
      </c>
      <c r="B117" s="33" t="s">
        <v>2174</v>
      </c>
      <c r="C117" s="34" t="s">
        <v>726</v>
      </c>
      <c r="D117" s="51" t="s">
        <v>754</v>
      </c>
      <c r="E117" s="52" t="str">
        <f>IFERROR(VLOOKUP(D117,'Master List'!D:H,2,FALSE),"NA")</f>
        <v>521201</v>
      </c>
      <c r="F117" s="53" t="str">
        <f>IFERROR(VLOOKUP(D117,'Master List'!D:H,3,FALSE),"NA")</f>
        <v>521201</v>
      </c>
      <c r="G117" s="38">
        <f>IFERROR(VLOOKUP(D117,'Master List'!D:H,4,FALSE),"NA")</f>
        <v>307102</v>
      </c>
      <c r="H117" s="39" t="str">
        <f>IFERROR(VLOOKUP(D117,'Master List'!D:H,5,FALSE),"NA")</f>
        <v xml:space="preserve"> Business Analytics. </v>
      </c>
      <c r="I117" s="19"/>
      <c r="J117" s="20"/>
      <c r="K117" s="18"/>
      <c r="L117" s="22"/>
    </row>
    <row r="118" spans="1:12" x14ac:dyDescent="0.3">
      <c r="A118" s="33">
        <v>2</v>
      </c>
      <c r="B118" s="33" t="s">
        <v>2174</v>
      </c>
      <c r="C118" s="34" t="s">
        <v>726</v>
      </c>
      <c r="D118" s="51" t="s">
        <v>582</v>
      </c>
      <c r="E118" s="52" t="str">
        <f>IFERROR(VLOOKUP(D118,'Master List'!D:H,2,FALSE),"NA")</f>
        <v>090499</v>
      </c>
      <c r="F118" s="53" t="str">
        <f>IFERROR(VLOOKUP(D118,'Master List'!D:H,3,FALSE),"NA")</f>
        <v>090499</v>
      </c>
      <c r="G118" s="38" t="str">
        <f>IFERROR(VLOOKUP(D118,'Master List'!D:H,4,FALSE),"NA")</f>
        <v>090499</v>
      </c>
      <c r="H118" s="39" t="str">
        <f>IFERROR(VLOOKUP(D118,'Master List'!D:H,5,FALSE),"NA")</f>
        <v>Journalism, Other.</v>
      </c>
      <c r="I118" s="19"/>
      <c r="J118" s="20"/>
      <c r="K118" s="18"/>
      <c r="L118" s="22"/>
    </row>
    <row r="119" spans="1:12" x14ac:dyDescent="0.3">
      <c r="A119" s="33">
        <v>2</v>
      </c>
      <c r="B119" s="33" t="s">
        <v>2174</v>
      </c>
      <c r="C119" s="34" t="s">
        <v>726</v>
      </c>
      <c r="D119" s="51" t="s">
        <v>356</v>
      </c>
      <c r="E119" s="52" t="str">
        <f>IFERROR(VLOOKUP(D119,'Master List'!D:H,2,FALSE),"NA")</f>
        <v>NA</v>
      </c>
      <c r="F119" s="53" t="str">
        <f>IFERROR(VLOOKUP(D119,'Master List'!D:H,3,FALSE),"NA")</f>
        <v>NA</v>
      </c>
      <c r="G119" s="38" t="str">
        <f>IFERROR(VLOOKUP(D119,'Master List'!D:H,4,FALSE),"NA")</f>
        <v>NA</v>
      </c>
      <c r="H119" s="39" t="str">
        <f>IFERROR(VLOOKUP(D119,'Master List'!D:H,5,FALSE),"NA")</f>
        <v>NA</v>
      </c>
      <c r="I119" s="19"/>
      <c r="J119" s="20"/>
      <c r="K119" s="18"/>
      <c r="L119" s="22"/>
    </row>
    <row r="120" spans="1:12" x14ac:dyDescent="0.3">
      <c r="A120" s="33">
        <v>2</v>
      </c>
      <c r="B120" s="33" t="s">
        <v>2174</v>
      </c>
      <c r="C120" s="34" t="s">
        <v>726</v>
      </c>
      <c r="D120" s="51" t="s">
        <v>583</v>
      </c>
      <c r="E120" s="52" t="str">
        <f>IFERROR(VLOOKUP(D120,'Master List'!D:H,2,FALSE),"NA")</f>
        <v>110803</v>
      </c>
      <c r="F120" s="53" t="str">
        <f>IFERROR(VLOOKUP(D120,'Master List'!D:H,3,FALSE),"NA")</f>
        <v>110803</v>
      </c>
      <c r="G120" s="38" t="str">
        <f>IFERROR(VLOOKUP(D120,'Master List'!D:H,4,FALSE),"NA")</f>
        <v>110803</v>
      </c>
      <c r="H120" s="39" t="str">
        <f>IFERROR(VLOOKUP(D120,'Master List'!D:H,5,FALSE),"NA")</f>
        <v>Computer Graphics.</v>
      </c>
      <c r="I120" s="19"/>
      <c r="J120" s="20"/>
      <c r="K120" s="18"/>
      <c r="L120" s="22"/>
    </row>
    <row r="121" spans="1:12" x14ac:dyDescent="0.3">
      <c r="A121" s="33">
        <v>2</v>
      </c>
      <c r="B121" s="33" t="s">
        <v>2174</v>
      </c>
      <c r="C121" s="34" t="s">
        <v>726</v>
      </c>
      <c r="D121" s="51" t="s">
        <v>173</v>
      </c>
      <c r="E121" s="52" t="str">
        <f>IFERROR(VLOOKUP(D121,'Master List'!D:H,2,FALSE),"NA")</f>
        <v>NA</v>
      </c>
      <c r="F121" s="53" t="str">
        <f>IFERROR(VLOOKUP(D121,'Master List'!D:H,3,FALSE),"NA")</f>
        <v>NA</v>
      </c>
      <c r="G121" s="38" t="str">
        <f>IFERROR(VLOOKUP(D121,'Master List'!D:H,4,FALSE),"NA")</f>
        <v>NA</v>
      </c>
      <c r="H121" s="39" t="str">
        <f>IFERROR(VLOOKUP(D121,'Master List'!D:H,5,FALSE),"NA")</f>
        <v>NA</v>
      </c>
      <c r="I121" s="19"/>
      <c r="J121" s="20"/>
      <c r="K121" s="18"/>
      <c r="L121" s="22"/>
    </row>
    <row r="122" spans="1:12" x14ac:dyDescent="0.3">
      <c r="A122" s="33">
        <v>2</v>
      </c>
      <c r="B122" s="33" t="s">
        <v>2174</v>
      </c>
      <c r="C122" s="34" t="s">
        <v>726</v>
      </c>
      <c r="D122" s="51" t="s">
        <v>117</v>
      </c>
      <c r="E122" s="52" t="str">
        <f>IFERROR(VLOOKUP(D122,'Master List'!D:H,2,FALSE),"NA")</f>
        <v>120504</v>
      </c>
      <c r="F122" s="53" t="str">
        <f>IFERROR(VLOOKUP(D122,'Master List'!D:H,3,FALSE),"NA")</f>
        <v>120504</v>
      </c>
      <c r="G122" s="38" t="str">
        <f>IFERROR(VLOOKUP(D122,'Master List'!D:H,4,FALSE),"NA")</f>
        <v>120504</v>
      </c>
      <c r="H122" s="39" t="str">
        <f>IFERROR(VLOOKUP(D122,'Master List'!D:H,5,FALSE),"NA")</f>
        <v>Restaurant, Culinary, and Catering Management/Manager.</v>
      </c>
      <c r="I122" s="19"/>
      <c r="J122" s="20"/>
      <c r="K122" s="18"/>
      <c r="L122" s="22"/>
    </row>
    <row r="123" spans="1:12" x14ac:dyDescent="0.3">
      <c r="A123" s="33">
        <v>2</v>
      </c>
      <c r="B123" s="33" t="s">
        <v>2174</v>
      </c>
      <c r="C123" s="34" t="s">
        <v>726</v>
      </c>
      <c r="D123" s="51" t="s">
        <v>120</v>
      </c>
      <c r="E123" s="52" t="str">
        <f>IFERROR(VLOOKUP(D123,'Master List'!D:H,2,FALSE),"NA")</f>
        <v>150000</v>
      </c>
      <c r="F123" s="53" t="str">
        <f>IFERROR(VLOOKUP(D123,'Master List'!D:H,3,FALSE),"NA")</f>
        <v>150000</v>
      </c>
      <c r="G123" s="38" t="str">
        <f>IFERROR(VLOOKUP(D123,'Master List'!D:H,4,FALSE),"NA")</f>
        <v>150000</v>
      </c>
      <c r="H123" s="39" t="str">
        <f>IFERROR(VLOOKUP(D123,'Master List'!D:H,5,FALSE),"NA")</f>
        <v>Engineering Technologies/Technicians, General.</v>
      </c>
      <c r="I123" s="19"/>
      <c r="J123" s="20"/>
      <c r="K123" s="18"/>
      <c r="L123" s="22"/>
    </row>
    <row r="124" spans="1:12" x14ac:dyDescent="0.3">
      <c r="A124" s="33">
        <v>2</v>
      </c>
      <c r="B124" s="33" t="s">
        <v>2174</v>
      </c>
      <c r="C124" s="34" t="s">
        <v>726</v>
      </c>
      <c r="D124" s="51" t="s">
        <v>358</v>
      </c>
      <c r="E124" s="52" t="str">
        <f>IFERROR(VLOOKUP(D124,'Master List'!D:H,2,FALSE),"NA")</f>
        <v>151001</v>
      </c>
      <c r="F124" s="53" t="str">
        <f>IFERROR(VLOOKUP(D124,'Master List'!D:H,3,FALSE),"NA")</f>
        <v>151001</v>
      </c>
      <c r="G124" s="38" t="str">
        <f>IFERROR(VLOOKUP(D124,'Master List'!D:H,4,FALSE),"NA")</f>
        <v>151001</v>
      </c>
      <c r="H124" s="39" t="str">
        <f>IFERROR(VLOOKUP(D124,'Master List'!D:H,5,FALSE),"NA")</f>
        <v>Construction Engineering Technology/Technician.</v>
      </c>
      <c r="I124" s="19"/>
      <c r="J124" s="20"/>
      <c r="K124" s="18"/>
      <c r="L124" s="22"/>
    </row>
    <row r="125" spans="1:12" x14ac:dyDescent="0.3">
      <c r="A125" s="33">
        <v>2</v>
      </c>
      <c r="B125" s="33" t="s">
        <v>2174</v>
      </c>
      <c r="C125" s="34" t="s">
        <v>726</v>
      </c>
      <c r="D125" s="51" t="s">
        <v>755</v>
      </c>
      <c r="E125" s="52" t="str">
        <f>IFERROR(VLOOKUP(D125,'Master List'!D:H,2,FALSE),"NA")</f>
        <v>470609</v>
      </c>
      <c r="F125" s="53" t="str">
        <f>IFERROR(VLOOKUP(D125,'Master List'!D:H,3,FALSE),"NA")</f>
        <v>470609</v>
      </c>
      <c r="G125" s="38" t="str">
        <f>IFERROR(VLOOKUP(D125,'Master List'!D:H,4,FALSE),"NA")</f>
        <v>470609</v>
      </c>
      <c r="H125" s="39" t="str">
        <f>IFERROR(VLOOKUP(D125,'Master List'!D:H,5,FALSE),"NA")</f>
        <v>Avionics Maintenance Technology/Technician.</v>
      </c>
      <c r="I125" s="19"/>
      <c r="J125" s="20"/>
      <c r="K125" s="18"/>
      <c r="L125" s="22"/>
    </row>
    <row r="126" spans="1:12" x14ac:dyDescent="0.3">
      <c r="A126" s="33">
        <v>2</v>
      </c>
      <c r="B126" s="33" t="s">
        <v>2174</v>
      </c>
      <c r="C126" s="34" t="s">
        <v>726</v>
      </c>
      <c r="D126" s="51" t="s">
        <v>362</v>
      </c>
      <c r="E126" s="52" t="str">
        <f>IFERROR(VLOOKUP(D126,'Master List'!D:H,2,FALSE),"NA")</f>
        <v>490102</v>
      </c>
      <c r="F126" s="53" t="str">
        <f>IFERROR(VLOOKUP(D126,'Master List'!D:H,3,FALSE),"NA")</f>
        <v>490102</v>
      </c>
      <c r="G126" s="38" t="str">
        <f>IFERROR(VLOOKUP(D126,'Master List'!D:H,4,FALSE),"NA")</f>
        <v>490102</v>
      </c>
      <c r="H126" s="39" t="str">
        <f>IFERROR(VLOOKUP(D126,'Master List'!D:H,5,FALSE),"NA")</f>
        <v>Airline/Commercial/Professional Pilot and Flight Crew.</v>
      </c>
      <c r="I126" s="19"/>
      <c r="J126" s="20"/>
      <c r="K126" s="18"/>
      <c r="L126" s="22"/>
    </row>
    <row r="127" spans="1:12" x14ac:dyDescent="0.3">
      <c r="A127" s="33">
        <v>2</v>
      </c>
      <c r="B127" s="33" t="s">
        <v>2174</v>
      </c>
      <c r="C127" s="34" t="s">
        <v>726</v>
      </c>
      <c r="D127" s="51" t="s">
        <v>363</v>
      </c>
      <c r="E127" s="52" t="str">
        <f>IFERROR(VLOOKUP(D127,'Master List'!D:H,2,FALSE),"NA")</f>
        <v>NA</v>
      </c>
      <c r="F127" s="53" t="str">
        <f>IFERROR(VLOOKUP(D127,'Master List'!D:H,3,FALSE),"NA")</f>
        <v>NA</v>
      </c>
      <c r="G127" s="38" t="str">
        <f>IFERROR(VLOOKUP(D127,'Master List'!D:H,4,FALSE),"NA")</f>
        <v>NA</v>
      </c>
      <c r="H127" s="39" t="str">
        <f>IFERROR(VLOOKUP(D127,'Master List'!D:H,5,FALSE),"NA")</f>
        <v>NA</v>
      </c>
      <c r="I127" s="19"/>
      <c r="J127" s="20"/>
      <c r="K127" s="18"/>
      <c r="L127" s="22"/>
    </row>
    <row r="128" spans="1:12" x14ac:dyDescent="0.3">
      <c r="A128" s="33">
        <v>2</v>
      </c>
      <c r="B128" s="33" t="s">
        <v>2174</v>
      </c>
      <c r="C128" s="34" t="s">
        <v>726</v>
      </c>
      <c r="D128" s="51" t="s">
        <v>364</v>
      </c>
      <c r="E128" s="52" t="str">
        <f>IFERROR(VLOOKUP(D128,'Master List'!D:H,2,FALSE),"NA")</f>
        <v>490104</v>
      </c>
      <c r="F128" s="53" t="str">
        <f>IFERROR(VLOOKUP(D128,'Master List'!D:H,3,FALSE),"NA")</f>
        <v>490104</v>
      </c>
      <c r="G128" s="38" t="str">
        <f>IFERROR(VLOOKUP(D128,'Master List'!D:H,4,FALSE),"NA")</f>
        <v>490104</v>
      </c>
      <c r="H128" s="39" t="str">
        <f>IFERROR(VLOOKUP(D128,'Master List'!D:H,5,FALSE),"NA")</f>
        <v>Aviation/Airway Management and Operations.</v>
      </c>
      <c r="I128" s="19"/>
      <c r="J128" s="20"/>
      <c r="K128" s="18"/>
      <c r="L128" s="22"/>
    </row>
    <row r="129" spans="1:12" x14ac:dyDescent="0.3">
      <c r="A129" s="33">
        <v>2</v>
      </c>
      <c r="B129" s="33" t="s">
        <v>2174</v>
      </c>
      <c r="C129" s="34" t="s">
        <v>726</v>
      </c>
      <c r="D129" s="51" t="s">
        <v>365</v>
      </c>
      <c r="E129" s="52" t="str">
        <f>IFERROR(VLOOKUP(D129,'Master List'!D:H,2,FALSE),"NA")</f>
        <v>490104</v>
      </c>
      <c r="F129" s="53" t="str">
        <f>IFERROR(VLOOKUP(D129,'Master List'!D:H,3,FALSE),"NA")</f>
        <v>490104</v>
      </c>
      <c r="G129" s="38" t="str">
        <f>IFERROR(VLOOKUP(D129,'Master List'!D:H,4,FALSE),"NA")</f>
        <v>490104</v>
      </c>
      <c r="H129" s="39" t="str">
        <f>IFERROR(VLOOKUP(D129,'Master List'!D:H,5,FALSE),"NA")</f>
        <v>Aviation/Airway Management and Operations.</v>
      </c>
      <c r="I129" s="19"/>
      <c r="J129" s="20"/>
      <c r="K129" s="18"/>
      <c r="L129" s="22"/>
    </row>
    <row r="130" spans="1:12" x14ac:dyDescent="0.3">
      <c r="A130" s="33">
        <v>2</v>
      </c>
      <c r="B130" s="33" t="s">
        <v>2174</v>
      </c>
      <c r="C130" s="34" t="s">
        <v>726</v>
      </c>
      <c r="D130" s="51" t="s">
        <v>586</v>
      </c>
      <c r="E130" s="52" t="str">
        <f>IFERROR(VLOOKUP(D130,'Master List'!D:H,2,FALSE),"NA")</f>
        <v>500602</v>
      </c>
      <c r="F130" s="53" t="str">
        <f>IFERROR(VLOOKUP(D130,'Master List'!D:H,3,FALSE),"NA")</f>
        <v>500602</v>
      </c>
      <c r="G130" s="38" t="str">
        <f>IFERROR(VLOOKUP(D130,'Master List'!D:H,4,FALSE),"NA")</f>
        <v>500602</v>
      </c>
      <c r="H130" s="39" t="str">
        <f>IFERROR(VLOOKUP(D130,'Master List'!D:H,5,FALSE),"NA")</f>
        <v>Cinematography and Film/Video Production.</v>
      </c>
      <c r="I130" s="19"/>
      <c r="J130" s="20"/>
      <c r="K130" s="18"/>
      <c r="L130" s="22"/>
    </row>
    <row r="131" spans="1:12" x14ac:dyDescent="0.3">
      <c r="A131" s="33">
        <v>2</v>
      </c>
      <c r="B131" s="33" t="s">
        <v>2174</v>
      </c>
      <c r="C131" s="34" t="s">
        <v>726</v>
      </c>
      <c r="D131" s="51" t="s">
        <v>478</v>
      </c>
      <c r="E131" s="52" t="str">
        <f>IFERROR(VLOOKUP(D131,'Master List'!D:H,2,FALSE),"NA")</f>
        <v>500913</v>
      </c>
      <c r="F131" s="53" t="str">
        <f>IFERROR(VLOOKUP(D131,'Master List'!D:H,3,FALSE),"NA")</f>
        <v>500913</v>
      </c>
      <c r="G131" s="38" t="str">
        <f>IFERROR(VLOOKUP(D131,'Master List'!D:H,4,FALSE),"NA")</f>
        <v>500913</v>
      </c>
      <c r="H131" s="39" t="str">
        <f>IFERROR(VLOOKUP(D131,'Master List'!D:H,5,FALSE),"NA")</f>
        <v>Music Technology.</v>
      </c>
      <c r="I131" s="19"/>
      <c r="J131" s="20"/>
      <c r="K131" s="18"/>
      <c r="L131" s="22"/>
    </row>
    <row r="132" spans="1:12" x14ac:dyDescent="0.3">
      <c r="A132" s="33">
        <v>2</v>
      </c>
      <c r="B132" s="33" t="s">
        <v>2174</v>
      </c>
      <c r="C132" s="34" t="s">
        <v>726</v>
      </c>
      <c r="D132" s="51" t="s">
        <v>367</v>
      </c>
      <c r="E132" s="52" t="str">
        <f>IFERROR(VLOOKUP(D132,'Master List'!D:H,2,FALSE),"NA")</f>
        <v>520205</v>
      </c>
      <c r="F132" s="53" t="str">
        <f>IFERROR(VLOOKUP(D132,'Master List'!D:H,3,FALSE),"NA")</f>
        <v>520205</v>
      </c>
      <c r="G132" s="38" t="str">
        <f>IFERROR(VLOOKUP(D132,'Master List'!D:H,4,FALSE),"NA")</f>
        <v>520205</v>
      </c>
      <c r="H132" s="39" t="str">
        <f>IFERROR(VLOOKUP(D132,'Master List'!D:H,5,FALSE),"NA")</f>
        <v>Operations Management and Supervision.</v>
      </c>
      <c r="I132" s="19"/>
      <c r="J132" s="20"/>
      <c r="K132" s="18"/>
      <c r="L132" s="22"/>
    </row>
    <row r="133" spans="1:12" x14ac:dyDescent="0.3">
      <c r="A133" s="33">
        <v>2</v>
      </c>
      <c r="B133" s="33" t="s">
        <v>2174</v>
      </c>
      <c r="C133" s="34" t="s">
        <v>726</v>
      </c>
      <c r="D133" s="51" t="s">
        <v>371</v>
      </c>
      <c r="E133" s="52" t="str">
        <f>IFERROR(VLOOKUP(D133,'Master List'!D:H,2,FALSE),"NA")</f>
        <v>520209</v>
      </c>
      <c r="F133" s="53" t="str">
        <f>IFERROR(VLOOKUP(D133,'Master List'!D:H,3,FALSE),"NA")</f>
        <v>520209</v>
      </c>
      <c r="G133" s="38" t="str">
        <f>IFERROR(VLOOKUP(D133,'Master List'!D:H,4,FALSE),"NA")</f>
        <v>520209</v>
      </c>
      <c r="H133" s="39" t="str">
        <f>IFERROR(VLOOKUP(D133,'Master List'!D:H,5,FALSE),"NA")</f>
        <v>Transportation/Mobility Management.</v>
      </c>
      <c r="I133" s="19"/>
      <c r="J133" s="20"/>
      <c r="K133" s="18"/>
      <c r="L133" s="22"/>
    </row>
    <row r="134" spans="1:12" x14ac:dyDescent="0.3">
      <c r="A134" s="33">
        <v>2</v>
      </c>
      <c r="B134" s="33" t="s">
        <v>2174</v>
      </c>
      <c r="C134" s="34" t="s">
        <v>726</v>
      </c>
      <c r="D134" s="51" t="s">
        <v>372</v>
      </c>
      <c r="E134" s="52" t="str">
        <f>IFERROR(VLOOKUP(D134,'Master List'!D:H,2,FALSE),"NA")</f>
        <v>030104</v>
      </c>
      <c r="F134" s="53" t="str">
        <f>IFERROR(VLOOKUP(D134,'Master List'!D:H,3,FALSE),"NA")</f>
        <v>030104</v>
      </c>
      <c r="G134" s="38" t="str">
        <f>IFERROR(VLOOKUP(D134,'Master List'!D:H,4,FALSE),"NA")</f>
        <v>030104</v>
      </c>
      <c r="H134" s="39" t="str">
        <f>IFERROR(VLOOKUP(D134,'Master List'!D:H,5,FALSE),"NA")</f>
        <v>Environmental Science.</v>
      </c>
      <c r="I134" s="19"/>
      <c r="J134" s="20"/>
      <c r="K134" s="18"/>
      <c r="L134" s="22"/>
    </row>
    <row r="135" spans="1:12" x14ac:dyDescent="0.3">
      <c r="A135" s="33">
        <v>2</v>
      </c>
      <c r="B135" s="33" t="s">
        <v>2174</v>
      </c>
      <c r="C135" s="34" t="s">
        <v>726</v>
      </c>
      <c r="D135" s="51" t="s">
        <v>125</v>
      </c>
      <c r="E135" s="52" t="str">
        <f>IFERROR(VLOOKUP(D135,'Master List'!D:H,2,FALSE),"NA")</f>
        <v>220302</v>
      </c>
      <c r="F135" s="53" t="str">
        <f>IFERROR(VLOOKUP(D135,'Master List'!D:H,3,FALSE),"NA")</f>
        <v>220302</v>
      </c>
      <c r="G135" s="38" t="str">
        <f>IFERROR(VLOOKUP(D135,'Master List'!D:H,4,FALSE),"NA")</f>
        <v>220302</v>
      </c>
      <c r="H135" s="39" t="str">
        <f>IFERROR(VLOOKUP(D135,'Master List'!D:H,5,FALSE),"NA")</f>
        <v>Legal Assistant/Paralegal.</v>
      </c>
      <c r="I135" s="19"/>
      <c r="J135" s="20"/>
      <c r="K135" s="18"/>
      <c r="L135" s="22"/>
    </row>
    <row r="136" spans="1:12" x14ac:dyDescent="0.3">
      <c r="A136" s="33">
        <v>2</v>
      </c>
      <c r="B136" s="33" t="s">
        <v>2174</v>
      </c>
      <c r="C136" s="34" t="s">
        <v>726</v>
      </c>
      <c r="D136" s="51" t="s">
        <v>486</v>
      </c>
      <c r="E136" s="52" t="str">
        <f>IFERROR(VLOOKUP(D136,'Master List'!D:H,2,FALSE),"NA")</f>
        <v>310507</v>
      </c>
      <c r="F136" s="53" t="str">
        <f>IFERROR(VLOOKUP(D136,'Master List'!D:H,3,FALSE),"NA")</f>
        <v>310507</v>
      </c>
      <c r="G136" s="38" t="str">
        <f>IFERROR(VLOOKUP(D136,'Master List'!D:H,4,FALSE),"NA")</f>
        <v>310507</v>
      </c>
      <c r="H136" s="39" t="str">
        <f>IFERROR(VLOOKUP(D136,'Master List'!D:H,5,FALSE),"NA")</f>
        <v>Physical Fitness Technician.</v>
      </c>
      <c r="I136" s="19"/>
      <c r="J136" s="20"/>
      <c r="K136" s="18"/>
      <c r="L136" s="22"/>
    </row>
    <row r="137" spans="1:12" x14ac:dyDescent="0.3">
      <c r="A137" s="33">
        <v>2</v>
      </c>
      <c r="B137" s="33" t="s">
        <v>2174</v>
      </c>
      <c r="C137" s="34" t="s">
        <v>726</v>
      </c>
      <c r="D137" s="51" t="s">
        <v>128</v>
      </c>
      <c r="E137" s="52" t="str">
        <f>IFERROR(VLOOKUP(D137,'Master List'!D:H,2,FALSE),"NA")</f>
        <v>430103</v>
      </c>
      <c r="F137" s="53" t="str">
        <f>IFERROR(VLOOKUP(D137,'Master List'!D:H,3,FALSE),"NA")</f>
        <v>430103</v>
      </c>
      <c r="G137" s="38" t="str">
        <f>IFERROR(VLOOKUP(D137,'Master List'!D:H,4,FALSE),"NA")</f>
        <v>430103</v>
      </c>
      <c r="H137" s="39" t="str">
        <f>IFERROR(VLOOKUP(D137,'Master List'!D:H,5,FALSE),"NA")</f>
        <v>Criminal Justice/Law Enforcement Administration.</v>
      </c>
      <c r="I137" s="19"/>
      <c r="J137" s="20"/>
      <c r="K137" s="18"/>
      <c r="L137" s="22"/>
    </row>
    <row r="138" spans="1:12" x14ac:dyDescent="0.3">
      <c r="A138" s="33">
        <v>2</v>
      </c>
      <c r="B138" s="33" t="s">
        <v>2174</v>
      </c>
      <c r="C138" s="34" t="s">
        <v>726</v>
      </c>
      <c r="D138" s="51" t="s">
        <v>375</v>
      </c>
      <c r="E138" s="52" t="str">
        <f>IFERROR(VLOOKUP(D138,'Master List'!D:H,2,FALSE),"NA")</f>
        <v>430201</v>
      </c>
      <c r="F138" s="53" t="str">
        <f>IFERROR(VLOOKUP(D138,'Master List'!D:H,3,FALSE),"NA")</f>
        <v>430201</v>
      </c>
      <c r="G138" s="38" t="str">
        <f>IFERROR(VLOOKUP(D138,'Master List'!D:H,4,FALSE),"NA")</f>
        <v>430201</v>
      </c>
      <c r="H138" s="39" t="str">
        <f>IFERROR(VLOOKUP(D138,'Master List'!D:H,5,FALSE),"NA")</f>
        <v>Fire Prevention and Safety Technology/Technician.</v>
      </c>
      <c r="I138" s="19"/>
      <c r="J138" s="20"/>
      <c r="K138" s="18"/>
      <c r="L138" s="22"/>
    </row>
    <row r="139" spans="1:12" x14ac:dyDescent="0.3">
      <c r="A139" s="33">
        <v>2</v>
      </c>
      <c r="B139" s="33" t="s">
        <v>2174</v>
      </c>
      <c r="C139" s="34" t="s">
        <v>726</v>
      </c>
      <c r="D139" s="51" t="s">
        <v>378</v>
      </c>
      <c r="E139" s="52" t="str">
        <f>IFERROR(VLOOKUP(D139,'Master List'!D:H,2,FALSE),"NA")</f>
        <v>430302</v>
      </c>
      <c r="F139" s="53" t="str">
        <f>IFERROR(VLOOKUP(D139,'Master List'!D:H,3,FALSE),"NA")</f>
        <v>430302</v>
      </c>
      <c r="G139" s="38" t="str">
        <f>IFERROR(VLOOKUP(D139,'Master List'!D:H,4,FALSE),"NA")</f>
        <v>430302</v>
      </c>
      <c r="H139" s="39" t="str">
        <f>IFERROR(VLOOKUP(D139,'Master List'!D:H,5,FALSE),"NA")</f>
        <v>Crisis/Emergency/Disaster Management.</v>
      </c>
      <c r="I139" s="19"/>
      <c r="J139" s="20"/>
      <c r="K139" s="18"/>
      <c r="L139" s="22"/>
    </row>
    <row r="140" spans="1:12" x14ac:dyDescent="0.3">
      <c r="A140" s="40"/>
      <c r="B140" s="40"/>
      <c r="C140" s="40"/>
      <c r="D140" s="40"/>
      <c r="E140" s="43"/>
      <c r="F140" s="43"/>
      <c r="G140" s="43"/>
      <c r="H140" s="43"/>
      <c r="I140" s="40"/>
      <c r="J140" s="40"/>
      <c r="K140" s="44"/>
      <c r="L140" s="44"/>
    </row>
    <row r="141" spans="1:12" x14ac:dyDescent="0.3">
      <c r="A141" s="45"/>
      <c r="B141" s="45"/>
      <c r="C141" s="45"/>
      <c r="D141" s="45"/>
      <c r="E141" s="48"/>
      <c r="F141" s="48"/>
      <c r="G141" s="48"/>
      <c r="H141" s="48"/>
      <c r="I141" s="45"/>
      <c r="J141" s="45"/>
      <c r="K141" s="49"/>
      <c r="L141" s="49"/>
    </row>
    <row r="142" spans="1:12" x14ac:dyDescent="0.3">
      <c r="A142" s="45"/>
      <c r="B142" s="45"/>
      <c r="C142" s="45"/>
      <c r="D142" s="45"/>
      <c r="E142" s="48"/>
      <c r="F142" s="48"/>
      <c r="G142" s="48"/>
      <c r="H142" s="48"/>
      <c r="I142" s="45"/>
      <c r="J142" s="45"/>
      <c r="K142" s="49"/>
      <c r="L142" s="49"/>
    </row>
    <row r="143" spans="1:12" x14ac:dyDescent="0.3">
      <c r="A143" s="45"/>
      <c r="B143" s="45"/>
      <c r="C143" s="45"/>
      <c r="D143" s="45"/>
      <c r="E143" s="48"/>
      <c r="F143" s="48"/>
      <c r="G143" s="48"/>
      <c r="H143" s="48"/>
      <c r="I143" s="45"/>
      <c r="J143" s="45"/>
      <c r="K143" s="49"/>
      <c r="L143" s="49"/>
    </row>
    <row r="144" spans="1:12" x14ac:dyDescent="0.3">
      <c r="A144" s="45"/>
      <c r="B144" s="45"/>
      <c r="C144" s="45"/>
      <c r="D144" s="45"/>
      <c r="E144" s="48"/>
      <c r="F144" s="48"/>
      <c r="G144" s="48"/>
      <c r="H144" s="48"/>
      <c r="I144" s="45"/>
      <c r="J144" s="45"/>
      <c r="K144" s="49"/>
      <c r="L144" s="49"/>
    </row>
    <row r="145" spans="1:12" x14ac:dyDescent="0.3">
      <c r="A145" s="45"/>
      <c r="B145" s="45"/>
      <c r="C145" s="45"/>
      <c r="D145" s="45"/>
      <c r="E145" s="48"/>
      <c r="F145" s="48"/>
      <c r="G145" s="48"/>
      <c r="H145" s="48"/>
      <c r="I145" s="45"/>
      <c r="J145" s="45"/>
      <c r="K145" s="49"/>
      <c r="L145" s="49"/>
    </row>
    <row r="146" spans="1:12" x14ac:dyDescent="0.3">
      <c r="A146" s="45"/>
      <c r="B146" s="45"/>
      <c r="C146" s="45"/>
      <c r="D146" s="45"/>
      <c r="E146" s="48"/>
      <c r="F146" s="48"/>
      <c r="G146" s="48"/>
      <c r="H146" s="48"/>
      <c r="I146" s="45"/>
      <c r="J146" s="45"/>
      <c r="K146" s="49"/>
      <c r="L146" s="49"/>
    </row>
    <row r="147" spans="1:12" x14ac:dyDescent="0.3">
      <c r="A147" s="45"/>
      <c r="B147" s="45"/>
      <c r="C147" s="45"/>
      <c r="D147" s="45"/>
      <c r="E147" s="48"/>
      <c r="F147" s="48"/>
      <c r="G147" s="48"/>
      <c r="H147" s="48"/>
      <c r="I147" s="45"/>
      <c r="J147" s="45"/>
      <c r="K147" s="49"/>
      <c r="L147" s="49"/>
    </row>
    <row r="148" spans="1:12" x14ac:dyDescent="0.3">
      <c r="A148" s="45"/>
      <c r="B148" s="45"/>
      <c r="C148" s="45"/>
      <c r="D148" s="45"/>
      <c r="E148" s="48"/>
      <c r="F148" s="48"/>
      <c r="G148" s="48"/>
      <c r="H148" s="48"/>
      <c r="I148" s="45"/>
      <c r="J148" s="45"/>
      <c r="K148" s="49"/>
      <c r="L148" s="49"/>
    </row>
    <row r="149" spans="1:12" x14ac:dyDescent="0.3">
      <c r="A149" s="45"/>
      <c r="B149" s="45"/>
      <c r="C149" s="45"/>
      <c r="D149" s="45"/>
      <c r="E149" s="48"/>
      <c r="F149" s="48"/>
      <c r="G149" s="48"/>
      <c r="H149" s="48"/>
      <c r="I149" s="45"/>
      <c r="J149" s="45"/>
      <c r="K149" s="49"/>
      <c r="L149" s="49"/>
    </row>
  </sheetData>
  <sheetProtection algorithmName="SHA-512" hashValue="5aDXl1O4lIXMCjb0x/x1kRqmkoMJRzXeR68xpzxeZroz80szt6gKk/geRml3g9w/+cEfiY0zFEq4kmNKoZBs2w==" saltValue="d9p9pw/qED3ViMqB55mElA==" spinCount="100000" sheet="1" objects="1" scenarios="1" sort="0" autoFilter="0"/>
  <autoFilter ref="A2:L139"/>
  <mergeCells count="3">
    <mergeCell ref="A1:D1"/>
    <mergeCell ref="E1:H1"/>
    <mergeCell ref="I1:L1"/>
  </mergeCells>
  <dataValidations count="1">
    <dataValidation type="list" allowBlank="1" showInputMessage="1" showErrorMessage="1" sqref="I3:I139">
      <formula1>"Agree,Disagree"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25" customWidth="1"/>
    <col min="6" max="6" width="12.5546875" style="25" customWidth="1"/>
    <col min="7" max="7" width="13.6640625" style="54" customWidth="1"/>
    <col min="8" max="8" width="70.44140625" style="25" customWidth="1"/>
    <col min="9" max="9" width="24.33203125" style="17" customWidth="1"/>
    <col min="10" max="10" width="26.33203125" style="17" customWidth="1"/>
    <col min="11" max="12" width="34.88671875" style="17" customWidth="1"/>
    <col min="13" max="16384" width="8.88671875" style="17"/>
  </cols>
  <sheetData>
    <row r="1" spans="1:12" s="27" customFormat="1" ht="97.5" customHeight="1" x14ac:dyDescent="0.3">
      <c r="A1" s="95"/>
      <c r="B1" s="95"/>
      <c r="C1" s="95"/>
      <c r="D1" s="95"/>
      <c r="E1" s="100" t="s">
        <v>2145</v>
      </c>
      <c r="F1" s="100"/>
      <c r="G1" s="100"/>
      <c r="H1" s="100"/>
      <c r="I1" s="97" t="s">
        <v>0</v>
      </c>
      <c r="J1" s="98"/>
      <c r="K1" s="98"/>
      <c r="L1" s="99"/>
    </row>
    <row r="2" spans="1:12" s="27" customFormat="1" ht="72" customHeight="1" x14ac:dyDescent="0.3">
      <c r="A2" s="28" t="s">
        <v>1</v>
      </c>
      <c r="B2" s="28" t="s">
        <v>2146</v>
      </c>
      <c r="C2" s="28" t="s">
        <v>2147</v>
      </c>
      <c r="D2" s="28" t="s">
        <v>2148</v>
      </c>
      <c r="E2" s="29" t="s">
        <v>3</v>
      </c>
      <c r="F2" s="30" t="s">
        <v>4</v>
      </c>
      <c r="G2" s="57" t="s">
        <v>2149</v>
      </c>
      <c r="H2" s="50" t="s">
        <v>2150</v>
      </c>
      <c r="I2" s="15" t="s">
        <v>2151</v>
      </c>
      <c r="J2" s="15" t="s">
        <v>2152</v>
      </c>
      <c r="K2" s="15" t="s">
        <v>5</v>
      </c>
      <c r="L2" s="15" t="s">
        <v>2153</v>
      </c>
    </row>
    <row r="3" spans="1:12" x14ac:dyDescent="0.3">
      <c r="A3" s="33">
        <v>3</v>
      </c>
      <c r="B3" s="33" t="s">
        <v>489</v>
      </c>
      <c r="C3" s="34" t="s">
        <v>490</v>
      </c>
      <c r="D3" s="51" t="s">
        <v>491</v>
      </c>
      <c r="E3" s="52" t="str">
        <f>IFERROR(VLOOKUP(D3,'Master List'!D:H,2,FALSE),"NA")</f>
        <v>010101</v>
      </c>
      <c r="F3" s="53" t="str">
        <f>IFERROR(VLOOKUP(D3,'Master List'!D:H,3,FALSE),"NA")</f>
        <v>010101</v>
      </c>
      <c r="G3" s="58">
        <f>IFERROR(VLOOKUP(D3,'Master List'!D:H,4,FALSE),"NA")</f>
        <v>11103</v>
      </c>
      <c r="H3" s="39" t="str">
        <f>IFERROR(VLOOKUP(D3,'Master List'!D:H,5,FALSE),"NA")</f>
        <v>Agricultural Business and Management, General.</v>
      </c>
      <c r="I3" s="19"/>
      <c r="J3" s="20"/>
      <c r="K3" s="18"/>
      <c r="L3" s="22"/>
    </row>
    <row r="4" spans="1:12" x14ac:dyDescent="0.3">
      <c r="A4" s="33">
        <v>3</v>
      </c>
      <c r="B4" s="33" t="s">
        <v>489</v>
      </c>
      <c r="C4" s="34" t="s">
        <v>490</v>
      </c>
      <c r="D4" s="51" t="s">
        <v>494</v>
      </c>
      <c r="E4" s="52" t="str">
        <f>IFERROR(VLOOKUP(D4,'Master List'!D:H,2,FALSE),"NA")</f>
        <v>010507</v>
      </c>
      <c r="F4" s="53" t="str">
        <f>IFERROR(VLOOKUP(D4,'Master List'!D:H,3,FALSE),"NA")</f>
        <v>010507</v>
      </c>
      <c r="G4" s="58" t="str">
        <f>IFERROR(VLOOKUP(D4,'Master List'!D:H,4,FALSE),"NA")</f>
        <v>010507</v>
      </c>
      <c r="H4" s="39" t="str">
        <f>IFERROR(VLOOKUP(D4,'Master List'!D:H,5,FALSE),"NA")</f>
        <v>Equestrian/Equine Studies.</v>
      </c>
      <c r="I4" s="19"/>
      <c r="J4" s="20"/>
      <c r="K4" s="18"/>
      <c r="L4" s="22"/>
    </row>
    <row r="5" spans="1:12" x14ac:dyDescent="0.3">
      <c r="A5" s="33">
        <v>3</v>
      </c>
      <c r="B5" s="33" t="s">
        <v>489</v>
      </c>
      <c r="C5" s="34" t="s">
        <v>490</v>
      </c>
      <c r="D5" s="51" t="s">
        <v>497</v>
      </c>
      <c r="E5" s="52" t="str">
        <f>IFERROR(VLOOKUP(D5,'Master List'!D:H,2,FALSE),"NA")</f>
        <v>010507</v>
      </c>
      <c r="F5" s="53" t="str">
        <f>IFERROR(VLOOKUP(D5,'Master List'!D:H,3,FALSE),"NA")</f>
        <v>010507</v>
      </c>
      <c r="G5" s="58" t="str">
        <f>IFERROR(VLOOKUP(D5,'Master List'!D:H,4,FALSE),"NA")</f>
        <v>010507</v>
      </c>
      <c r="H5" s="39" t="str">
        <f>IFERROR(VLOOKUP(D5,'Master List'!D:H,5,FALSE),"NA")</f>
        <v>Equestrian/Equine Studies.</v>
      </c>
      <c r="I5" s="19"/>
      <c r="J5" s="20"/>
      <c r="K5" s="18"/>
      <c r="L5" s="22"/>
    </row>
    <row r="6" spans="1:12" x14ac:dyDescent="0.3">
      <c r="A6" s="33">
        <v>3</v>
      </c>
      <c r="B6" s="33" t="s">
        <v>489</v>
      </c>
      <c r="C6" s="34" t="s">
        <v>490</v>
      </c>
      <c r="D6" s="51" t="s">
        <v>498</v>
      </c>
      <c r="E6" s="52" t="str">
        <f>IFERROR(VLOOKUP(D6,'Master List'!D:H,2,FALSE),"NA")</f>
        <v>521401</v>
      </c>
      <c r="F6" s="53" t="str">
        <f>IFERROR(VLOOKUP(D6,'Master List'!D:H,3,FALSE),"NA")</f>
        <v>521401</v>
      </c>
      <c r="G6" s="58" t="str">
        <f>IFERROR(VLOOKUP(D6,'Master List'!D:H,4,FALSE),"NA")</f>
        <v>521401</v>
      </c>
      <c r="H6" s="39" t="str">
        <f>IFERROR(VLOOKUP(D6,'Master List'!D:H,5,FALSE),"NA")</f>
        <v>Marketing/Marketing Management, General.</v>
      </c>
      <c r="I6" s="19"/>
      <c r="J6" s="20"/>
      <c r="K6" s="18"/>
      <c r="L6" s="22"/>
    </row>
    <row r="7" spans="1:12" x14ac:dyDescent="0.3">
      <c r="A7" s="33">
        <v>3</v>
      </c>
      <c r="B7" s="33" t="s">
        <v>489</v>
      </c>
      <c r="C7" s="34" t="s">
        <v>490</v>
      </c>
      <c r="D7" s="51" t="s">
        <v>8</v>
      </c>
      <c r="E7" s="52" t="str">
        <f>IFERROR(VLOOKUP(D7,'Master List'!D:H,2,FALSE),"NA")</f>
        <v>510601</v>
      </c>
      <c r="F7" s="53" t="str">
        <f>IFERROR(VLOOKUP(D7,'Master List'!D:H,3,FALSE),"NA")</f>
        <v>510601</v>
      </c>
      <c r="G7" s="58" t="str">
        <f>IFERROR(VLOOKUP(D7,'Master List'!D:H,4,FALSE),"NA")</f>
        <v>510601</v>
      </c>
      <c r="H7" s="39" t="str">
        <f>IFERROR(VLOOKUP(D7,'Master List'!D:H,5,FALSE),"NA")</f>
        <v>Dental Assisting/Assistant.</v>
      </c>
      <c r="I7" s="19"/>
      <c r="J7" s="20"/>
      <c r="K7" s="18"/>
      <c r="L7" s="22"/>
    </row>
    <row r="8" spans="1:12" x14ac:dyDescent="0.3">
      <c r="A8" s="33">
        <v>3</v>
      </c>
      <c r="B8" s="33" t="s">
        <v>489</v>
      </c>
      <c r="C8" s="34" t="s">
        <v>490</v>
      </c>
      <c r="D8" s="51" t="s">
        <v>198</v>
      </c>
      <c r="E8" s="52" t="str">
        <f>IFERROR(VLOOKUP(D8,'Master List'!D:H,2,FALSE),"NA")</f>
        <v>510707</v>
      </c>
      <c r="F8" s="53" t="str">
        <f>IFERROR(VLOOKUP(D8,'Master List'!D:H,3,FALSE),"NA")</f>
        <v>510707</v>
      </c>
      <c r="G8" s="58">
        <f>IFERROR(VLOOKUP(D8,'Master List'!D:H,4,FALSE),"NA")</f>
        <v>510714</v>
      </c>
      <c r="H8" s="39" t="str">
        <f>IFERROR(VLOOKUP(D8,'Master List'!D:H,5,FALSE),"NA")</f>
        <v>Medical Insurance Specialist/Medical Biller</v>
      </c>
      <c r="I8" s="19"/>
      <c r="J8" s="20"/>
      <c r="K8" s="18"/>
      <c r="L8" s="22"/>
    </row>
    <row r="9" spans="1:12" x14ac:dyDescent="0.3">
      <c r="A9" s="33">
        <v>3</v>
      </c>
      <c r="B9" s="33" t="s">
        <v>489</v>
      </c>
      <c r="C9" s="34" t="s">
        <v>490</v>
      </c>
      <c r="D9" s="51" t="s">
        <v>14</v>
      </c>
      <c r="E9" s="52" t="str">
        <f>IFERROR(VLOOKUP(D9,'Master List'!D:H,2,FALSE),"NA")</f>
        <v>510904</v>
      </c>
      <c r="F9" s="53" t="str">
        <f>IFERROR(VLOOKUP(D9,'Master List'!D:H,3,FALSE),"NA")</f>
        <v>510904</v>
      </c>
      <c r="G9" s="58" t="str">
        <f>IFERROR(VLOOKUP(D9,'Master List'!D:H,4,FALSE),"NA")</f>
        <v>510904</v>
      </c>
      <c r="H9" s="39" t="str">
        <f>IFERROR(VLOOKUP(D9,'Master List'!D:H,5,FALSE),"NA")</f>
        <v>Emergency Medical Technology/Technician (EMT Paramedic).</v>
      </c>
      <c r="I9" s="19"/>
      <c r="J9" s="20"/>
      <c r="K9" s="18"/>
      <c r="L9" s="22"/>
    </row>
    <row r="10" spans="1:12" x14ac:dyDescent="0.3">
      <c r="A10" s="33">
        <v>3</v>
      </c>
      <c r="B10" s="33" t="s">
        <v>489</v>
      </c>
      <c r="C10" s="34" t="s">
        <v>490</v>
      </c>
      <c r="D10" s="51" t="s">
        <v>204</v>
      </c>
      <c r="E10" s="52" t="str">
        <f>IFERROR(VLOOKUP(D10,'Master List'!D:H,2,FALSE),"NA")</f>
        <v>510904</v>
      </c>
      <c r="F10" s="53" t="str">
        <f>IFERROR(VLOOKUP(D10,'Master List'!D:H,3,FALSE),"NA")</f>
        <v>510904</v>
      </c>
      <c r="G10" s="58" t="str">
        <f>IFERROR(VLOOKUP(D10,'Master List'!D:H,4,FALSE),"NA")</f>
        <v>510904</v>
      </c>
      <c r="H10" s="39" t="str">
        <f>IFERROR(VLOOKUP(D10,'Master List'!D:H,5,FALSE),"NA")</f>
        <v>Emergency Medical Technology/Technician (EMT Paramedic).</v>
      </c>
      <c r="I10" s="19"/>
      <c r="J10" s="20"/>
      <c r="K10" s="18"/>
      <c r="L10" s="22"/>
    </row>
    <row r="11" spans="1:12" x14ac:dyDescent="0.3">
      <c r="A11" s="33">
        <v>3</v>
      </c>
      <c r="B11" s="33" t="s">
        <v>489</v>
      </c>
      <c r="C11" s="34" t="s">
        <v>490</v>
      </c>
      <c r="D11" s="51" t="s">
        <v>207</v>
      </c>
      <c r="E11" s="52" t="str">
        <f>IFERROR(VLOOKUP(D11,'Master List'!D:H,2,FALSE),"NA")</f>
        <v>510909</v>
      </c>
      <c r="F11" s="53" t="str">
        <f>IFERROR(VLOOKUP(D11,'Master List'!D:H,3,FALSE),"NA")</f>
        <v>510909</v>
      </c>
      <c r="G11" s="58" t="str">
        <f>IFERROR(VLOOKUP(D11,'Master List'!D:H,4,FALSE),"NA")</f>
        <v>510909</v>
      </c>
      <c r="H11" s="39" t="str">
        <f>IFERROR(VLOOKUP(D11,'Master List'!D:H,5,FALSE),"NA")</f>
        <v>Surgical Technology/Technologist.</v>
      </c>
      <c r="I11" s="19"/>
      <c r="J11" s="20"/>
      <c r="K11" s="18"/>
      <c r="L11" s="22"/>
    </row>
    <row r="12" spans="1:12" x14ac:dyDescent="0.3">
      <c r="A12" s="33">
        <v>3</v>
      </c>
      <c r="B12" s="33" t="s">
        <v>489</v>
      </c>
      <c r="C12" s="34" t="s">
        <v>490</v>
      </c>
      <c r="D12" s="51" t="s">
        <v>28</v>
      </c>
      <c r="E12" s="52" t="str">
        <f>IFERROR(VLOOKUP(D12,'Master List'!D:H,2,FALSE),"NA")</f>
        <v>190709</v>
      </c>
      <c r="F12" s="53" t="str">
        <f>IFERROR(VLOOKUP(D12,'Master List'!D:H,3,FALSE),"NA")</f>
        <v>190709</v>
      </c>
      <c r="G12" s="58" t="str">
        <f>IFERROR(VLOOKUP(D12,'Master List'!D:H,4,FALSE),"NA")</f>
        <v>190709</v>
      </c>
      <c r="H12" s="39" t="str">
        <f>IFERROR(VLOOKUP(D12,'Master List'!D:H,5,FALSE),"NA")</f>
        <v>Child Care Provider/Assistant.</v>
      </c>
      <c r="I12" s="19"/>
      <c r="J12" s="20"/>
      <c r="K12" s="18"/>
      <c r="L12" s="22"/>
    </row>
    <row r="13" spans="1:12" x14ac:dyDescent="0.3">
      <c r="A13" s="33">
        <v>3</v>
      </c>
      <c r="B13" s="33" t="s">
        <v>489</v>
      </c>
      <c r="C13" s="34" t="s">
        <v>490</v>
      </c>
      <c r="D13" s="51" t="s">
        <v>483</v>
      </c>
      <c r="E13" s="52" t="str">
        <f>IFERROR(VLOOKUP(D13,'Master List'!D:H,2,FALSE),"NA")</f>
        <v>190709</v>
      </c>
      <c r="F13" s="53" t="str">
        <f>IFERROR(VLOOKUP(D13,'Master List'!D:H,3,FALSE),"NA")</f>
        <v>190709</v>
      </c>
      <c r="G13" s="58" t="str">
        <f>IFERROR(VLOOKUP(D13,'Master List'!D:H,4,FALSE),"NA")</f>
        <v>190709</v>
      </c>
      <c r="H13" s="39" t="str">
        <f>IFERROR(VLOOKUP(D13,'Master List'!D:H,5,FALSE),"NA")</f>
        <v>Child Care Provider/Assistant.</v>
      </c>
      <c r="I13" s="19"/>
      <c r="J13" s="20"/>
      <c r="K13" s="18"/>
      <c r="L13" s="22"/>
    </row>
    <row r="14" spans="1:12" x14ac:dyDescent="0.3">
      <c r="A14" s="33">
        <v>3</v>
      </c>
      <c r="B14" s="33" t="s">
        <v>489</v>
      </c>
      <c r="C14" s="34" t="s">
        <v>490</v>
      </c>
      <c r="D14" s="51" t="s">
        <v>217</v>
      </c>
      <c r="E14" s="52" t="str">
        <f>IFERROR(VLOOKUP(D14,'Master List'!D:H,2,FALSE),"NA")</f>
        <v>110103</v>
      </c>
      <c r="F14" s="53" t="str">
        <f>IFERROR(VLOOKUP(D14,'Master List'!D:H,3,FALSE),"NA")</f>
        <v>110103</v>
      </c>
      <c r="G14" s="58" t="str">
        <f>IFERROR(VLOOKUP(D14,'Master List'!D:H,4,FALSE),"NA")</f>
        <v>110103</v>
      </c>
      <c r="H14" s="39" t="str">
        <f>IFERROR(VLOOKUP(D14,'Master List'!D:H,5,FALSE),"NA")</f>
        <v>Information Technology.</v>
      </c>
      <c r="I14" s="19"/>
      <c r="J14" s="20"/>
      <c r="K14" s="18"/>
      <c r="L14" s="22"/>
    </row>
    <row r="15" spans="1:12" x14ac:dyDescent="0.3">
      <c r="A15" s="33">
        <v>3</v>
      </c>
      <c r="B15" s="33" t="s">
        <v>489</v>
      </c>
      <c r="C15" s="34" t="s">
        <v>490</v>
      </c>
      <c r="D15" s="51" t="s">
        <v>218</v>
      </c>
      <c r="E15" s="52" t="str">
        <f>IFERROR(VLOOKUP(D15,'Master List'!D:H,2,FALSE),"NA")</f>
        <v>110103</v>
      </c>
      <c r="F15" s="53" t="str">
        <f>IFERROR(VLOOKUP(D15,'Master List'!D:H,3,FALSE),"NA")</f>
        <v>110103</v>
      </c>
      <c r="G15" s="58" t="str">
        <f>IFERROR(VLOOKUP(D15,'Master List'!D:H,4,FALSE),"NA")</f>
        <v>110103</v>
      </c>
      <c r="H15" s="39" t="str">
        <f>IFERROR(VLOOKUP(D15,'Master List'!D:H,5,FALSE),"NA")</f>
        <v>Information Technology.</v>
      </c>
      <c r="I15" s="19"/>
      <c r="J15" s="20"/>
      <c r="K15" s="18"/>
      <c r="L15" s="22"/>
    </row>
    <row r="16" spans="1:12" x14ac:dyDescent="0.3">
      <c r="A16" s="33">
        <v>3</v>
      </c>
      <c r="B16" s="33" t="s">
        <v>489</v>
      </c>
      <c r="C16" s="34" t="s">
        <v>490</v>
      </c>
      <c r="D16" s="51" t="s">
        <v>502</v>
      </c>
      <c r="E16" s="52" t="str">
        <f>IFERROR(VLOOKUP(D16,'Master List'!D:H,2,FALSE),"NA")</f>
        <v>110103</v>
      </c>
      <c r="F16" s="53" t="str">
        <f>IFERROR(VLOOKUP(D16,'Master List'!D:H,3,FALSE),"NA")</f>
        <v>110103</v>
      </c>
      <c r="G16" s="58" t="str">
        <f>IFERROR(VLOOKUP(D16,'Master List'!D:H,4,FALSE),"NA")</f>
        <v>110103</v>
      </c>
      <c r="H16" s="39" t="str">
        <f>IFERROR(VLOOKUP(D16,'Master List'!D:H,5,FALSE),"NA")</f>
        <v>Information Technology.</v>
      </c>
      <c r="I16" s="19"/>
      <c r="J16" s="20"/>
      <c r="K16" s="18"/>
      <c r="L16" s="22"/>
    </row>
    <row r="17" spans="1:12" x14ac:dyDescent="0.3">
      <c r="A17" s="33">
        <v>3</v>
      </c>
      <c r="B17" s="33" t="s">
        <v>489</v>
      </c>
      <c r="C17" s="34" t="s">
        <v>490</v>
      </c>
      <c r="D17" s="51" t="s">
        <v>389</v>
      </c>
      <c r="E17" s="52" t="str">
        <f>IFERROR(VLOOKUP(D17,'Master List'!D:H,2,FALSE),"NA")</f>
        <v>110201</v>
      </c>
      <c r="F17" s="53" t="str">
        <f>IFERROR(VLOOKUP(D17,'Master List'!D:H,3,FALSE),"NA")</f>
        <v>110201</v>
      </c>
      <c r="G17" s="58" t="str">
        <f>IFERROR(VLOOKUP(D17,'Master List'!D:H,4,FALSE),"NA")</f>
        <v>110201</v>
      </c>
      <c r="H17" s="39" t="str">
        <f>IFERROR(VLOOKUP(D17,'Master List'!D:H,5,FALSE),"NA")</f>
        <v>Computer Programming/Programmer, General.</v>
      </c>
      <c r="I17" s="19"/>
      <c r="J17" s="20"/>
      <c r="K17" s="18"/>
      <c r="L17" s="22"/>
    </row>
    <row r="18" spans="1:12" x14ac:dyDescent="0.3">
      <c r="A18" s="33">
        <v>3</v>
      </c>
      <c r="B18" s="33" t="s">
        <v>489</v>
      </c>
      <c r="C18" s="34" t="s">
        <v>490</v>
      </c>
      <c r="D18" s="51" t="s">
        <v>503</v>
      </c>
      <c r="E18" s="52" t="str">
        <f>IFERROR(VLOOKUP(D18,'Master List'!D:H,2,FALSE),"NA")</f>
        <v>111003</v>
      </c>
      <c r="F18" s="53" t="str">
        <f>IFERROR(VLOOKUP(D18,'Master List'!D:H,3,FALSE),"NA")</f>
        <v>111003</v>
      </c>
      <c r="G18" s="58" t="str">
        <f>IFERROR(VLOOKUP(D18,'Master List'!D:H,4,FALSE),"NA")</f>
        <v>111003</v>
      </c>
      <c r="H18" s="39" t="str">
        <f>IFERROR(VLOOKUP(D18,'Master List'!D:H,5,FALSE),"NA")</f>
        <v>Computer and Information Systems Security/Auditing/Information Assurance.</v>
      </c>
      <c r="I18" s="19"/>
      <c r="J18" s="20"/>
      <c r="K18" s="18"/>
      <c r="L18" s="22"/>
    </row>
    <row r="19" spans="1:12" x14ac:dyDescent="0.3">
      <c r="A19" s="33">
        <v>3</v>
      </c>
      <c r="B19" s="33" t="s">
        <v>489</v>
      </c>
      <c r="C19" s="34" t="s">
        <v>490</v>
      </c>
      <c r="D19" s="51" t="s">
        <v>153</v>
      </c>
      <c r="E19" s="52" t="str">
        <f>IFERROR(VLOOKUP(D19,'Master List'!D:H,2,FALSE),"NA")</f>
        <v>520201</v>
      </c>
      <c r="F19" s="53" t="str">
        <f>IFERROR(VLOOKUP(D19,'Master List'!D:H,3,FALSE),"NA")</f>
        <v>520201</v>
      </c>
      <c r="G19" s="58" t="str">
        <f>IFERROR(VLOOKUP(D19,'Master List'!D:H,4,FALSE),"NA")</f>
        <v>520201</v>
      </c>
      <c r="H19" s="39" t="str">
        <f>IFERROR(VLOOKUP(D19,'Master List'!D:H,5,FALSE),"NA")</f>
        <v>Business Administration and Management, General.</v>
      </c>
      <c r="I19" s="19"/>
      <c r="J19" s="20"/>
      <c r="K19" s="18"/>
      <c r="L19" s="22"/>
    </row>
    <row r="20" spans="1:12" x14ac:dyDescent="0.3">
      <c r="A20" s="33">
        <v>3</v>
      </c>
      <c r="B20" s="33" t="s">
        <v>489</v>
      </c>
      <c r="C20" s="34" t="s">
        <v>490</v>
      </c>
      <c r="D20" s="51" t="s">
        <v>154</v>
      </c>
      <c r="E20" s="52" t="str">
        <f>IFERROR(VLOOKUP(D20,'Master List'!D:H,2,FALSE),"NA")</f>
        <v>520201</v>
      </c>
      <c r="F20" s="53" t="str">
        <f>IFERROR(VLOOKUP(D20,'Master List'!D:H,3,FALSE),"NA")</f>
        <v>520201</v>
      </c>
      <c r="G20" s="58" t="str">
        <f>IFERROR(VLOOKUP(D20,'Master List'!D:H,4,FALSE),"NA")</f>
        <v>520201</v>
      </c>
      <c r="H20" s="39" t="str">
        <f>IFERROR(VLOOKUP(D20,'Master List'!D:H,5,FALSE),"NA")</f>
        <v>Business Administration and Management, General.</v>
      </c>
      <c r="I20" s="19"/>
      <c r="J20" s="20"/>
      <c r="K20" s="18"/>
      <c r="L20" s="22"/>
    </row>
    <row r="21" spans="1:12" x14ac:dyDescent="0.3">
      <c r="A21" s="33">
        <v>3</v>
      </c>
      <c r="B21" s="33" t="s">
        <v>489</v>
      </c>
      <c r="C21" s="34" t="s">
        <v>490</v>
      </c>
      <c r="D21" s="51" t="s">
        <v>507</v>
      </c>
      <c r="E21" s="52" t="str">
        <f>IFERROR(VLOOKUP(D21,'Master List'!D:H,2,FALSE),"NA")</f>
        <v>520201</v>
      </c>
      <c r="F21" s="53" t="str">
        <f>IFERROR(VLOOKUP(D21,'Master List'!D:H,3,FALSE),"NA")</f>
        <v>520201</v>
      </c>
      <c r="G21" s="58" t="str">
        <f>IFERROR(VLOOKUP(D21,'Master List'!D:H,4,FALSE),"NA")</f>
        <v>520201</v>
      </c>
      <c r="H21" s="39" t="str">
        <f>IFERROR(VLOOKUP(D21,'Master List'!D:H,5,FALSE),"NA")</f>
        <v>Business Administration and Management, General.</v>
      </c>
      <c r="I21" s="19"/>
      <c r="J21" s="20"/>
      <c r="K21" s="18"/>
      <c r="L21" s="22"/>
    </row>
    <row r="22" spans="1:12" x14ac:dyDescent="0.3">
      <c r="A22" s="33">
        <v>3</v>
      </c>
      <c r="B22" s="33" t="s">
        <v>489</v>
      </c>
      <c r="C22" s="34" t="s">
        <v>490</v>
      </c>
      <c r="D22" s="51" t="s">
        <v>37</v>
      </c>
      <c r="E22" s="52" t="str">
        <f>IFERROR(VLOOKUP(D22,'Master List'!D:H,2,FALSE),"NA")</f>
        <v>520204</v>
      </c>
      <c r="F22" s="53" t="str">
        <f>IFERROR(VLOOKUP(D22,'Master List'!D:H,3,FALSE),"NA")</f>
        <v>520204</v>
      </c>
      <c r="G22" s="58" t="str">
        <f>IFERROR(VLOOKUP(D22,'Master List'!D:H,4,FALSE),"NA")</f>
        <v>520204</v>
      </c>
      <c r="H22" s="39" t="str">
        <f>IFERROR(VLOOKUP(D22,'Master List'!D:H,5,FALSE),"NA")</f>
        <v>Office Management and Supervision.</v>
      </c>
      <c r="I22" s="19"/>
      <c r="J22" s="20"/>
      <c r="K22" s="18"/>
      <c r="L22" s="22"/>
    </row>
    <row r="23" spans="1:12" x14ac:dyDescent="0.3">
      <c r="A23" s="33">
        <v>3</v>
      </c>
      <c r="B23" s="33" t="s">
        <v>489</v>
      </c>
      <c r="C23" s="34" t="s">
        <v>490</v>
      </c>
      <c r="D23" s="51" t="s">
        <v>226</v>
      </c>
      <c r="E23" s="52" t="str">
        <f>IFERROR(VLOOKUP(D23,'Master List'!D:H,2,FALSE),"NA")</f>
        <v>520204</v>
      </c>
      <c r="F23" s="53" t="str">
        <f>IFERROR(VLOOKUP(D23,'Master List'!D:H,3,FALSE),"NA")</f>
        <v>520204</v>
      </c>
      <c r="G23" s="58" t="str">
        <f>IFERROR(VLOOKUP(D23,'Master List'!D:H,4,FALSE),"NA")</f>
        <v>520204</v>
      </c>
      <c r="H23" s="39" t="str">
        <f>IFERROR(VLOOKUP(D23,'Master List'!D:H,5,FALSE),"NA")</f>
        <v>Office Management and Supervision.</v>
      </c>
      <c r="I23" s="19"/>
      <c r="J23" s="20"/>
      <c r="K23" s="18"/>
      <c r="L23" s="22"/>
    </row>
    <row r="24" spans="1:12" x14ac:dyDescent="0.3">
      <c r="A24" s="33">
        <v>3</v>
      </c>
      <c r="B24" s="33" t="s">
        <v>489</v>
      </c>
      <c r="C24" s="34" t="s">
        <v>490</v>
      </c>
      <c r="D24" s="51" t="s">
        <v>227</v>
      </c>
      <c r="E24" s="52" t="str">
        <f>IFERROR(VLOOKUP(D24,'Master List'!D:H,2,FALSE),"NA")</f>
        <v>520302</v>
      </c>
      <c r="F24" s="53" t="str">
        <f>IFERROR(VLOOKUP(D24,'Master List'!D:H,3,FALSE),"NA")</f>
        <v>520302</v>
      </c>
      <c r="G24" s="58" t="str">
        <f>IFERROR(VLOOKUP(D24,'Master List'!D:H,4,FALSE),"NA")</f>
        <v>520302</v>
      </c>
      <c r="H24" s="39" t="str">
        <f>IFERROR(VLOOKUP(D24,'Master List'!D:H,5,FALSE),"NA")</f>
        <v>Accounting Technology/Technician and Bookkeeping.</v>
      </c>
      <c r="I24" s="19"/>
      <c r="J24" s="20"/>
      <c r="K24" s="18"/>
      <c r="L24" s="22"/>
    </row>
    <row r="25" spans="1:12" x14ac:dyDescent="0.3">
      <c r="A25" s="33">
        <v>3</v>
      </c>
      <c r="B25" s="33" t="s">
        <v>489</v>
      </c>
      <c r="C25" s="34" t="s">
        <v>490</v>
      </c>
      <c r="D25" s="51" t="s">
        <v>228</v>
      </c>
      <c r="E25" s="52" t="str">
        <f>IFERROR(VLOOKUP(D25,'Master List'!D:H,2,FALSE),"NA")</f>
        <v>520302</v>
      </c>
      <c r="F25" s="53" t="str">
        <f>IFERROR(VLOOKUP(D25,'Master List'!D:H,3,FALSE),"NA")</f>
        <v>520302</v>
      </c>
      <c r="G25" s="58" t="str">
        <f>IFERROR(VLOOKUP(D25,'Master List'!D:H,4,FALSE),"NA")</f>
        <v>520302</v>
      </c>
      <c r="H25" s="39" t="str">
        <f>IFERROR(VLOOKUP(D25,'Master List'!D:H,5,FALSE),"NA")</f>
        <v>Accounting Technology/Technician and Bookkeeping.</v>
      </c>
      <c r="I25" s="19"/>
      <c r="J25" s="20"/>
      <c r="K25" s="18"/>
      <c r="L25" s="22"/>
    </row>
    <row r="26" spans="1:12" x14ac:dyDescent="0.3">
      <c r="A26" s="33">
        <v>3</v>
      </c>
      <c r="B26" s="33" t="s">
        <v>489</v>
      </c>
      <c r="C26" s="34" t="s">
        <v>490</v>
      </c>
      <c r="D26" s="51" t="s">
        <v>40</v>
      </c>
      <c r="E26" s="52" t="str">
        <f>IFERROR(VLOOKUP(D26,'Master List'!D:H,2,FALSE),"NA")</f>
        <v>520302</v>
      </c>
      <c r="F26" s="53" t="str">
        <f>IFERROR(VLOOKUP(D26,'Master List'!D:H,3,FALSE),"NA")</f>
        <v>520302</v>
      </c>
      <c r="G26" s="58" t="str">
        <f>IFERROR(VLOOKUP(D26,'Master List'!D:H,4,FALSE),"NA")</f>
        <v>520302</v>
      </c>
      <c r="H26" s="39" t="str">
        <f>IFERROR(VLOOKUP(D26,'Master List'!D:H,5,FALSE),"NA")</f>
        <v>Accounting Technology/Technician and Bookkeeping.</v>
      </c>
      <c r="I26" s="19"/>
      <c r="J26" s="20"/>
      <c r="K26" s="18"/>
      <c r="L26" s="22"/>
    </row>
    <row r="27" spans="1:12" x14ac:dyDescent="0.3">
      <c r="A27" s="33">
        <v>3</v>
      </c>
      <c r="B27" s="33" t="s">
        <v>489</v>
      </c>
      <c r="C27" s="34" t="s">
        <v>490</v>
      </c>
      <c r="D27" s="51" t="s">
        <v>229</v>
      </c>
      <c r="E27" s="52" t="str">
        <f>IFERROR(VLOOKUP(D27,'Master List'!D:H,2,FALSE),"NA")</f>
        <v>520407</v>
      </c>
      <c r="F27" s="53" t="str">
        <f>IFERROR(VLOOKUP(D27,'Master List'!D:H,3,FALSE),"NA")</f>
        <v>520407</v>
      </c>
      <c r="G27" s="58" t="str">
        <f>IFERROR(VLOOKUP(D27,'Master List'!D:H,4,FALSE),"NA")</f>
        <v>520407</v>
      </c>
      <c r="H27" s="39" t="str">
        <f>IFERROR(VLOOKUP(D27,'Master List'!D:H,5,FALSE),"NA")</f>
        <v>Business/Office Automation/Technology/Data Entry.</v>
      </c>
      <c r="I27" s="19"/>
      <c r="J27" s="20"/>
      <c r="K27" s="18"/>
      <c r="L27" s="22"/>
    </row>
    <row r="28" spans="1:12" x14ac:dyDescent="0.3">
      <c r="A28" s="33">
        <v>3</v>
      </c>
      <c r="B28" s="33" t="s">
        <v>489</v>
      </c>
      <c r="C28" s="34" t="s">
        <v>490</v>
      </c>
      <c r="D28" s="51" t="s">
        <v>232</v>
      </c>
      <c r="E28" s="52" t="str">
        <f>IFERROR(VLOOKUP(D28,'Master List'!D:H,2,FALSE),"NA")</f>
        <v>520701</v>
      </c>
      <c r="F28" s="53" t="str">
        <f>IFERROR(VLOOKUP(D28,'Master List'!D:H,3,FALSE),"NA")</f>
        <v>520701</v>
      </c>
      <c r="G28" s="58" t="str">
        <f>IFERROR(VLOOKUP(D28,'Master List'!D:H,4,FALSE),"NA")</f>
        <v>520701</v>
      </c>
      <c r="H28" s="39" t="str">
        <f>IFERROR(VLOOKUP(D28,'Master List'!D:H,5,FALSE),"NA")</f>
        <v>Entrepreneurship/Entrepreneurial Studies.</v>
      </c>
      <c r="I28" s="19"/>
      <c r="J28" s="20"/>
      <c r="K28" s="18"/>
      <c r="L28" s="22"/>
    </row>
    <row r="29" spans="1:12" x14ac:dyDescent="0.3">
      <c r="A29" s="33">
        <v>3</v>
      </c>
      <c r="B29" s="33" t="s">
        <v>489</v>
      </c>
      <c r="C29" s="34" t="s">
        <v>490</v>
      </c>
      <c r="D29" s="51" t="s">
        <v>233</v>
      </c>
      <c r="E29" s="52" t="str">
        <f>IFERROR(VLOOKUP(D29,'Master List'!D:H,2,FALSE),"NA")</f>
        <v>520703</v>
      </c>
      <c r="F29" s="53" t="str">
        <f>IFERROR(VLOOKUP(D29,'Master List'!D:H,3,FALSE),"NA")</f>
        <v>520703</v>
      </c>
      <c r="G29" s="58" t="str">
        <f>IFERROR(VLOOKUP(D29,'Master List'!D:H,4,FALSE),"NA")</f>
        <v>520703</v>
      </c>
      <c r="H29" s="39" t="str">
        <f>IFERROR(VLOOKUP(D29,'Master List'!D:H,5,FALSE),"NA")</f>
        <v>Small Business Administration/Management.</v>
      </c>
      <c r="I29" s="19"/>
      <c r="J29" s="20"/>
      <c r="K29" s="18"/>
      <c r="L29" s="22"/>
    </row>
    <row r="30" spans="1:12" x14ac:dyDescent="0.3">
      <c r="A30" s="33">
        <v>3</v>
      </c>
      <c r="B30" s="33" t="s">
        <v>489</v>
      </c>
      <c r="C30" s="34" t="s">
        <v>490</v>
      </c>
      <c r="D30" s="51" t="s">
        <v>508</v>
      </c>
      <c r="E30" s="52" t="str">
        <f>IFERROR(VLOOKUP(D30,'Master List'!D:H,2,FALSE),"NA")</f>
        <v>521201</v>
      </c>
      <c r="F30" s="53" t="str">
        <f>IFERROR(VLOOKUP(D30,'Master List'!D:H,3,FALSE),"NA")</f>
        <v>521201</v>
      </c>
      <c r="G30" s="58" t="str">
        <f>IFERROR(VLOOKUP(D30,'Master List'!D:H,4,FALSE),"NA")</f>
        <v>521201</v>
      </c>
      <c r="H30" s="39" t="str">
        <f>IFERROR(VLOOKUP(D30,'Master List'!D:H,5,FALSE),"NA")</f>
        <v>Management Information Systems, General.</v>
      </c>
      <c r="I30" s="19"/>
      <c r="J30" s="20"/>
      <c r="K30" s="18"/>
      <c r="L30" s="22"/>
    </row>
    <row r="31" spans="1:12" x14ac:dyDescent="0.3">
      <c r="A31" s="33">
        <v>3</v>
      </c>
      <c r="B31" s="33" t="s">
        <v>489</v>
      </c>
      <c r="C31" s="34" t="s">
        <v>490</v>
      </c>
      <c r="D31" s="51" t="s">
        <v>511</v>
      </c>
      <c r="E31" s="52" t="str">
        <f>IFERROR(VLOOKUP(D31,'Master List'!D:H,2,FALSE),"NA")</f>
        <v>090702</v>
      </c>
      <c r="F31" s="53" t="str">
        <f>IFERROR(VLOOKUP(D31,'Master List'!D:H,3,FALSE),"NA")</f>
        <v>090702</v>
      </c>
      <c r="G31" s="58" t="str">
        <f>IFERROR(VLOOKUP(D31,'Master List'!D:H,4,FALSE),"NA")</f>
        <v>090702</v>
      </c>
      <c r="H31" s="39" t="str">
        <f>IFERROR(VLOOKUP(D31,'Master List'!D:H,5,FALSE),"NA")</f>
        <v>Digital Communication and Media/Multimedia.</v>
      </c>
      <c r="I31" s="19"/>
      <c r="J31" s="20"/>
      <c r="K31" s="18"/>
      <c r="L31" s="22"/>
    </row>
    <row r="32" spans="1:12" x14ac:dyDescent="0.3">
      <c r="A32" s="33">
        <v>3</v>
      </c>
      <c r="B32" s="33" t="s">
        <v>489</v>
      </c>
      <c r="C32" s="34" t="s">
        <v>490</v>
      </c>
      <c r="D32" s="51" t="s">
        <v>512</v>
      </c>
      <c r="E32" s="52" t="str">
        <f>IFERROR(VLOOKUP(D32,'Master List'!D:H,2,FALSE),"NA")</f>
        <v>110501</v>
      </c>
      <c r="F32" s="53" t="str">
        <f>IFERROR(VLOOKUP(D32,'Master List'!D:H,3,FALSE),"NA")</f>
        <v>110501</v>
      </c>
      <c r="G32" s="58" t="str">
        <f>IFERROR(VLOOKUP(D32,'Master List'!D:H,4,FALSE),"NA")</f>
        <v>110501</v>
      </c>
      <c r="H32" s="39" t="str">
        <f>IFERROR(VLOOKUP(D32,'Master List'!D:H,5,FALSE),"NA")</f>
        <v>Computer Systems Analysis/Analyst.</v>
      </c>
      <c r="I32" s="19"/>
      <c r="J32" s="20"/>
      <c r="K32" s="18"/>
      <c r="L32" s="22"/>
    </row>
    <row r="33" spans="1:12" x14ac:dyDescent="0.3">
      <c r="A33" s="33">
        <v>3</v>
      </c>
      <c r="B33" s="33" t="s">
        <v>489</v>
      </c>
      <c r="C33" s="34" t="s">
        <v>490</v>
      </c>
      <c r="D33" s="51" t="s">
        <v>515</v>
      </c>
      <c r="E33" s="52" t="str">
        <f>IFERROR(VLOOKUP(D33,'Master List'!D:H,2,FALSE),"NA")</f>
        <v>110803</v>
      </c>
      <c r="F33" s="53" t="str">
        <f>IFERROR(VLOOKUP(D33,'Master List'!D:H,3,FALSE),"NA")</f>
        <v>110803</v>
      </c>
      <c r="G33" s="58" t="str">
        <f>IFERROR(VLOOKUP(D33,'Master List'!D:H,4,FALSE),"NA")</f>
        <v>110803</v>
      </c>
      <c r="H33" s="39" t="str">
        <f>IFERROR(VLOOKUP(D33,'Master List'!D:H,5,FALSE),"NA")</f>
        <v>Computer Graphics.</v>
      </c>
      <c r="I33" s="19"/>
      <c r="J33" s="20"/>
      <c r="K33" s="18"/>
      <c r="L33" s="22"/>
    </row>
    <row r="34" spans="1:12" x14ac:dyDescent="0.3">
      <c r="A34" s="33">
        <v>3</v>
      </c>
      <c r="B34" s="33" t="s">
        <v>489</v>
      </c>
      <c r="C34" s="34" t="s">
        <v>490</v>
      </c>
      <c r="D34" s="51" t="s">
        <v>246</v>
      </c>
      <c r="E34" s="52" t="str">
        <f>IFERROR(VLOOKUP(D34,'Master List'!D:H,2,FALSE),"NA")</f>
        <v>150000</v>
      </c>
      <c r="F34" s="53" t="str">
        <f>IFERROR(VLOOKUP(D34,'Master List'!D:H,3,FALSE),"NA")</f>
        <v>150000</v>
      </c>
      <c r="G34" s="58" t="str">
        <f>IFERROR(VLOOKUP(D34,'Master List'!D:H,4,FALSE),"NA")</f>
        <v>150000</v>
      </c>
      <c r="H34" s="39" t="str">
        <f>IFERROR(VLOOKUP(D34,'Master List'!D:H,5,FALSE),"NA")</f>
        <v>Engineering Technologies/Technicians, General.</v>
      </c>
      <c r="I34" s="19"/>
      <c r="J34" s="20"/>
      <c r="K34" s="18"/>
      <c r="L34" s="22"/>
    </row>
    <row r="35" spans="1:12" x14ac:dyDescent="0.3">
      <c r="A35" s="33">
        <v>3</v>
      </c>
      <c r="B35" s="33" t="s">
        <v>489</v>
      </c>
      <c r="C35" s="34" t="s">
        <v>490</v>
      </c>
      <c r="D35" s="51" t="s">
        <v>247</v>
      </c>
      <c r="E35" s="52" t="str">
        <f>IFERROR(VLOOKUP(D35,'Master List'!D:H,2,FALSE),"NA")</f>
        <v>150000</v>
      </c>
      <c r="F35" s="53" t="str">
        <f>IFERROR(VLOOKUP(D35,'Master List'!D:H,3,FALSE),"NA")</f>
        <v>150000</v>
      </c>
      <c r="G35" s="58" t="str">
        <f>IFERROR(VLOOKUP(D35,'Master List'!D:H,4,FALSE),"NA")</f>
        <v>150000</v>
      </c>
      <c r="H35" s="39" t="str">
        <f>IFERROR(VLOOKUP(D35,'Master List'!D:H,5,FALSE),"NA")</f>
        <v>Engineering Technologies/Technicians, General.</v>
      </c>
      <c r="I35" s="19"/>
      <c r="J35" s="20"/>
      <c r="K35" s="18"/>
      <c r="L35" s="22"/>
    </row>
    <row r="36" spans="1:12" x14ac:dyDescent="0.3">
      <c r="A36" s="33">
        <v>3</v>
      </c>
      <c r="B36" s="33" t="s">
        <v>489</v>
      </c>
      <c r="C36" s="34" t="s">
        <v>490</v>
      </c>
      <c r="D36" s="51" t="s">
        <v>56</v>
      </c>
      <c r="E36" s="52" t="str">
        <f>IFERROR(VLOOKUP(D36,'Master List'!D:H,2,FALSE),"NA")</f>
        <v>150406</v>
      </c>
      <c r="F36" s="53" t="str">
        <f>IFERROR(VLOOKUP(D36,'Master List'!D:H,3,FALSE),"NA")</f>
        <v>150406</v>
      </c>
      <c r="G36" s="58" t="str">
        <f>IFERROR(VLOOKUP(D36,'Master List'!D:H,4,FALSE),"NA")</f>
        <v>150406</v>
      </c>
      <c r="H36" s="39" t="str">
        <f>IFERROR(VLOOKUP(D36,'Master List'!D:H,5,FALSE),"NA")</f>
        <v>Automation Engineer Technology/Technician.</v>
      </c>
      <c r="I36" s="19"/>
      <c r="J36" s="20"/>
      <c r="K36" s="18"/>
      <c r="L36" s="22"/>
    </row>
    <row r="37" spans="1:12" x14ac:dyDescent="0.3">
      <c r="A37" s="33">
        <v>3</v>
      </c>
      <c r="B37" s="33" t="s">
        <v>489</v>
      </c>
      <c r="C37" s="34" t="s">
        <v>490</v>
      </c>
      <c r="D37" s="51" t="s">
        <v>252</v>
      </c>
      <c r="E37" s="52" t="str">
        <f>IFERROR(VLOOKUP(D37,'Master List'!D:H,2,FALSE),"NA")</f>
        <v>150613</v>
      </c>
      <c r="F37" s="53" t="str">
        <f>IFERROR(VLOOKUP(D37,'Master List'!D:H,3,FALSE),"NA")</f>
        <v>150613</v>
      </c>
      <c r="G37" s="58" t="str">
        <f>IFERROR(VLOOKUP(D37,'Master List'!D:H,4,FALSE),"NA")</f>
        <v>150613</v>
      </c>
      <c r="H37" s="39" t="str">
        <f>IFERROR(VLOOKUP(D37,'Master List'!D:H,5,FALSE),"NA")</f>
        <v>Manufacturing Engineering Technology/Technician.</v>
      </c>
      <c r="I37" s="19"/>
      <c r="J37" s="20"/>
      <c r="K37" s="18"/>
      <c r="L37" s="22"/>
    </row>
    <row r="38" spans="1:12" x14ac:dyDescent="0.3">
      <c r="A38" s="33">
        <v>3</v>
      </c>
      <c r="B38" s="33" t="s">
        <v>489</v>
      </c>
      <c r="C38" s="34" t="s">
        <v>490</v>
      </c>
      <c r="D38" s="51" t="s">
        <v>516</v>
      </c>
      <c r="E38" s="52" t="str">
        <f>IFERROR(VLOOKUP(D38,'Master List'!D:H,2,FALSE),"NA")</f>
        <v>150702</v>
      </c>
      <c r="F38" s="53" t="str">
        <f>IFERROR(VLOOKUP(D38,'Master List'!D:H,3,FALSE),"NA")</f>
        <v>150702</v>
      </c>
      <c r="G38" s="58" t="str">
        <f>IFERROR(VLOOKUP(D38,'Master List'!D:H,4,FALSE),"NA")</f>
        <v>150702</v>
      </c>
      <c r="H38" s="39" t="str">
        <f>IFERROR(VLOOKUP(D38,'Master List'!D:H,5,FALSE),"NA")</f>
        <v>Quality Control Technology/Technician.</v>
      </c>
      <c r="I38" s="19"/>
      <c r="J38" s="20"/>
      <c r="K38" s="18"/>
      <c r="L38" s="22"/>
    </row>
    <row r="39" spans="1:12" x14ac:dyDescent="0.3">
      <c r="A39" s="33">
        <v>3</v>
      </c>
      <c r="B39" s="33" t="s">
        <v>489</v>
      </c>
      <c r="C39" s="34" t="s">
        <v>490</v>
      </c>
      <c r="D39" s="51" t="s">
        <v>519</v>
      </c>
      <c r="E39" s="52" t="str">
        <f>IFERROR(VLOOKUP(D39,'Master List'!D:H,2,FALSE),"NA")</f>
        <v>150805</v>
      </c>
      <c r="F39" s="53" t="str">
        <f>IFERROR(VLOOKUP(D39,'Master List'!D:H,3,FALSE),"NA")</f>
        <v>150805</v>
      </c>
      <c r="G39" s="58" t="str">
        <f>IFERROR(VLOOKUP(D39,'Master List'!D:H,4,FALSE),"NA")</f>
        <v>150805</v>
      </c>
      <c r="H39" s="39" t="str">
        <f>IFERROR(VLOOKUP(D39,'Master List'!D:H,5,FALSE),"NA")</f>
        <v>Mechanical/Mechanical Engineering Technology/Technician.</v>
      </c>
      <c r="I39" s="19"/>
      <c r="J39" s="20"/>
      <c r="K39" s="18"/>
      <c r="L39" s="22"/>
    </row>
    <row r="40" spans="1:12" x14ac:dyDescent="0.3">
      <c r="A40" s="33">
        <v>3</v>
      </c>
      <c r="B40" s="33" t="s">
        <v>489</v>
      </c>
      <c r="C40" s="34" t="s">
        <v>490</v>
      </c>
      <c r="D40" s="51" t="s">
        <v>271</v>
      </c>
      <c r="E40" s="52" t="str">
        <f>IFERROR(VLOOKUP(D40,'Master List'!D:H,2,FALSE),"NA")</f>
        <v>410301</v>
      </c>
      <c r="F40" s="53" t="str">
        <f>IFERROR(VLOOKUP(D40,'Master List'!D:H,3,FALSE),"NA")</f>
        <v>410301</v>
      </c>
      <c r="G40" s="58" t="str">
        <f>IFERROR(VLOOKUP(D40,'Master List'!D:H,4,FALSE),"NA")</f>
        <v>410301</v>
      </c>
      <c r="H40" s="39" t="str">
        <f>IFERROR(VLOOKUP(D40,'Master List'!D:H,5,FALSE),"NA")</f>
        <v>Chemical Technology/Technician.</v>
      </c>
      <c r="I40" s="19"/>
      <c r="J40" s="20"/>
      <c r="K40" s="18"/>
      <c r="L40" s="22"/>
    </row>
    <row r="41" spans="1:12" x14ac:dyDescent="0.3">
      <c r="A41" s="33">
        <v>3</v>
      </c>
      <c r="B41" s="33" t="s">
        <v>489</v>
      </c>
      <c r="C41" s="34" t="s">
        <v>490</v>
      </c>
      <c r="D41" s="51" t="s">
        <v>291</v>
      </c>
      <c r="E41" s="52" t="str">
        <f>IFERROR(VLOOKUP(D41,'Master List'!D:H,2,FALSE),"NA")</f>
        <v>480508</v>
      </c>
      <c r="F41" s="53" t="str">
        <f>IFERROR(VLOOKUP(D41,'Master List'!D:H,3,FALSE),"NA")</f>
        <v>480508</v>
      </c>
      <c r="G41" s="58" t="str">
        <f>IFERROR(VLOOKUP(D41,'Master List'!D:H,4,FALSE),"NA")</f>
        <v>480508</v>
      </c>
      <c r="H41" s="39" t="str">
        <f>IFERROR(VLOOKUP(D41,'Master List'!D:H,5,FALSE),"NA")</f>
        <v>Welding Technology/Welder.</v>
      </c>
      <c r="I41" s="19"/>
      <c r="J41" s="20"/>
      <c r="K41" s="18"/>
      <c r="L41" s="22"/>
    </row>
    <row r="42" spans="1:12" x14ac:dyDescent="0.3">
      <c r="A42" s="33">
        <v>3</v>
      </c>
      <c r="B42" s="33" t="s">
        <v>489</v>
      </c>
      <c r="C42" s="34" t="s">
        <v>490</v>
      </c>
      <c r="D42" s="51" t="s">
        <v>456</v>
      </c>
      <c r="E42" s="52" t="str">
        <f>IFERROR(VLOOKUP(D42,'Master List'!D:H,2,FALSE),"NA")</f>
        <v>480508</v>
      </c>
      <c r="F42" s="53" t="str">
        <f>IFERROR(VLOOKUP(D42,'Master List'!D:H,3,FALSE),"NA")</f>
        <v>480508</v>
      </c>
      <c r="G42" s="58" t="str">
        <f>IFERROR(VLOOKUP(D42,'Master List'!D:H,4,FALSE),"NA")</f>
        <v>480508</v>
      </c>
      <c r="H42" s="39" t="str">
        <f>IFERROR(VLOOKUP(D42,'Master List'!D:H,5,FALSE),"NA")</f>
        <v>Welding Technology/Welder.</v>
      </c>
      <c r="I42" s="19"/>
      <c r="J42" s="20"/>
      <c r="K42" s="18"/>
      <c r="L42" s="22"/>
    </row>
    <row r="43" spans="1:12" x14ac:dyDescent="0.3">
      <c r="A43" s="33">
        <v>3</v>
      </c>
      <c r="B43" s="33" t="s">
        <v>489</v>
      </c>
      <c r="C43" s="34" t="s">
        <v>490</v>
      </c>
      <c r="D43" s="51" t="s">
        <v>59</v>
      </c>
      <c r="E43" s="52" t="str">
        <f>IFERROR(VLOOKUP(D43,'Master List'!D:H,2,FALSE),"NA")</f>
        <v>500102</v>
      </c>
      <c r="F43" s="53" t="str">
        <f>IFERROR(VLOOKUP(D43,'Master List'!D:H,3,FALSE),"NA")</f>
        <v>500102</v>
      </c>
      <c r="G43" s="58" t="str">
        <f>IFERROR(VLOOKUP(D43,'Master List'!D:H,4,FALSE),"NA")</f>
        <v>500102</v>
      </c>
      <c r="H43" s="39" t="str">
        <f>IFERROR(VLOOKUP(D43,'Master List'!D:H,5,FALSE),"NA")</f>
        <v>Digital Arts.</v>
      </c>
      <c r="I43" s="19"/>
      <c r="J43" s="20"/>
      <c r="K43" s="18"/>
      <c r="L43" s="22"/>
    </row>
    <row r="44" spans="1:12" x14ac:dyDescent="0.3">
      <c r="A44" s="33">
        <v>3</v>
      </c>
      <c r="B44" s="33" t="s">
        <v>489</v>
      </c>
      <c r="C44" s="34" t="s">
        <v>490</v>
      </c>
      <c r="D44" s="51" t="s">
        <v>65</v>
      </c>
      <c r="E44" s="52" t="str">
        <f>IFERROR(VLOOKUP(D44,'Master List'!D:H,2,FALSE),"NA")</f>
        <v>520209</v>
      </c>
      <c r="F44" s="53" t="str">
        <f>IFERROR(VLOOKUP(D44,'Master List'!D:H,3,FALSE),"NA")</f>
        <v>520209</v>
      </c>
      <c r="G44" s="58" t="str">
        <f>IFERROR(VLOOKUP(D44,'Master List'!D:H,4,FALSE),"NA")</f>
        <v>520209</v>
      </c>
      <c r="H44" s="39" t="str">
        <f>IFERROR(VLOOKUP(D44,'Master List'!D:H,5,FALSE),"NA")</f>
        <v>Transportation/Mobility Management.</v>
      </c>
      <c r="I44" s="19"/>
      <c r="J44" s="20"/>
      <c r="K44" s="18"/>
      <c r="L44" s="22"/>
    </row>
    <row r="45" spans="1:12" x14ac:dyDescent="0.3">
      <c r="A45" s="33">
        <v>3</v>
      </c>
      <c r="B45" s="33" t="s">
        <v>489</v>
      </c>
      <c r="C45" s="34" t="s">
        <v>490</v>
      </c>
      <c r="D45" s="51" t="s">
        <v>68</v>
      </c>
      <c r="E45" s="52" t="str">
        <f>IFERROR(VLOOKUP(D45,'Master List'!D:H,2,FALSE),"NA")</f>
        <v>430102</v>
      </c>
      <c r="F45" s="53" t="str">
        <f>IFERROR(VLOOKUP(D45,'Master List'!D:H,3,FALSE),"NA")</f>
        <v>430102</v>
      </c>
      <c r="G45" s="58" t="str">
        <f>IFERROR(VLOOKUP(D45,'Master List'!D:H,4,FALSE),"NA")</f>
        <v>430102</v>
      </c>
      <c r="H45" s="39" t="str">
        <f>IFERROR(VLOOKUP(D45,'Master List'!D:H,5,FALSE),"NA")</f>
        <v>Corrections.</v>
      </c>
      <c r="I45" s="19"/>
      <c r="J45" s="20"/>
      <c r="K45" s="18"/>
      <c r="L45" s="22"/>
    </row>
    <row r="46" spans="1:12" x14ac:dyDescent="0.3">
      <c r="A46" s="33">
        <v>3</v>
      </c>
      <c r="B46" s="33" t="s">
        <v>489</v>
      </c>
      <c r="C46" s="34" t="s">
        <v>490</v>
      </c>
      <c r="D46" s="51" t="s">
        <v>316</v>
      </c>
      <c r="E46" s="52" t="str">
        <f>IFERROR(VLOOKUP(D46,'Master List'!D:H,2,FALSE),"NA")</f>
        <v>430103</v>
      </c>
      <c r="F46" s="53" t="str">
        <f>IFERROR(VLOOKUP(D46,'Master List'!D:H,3,FALSE),"NA")</f>
        <v>430103</v>
      </c>
      <c r="G46" s="58" t="str">
        <f>IFERROR(VLOOKUP(D46,'Master List'!D:H,4,FALSE),"NA")</f>
        <v>430103</v>
      </c>
      <c r="H46" s="39" t="str">
        <f>IFERROR(VLOOKUP(D46,'Master List'!D:H,5,FALSE),"NA")</f>
        <v>Criminal Justice/Law Enforcement Administration.</v>
      </c>
      <c r="I46" s="19"/>
      <c r="J46" s="20"/>
      <c r="K46" s="18"/>
      <c r="L46" s="22"/>
    </row>
    <row r="47" spans="1:12" x14ac:dyDescent="0.3">
      <c r="A47" s="33">
        <v>3</v>
      </c>
      <c r="B47" s="33" t="s">
        <v>489</v>
      </c>
      <c r="C47" s="34" t="s">
        <v>490</v>
      </c>
      <c r="D47" s="51" t="s">
        <v>71</v>
      </c>
      <c r="E47" s="52" t="str">
        <f>IFERROR(VLOOKUP(D47,'Master List'!D:H,2,FALSE),"NA")</f>
        <v>430107</v>
      </c>
      <c r="F47" s="53" t="str">
        <f>IFERROR(VLOOKUP(D47,'Master List'!D:H,3,FALSE),"NA")</f>
        <v>430107</v>
      </c>
      <c r="G47" s="58" t="str">
        <f>IFERROR(VLOOKUP(D47,'Master List'!D:H,4,FALSE),"NA")</f>
        <v>430107</v>
      </c>
      <c r="H47" s="39" t="str">
        <f>IFERROR(VLOOKUP(D47,'Master List'!D:H,5,FALSE),"NA")</f>
        <v>Criminal Justice/Police Science.</v>
      </c>
      <c r="I47" s="19"/>
      <c r="J47" s="20"/>
      <c r="K47" s="18"/>
      <c r="L47" s="22"/>
    </row>
    <row r="48" spans="1:12" x14ac:dyDescent="0.3">
      <c r="A48" s="33">
        <v>3</v>
      </c>
      <c r="B48" s="33" t="s">
        <v>489</v>
      </c>
      <c r="C48" s="34" t="s">
        <v>490</v>
      </c>
      <c r="D48" s="51" t="s">
        <v>74</v>
      </c>
      <c r="E48" s="52" t="str">
        <f>IFERROR(VLOOKUP(D48,'Master List'!D:H,2,FALSE),"NA")</f>
        <v>430107</v>
      </c>
      <c r="F48" s="53" t="str">
        <f>IFERROR(VLOOKUP(D48,'Master List'!D:H,3,FALSE),"NA")</f>
        <v>430107</v>
      </c>
      <c r="G48" s="58" t="str">
        <f>IFERROR(VLOOKUP(D48,'Master List'!D:H,4,FALSE),"NA")</f>
        <v>430107</v>
      </c>
      <c r="H48" s="39" t="str">
        <f>IFERROR(VLOOKUP(D48,'Master List'!D:H,5,FALSE),"NA")</f>
        <v>Criminal Justice/Police Science.</v>
      </c>
      <c r="I48" s="19"/>
      <c r="J48" s="20"/>
      <c r="K48" s="18"/>
      <c r="L48" s="22"/>
    </row>
    <row r="49" spans="1:12" x14ac:dyDescent="0.3">
      <c r="A49" s="33">
        <v>3</v>
      </c>
      <c r="B49" s="33" t="s">
        <v>489</v>
      </c>
      <c r="C49" s="34" t="s">
        <v>490</v>
      </c>
      <c r="D49" s="51" t="s">
        <v>523</v>
      </c>
      <c r="E49" s="52" t="str">
        <f>IFERROR(VLOOKUP(D49,'Master List'!D:H,2,FALSE),"NA")</f>
        <v>010101</v>
      </c>
      <c r="F49" s="53" t="str">
        <f>IFERROR(VLOOKUP(D49,'Master List'!D:H,3,FALSE),"NA")</f>
        <v>010101</v>
      </c>
      <c r="G49" s="58" t="str">
        <f>IFERROR(VLOOKUP(D49,'Master List'!D:H,4,FALSE),"NA")</f>
        <v>010101</v>
      </c>
      <c r="H49" s="39" t="str">
        <f>IFERROR(VLOOKUP(D49,'Master List'!D:H,5,FALSE),"NA")</f>
        <v>Agricultural Business and Management, General.</v>
      </c>
      <c r="I49" s="19"/>
      <c r="J49" s="20"/>
      <c r="K49" s="18"/>
      <c r="L49" s="22"/>
    </row>
    <row r="50" spans="1:12" x14ac:dyDescent="0.3">
      <c r="A50" s="33">
        <v>3</v>
      </c>
      <c r="B50" s="33" t="s">
        <v>489</v>
      </c>
      <c r="C50" s="34" t="s">
        <v>490</v>
      </c>
      <c r="D50" s="51" t="s">
        <v>524</v>
      </c>
      <c r="E50" s="52" t="str">
        <f>IFERROR(VLOOKUP(D50,'Master List'!D:H,2,FALSE),"NA")</f>
        <v>010507</v>
      </c>
      <c r="F50" s="53" t="str">
        <f>IFERROR(VLOOKUP(D50,'Master List'!D:H,3,FALSE),"NA")</f>
        <v>010507</v>
      </c>
      <c r="G50" s="58" t="str">
        <f>IFERROR(VLOOKUP(D50,'Master List'!D:H,4,FALSE),"NA")</f>
        <v>010507</v>
      </c>
      <c r="H50" s="39" t="str">
        <f>IFERROR(VLOOKUP(D50,'Master List'!D:H,5,FALSE),"NA")</f>
        <v>Equestrian/Equine Studies.</v>
      </c>
      <c r="I50" s="19"/>
      <c r="J50" s="20"/>
      <c r="K50" s="18"/>
      <c r="L50" s="22"/>
    </row>
    <row r="51" spans="1:12" x14ac:dyDescent="0.3">
      <c r="A51" s="33">
        <v>3</v>
      </c>
      <c r="B51" s="33" t="s">
        <v>489</v>
      </c>
      <c r="C51" s="34" t="s">
        <v>490</v>
      </c>
      <c r="D51" s="51" t="s">
        <v>525</v>
      </c>
      <c r="E51" s="52" t="str">
        <f>IFERROR(VLOOKUP(D51,'Master List'!D:H,2,FALSE),"NA")</f>
        <v>510601</v>
      </c>
      <c r="F51" s="53" t="str">
        <f>IFERROR(VLOOKUP(D51,'Master List'!D:H,3,FALSE),"NA")</f>
        <v>510601</v>
      </c>
      <c r="G51" s="58" t="str">
        <f>IFERROR(VLOOKUP(D51,'Master List'!D:H,4,FALSE),"NA")</f>
        <v>510601</v>
      </c>
      <c r="H51" s="39" t="str">
        <f>IFERROR(VLOOKUP(D51,'Master List'!D:H,5,FALSE),"NA")</f>
        <v>Dental Assisting/Assistant.</v>
      </c>
      <c r="I51" s="19"/>
      <c r="J51" s="20"/>
      <c r="K51" s="18"/>
      <c r="L51" s="22"/>
    </row>
    <row r="52" spans="1:12" x14ac:dyDescent="0.3">
      <c r="A52" s="33">
        <v>3</v>
      </c>
      <c r="B52" s="33" t="s">
        <v>489</v>
      </c>
      <c r="C52" s="34" t="s">
        <v>490</v>
      </c>
      <c r="D52" s="51" t="s">
        <v>325</v>
      </c>
      <c r="E52" s="52" t="str">
        <f>IFERROR(VLOOKUP(D52,'Master List'!D:H,2,FALSE),"NA")</f>
        <v>510707</v>
      </c>
      <c r="F52" s="53" t="str">
        <f>IFERROR(VLOOKUP(D52,'Master List'!D:H,3,FALSE),"NA")</f>
        <v>510707</v>
      </c>
      <c r="G52" s="58" t="str">
        <f>IFERROR(VLOOKUP(D52,'Master List'!D:H,4,FALSE),"NA")</f>
        <v>510707</v>
      </c>
      <c r="H52" s="39" t="str">
        <f>IFERROR(VLOOKUP(D52,'Master List'!D:H,5,FALSE),"NA")</f>
        <v>Health Information/Medical Records Technology/Technician.</v>
      </c>
      <c r="I52" s="19"/>
      <c r="J52" s="20"/>
      <c r="K52" s="18"/>
      <c r="L52" s="22"/>
    </row>
    <row r="53" spans="1:12" x14ac:dyDescent="0.3">
      <c r="A53" s="33">
        <v>3</v>
      </c>
      <c r="B53" s="33" t="s">
        <v>489</v>
      </c>
      <c r="C53" s="34" t="s">
        <v>490</v>
      </c>
      <c r="D53" s="51" t="s">
        <v>87</v>
      </c>
      <c r="E53" s="52" t="str">
        <f>IFERROR(VLOOKUP(D53,'Master List'!D:H,2,FALSE),"NA")</f>
        <v>510806</v>
      </c>
      <c r="F53" s="53" t="str">
        <f>IFERROR(VLOOKUP(D53,'Master List'!D:H,3,FALSE),"NA")</f>
        <v>510806</v>
      </c>
      <c r="G53" s="58" t="str">
        <f>IFERROR(VLOOKUP(D53,'Master List'!D:H,4,FALSE),"NA")</f>
        <v>510806</v>
      </c>
      <c r="H53" s="39" t="str">
        <f>IFERROR(VLOOKUP(D53,'Master List'!D:H,5,FALSE),"NA")</f>
        <v>Physical Therapy Assistant.</v>
      </c>
      <c r="I53" s="19"/>
      <c r="J53" s="20"/>
      <c r="K53" s="18"/>
      <c r="L53" s="22"/>
    </row>
    <row r="54" spans="1:12" x14ac:dyDescent="0.3">
      <c r="A54" s="33">
        <v>3</v>
      </c>
      <c r="B54" s="33" t="s">
        <v>489</v>
      </c>
      <c r="C54" s="34" t="s">
        <v>490</v>
      </c>
      <c r="D54" s="51" t="s">
        <v>90</v>
      </c>
      <c r="E54" s="52" t="str">
        <f>IFERROR(VLOOKUP(D54,'Master List'!D:H,2,FALSE),"NA")</f>
        <v>510904</v>
      </c>
      <c r="F54" s="53" t="str">
        <f>IFERROR(VLOOKUP(D54,'Master List'!D:H,3,FALSE),"NA")</f>
        <v>510904</v>
      </c>
      <c r="G54" s="58" t="str">
        <f>IFERROR(VLOOKUP(D54,'Master List'!D:H,4,FALSE),"NA")</f>
        <v>510904</v>
      </c>
      <c r="H54" s="39" t="str">
        <f>IFERROR(VLOOKUP(D54,'Master List'!D:H,5,FALSE),"NA")</f>
        <v>Emergency Medical Technology/Technician (EMT Paramedic).</v>
      </c>
      <c r="I54" s="19"/>
      <c r="J54" s="20"/>
      <c r="K54" s="18"/>
      <c r="L54" s="22"/>
    </row>
    <row r="55" spans="1:12" x14ac:dyDescent="0.3">
      <c r="A55" s="33">
        <v>3</v>
      </c>
      <c r="B55" s="33" t="s">
        <v>489</v>
      </c>
      <c r="C55" s="34" t="s">
        <v>490</v>
      </c>
      <c r="D55" s="51" t="s">
        <v>91</v>
      </c>
      <c r="E55" s="52" t="str">
        <f>IFERROR(VLOOKUP(D55,'Master List'!D:H,2,FALSE),"NA")</f>
        <v>510907</v>
      </c>
      <c r="F55" s="53" t="str">
        <f>IFERROR(VLOOKUP(D55,'Master List'!D:H,3,FALSE),"NA")</f>
        <v>510907</v>
      </c>
      <c r="G55" s="58">
        <f>IFERROR(VLOOKUP(D55,'Master List'!D:H,4,FALSE),"NA")</f>
        <v>510911</v>
      </c>
      <c r="H55" s="39" t="str">
        <f>IFERROR(VLOOKUP(D55,'Master List'!D:H,5,FALSE),"NA")</f>
        <v>Radiologic Technology/Science - Radiographer</v>
      </c>
      <c r="I55" s="19"/>
      <c r="J55" s="20"/>
      <c r="K55" s="18"/>
      <c r="L55" s="22"/>
    </row>
    <row r="56" spans="1:12" x14ac:dyDescent="0.3">
      <c r="A56" s="33">
        <v>3</v>
      </c>
      <c r="B56" s="33" t="s">
        <v>489</v>
      </c>
      <c r="C56" s="34" t="s">
        <v>490</v>
      </c>
      <c r="D56" s="51" t="s">
        <v>101</v>
      </c>
      <c r="E56" s="52" t="str">
        <f>IFERROR(VLOOKUP(D56,'Master List'!D:H,2,FALSE),"NA")</f>
        <v>513801</v>
      </c>
      <c r="F56" s="53" t="str">
        <f>IFERROR(VLOOKUP(D56,'Master List'!D:H,3,FALSE),"NA")</f>
        <v>513801</v>
      </c>
      <c r="G56" s="58" t="str">
        <f>IFERROR(VLOOKUP(D56,'Master List'!D:H,4,FALSE),"NA")</f>
        <v>513801</v>
      </c>
      <c r="H56" s="39" t="str">
        <f>IFERROR(VLOOKUP(D56,'Master List'!D:H,5,FALSE),"NA")</f>
        <v>Registered Nursing/Registered Nurse.</v>
      </c>
      <c r="I56" s="19"/>
      <c r="J56" s="20"/>
      <c r="K56" s="18"/>
      <c r="L56" s="22"/>
    </row>
    <row r="57" spans="1:12" x14ac:dyDescent="0.3">
      <c r="A57" s="33">
        <v>3</v>
      </c>
      <c r="B57" s="33" t="s">
        <v>489</v>
      </c>
      <c r="C57" s="34" t="s">
        <v>490</v>
      </c>
      <c r="D57" s="51" t="s">
        <v>400</v>
      </c>
      <c r="E57" s="52" t="str">
        <f>IFERROR(VLOOKUP(D57,'Master List'!D:H,2,FALSE),"NA")</f>
        <v>131210</v>
      </c>
      <c r="F57" s="53" t="str">
        <f>IFERROR(VLOOKUP(D57,'Master List'!D:H,3,FALSE),"NA")</f>
        <v>131210</v>
      </c>
      <c r="G57" s="58" t="str">
        <f>IFERROR(VLOOKUP(D57,'Master List'!D:H,4,FALSE),"NA")</f>
        <v>131210</v>
      </c>
      <c r="H57" s="39" t="str">
        <f>IFERROR(VLOOKUP(D57,'Master List'!D:H,5,FALSE),"NA")</f>
        <v>Early Childhood Education and Teaching.</v>
      </c>
      <c r="I57" s="19"/>
      <c r="J57" s="20"/>
      <c r="K57" s="18"/>
      <c r="L57" s="22"/>
    </row>
    <row r="58" spans="1:12" x14ac:dyDescent="0.3">
      <c r="A58" s="33">
        <v>3</v>
      </c>
      <c r="B58" s="33" t="s">
        <v>489</v>
      </c>
      <c r="C58" s="34" t="s">
        <v>490</v>
      </c>
      <c r="D58" s="51" t="s">
        <v>167</v>
      </c>
      <c r="E58" s="52" t="str">
        <f>IFERROR(VLOOKUP(D58,'Master List'!D:H,2,FALSE),"NA")</f>
        <v>110103</v>
      </c>
      <c r="F58" s="53" t="str">
        <f>IFERROR(VLOOKUP(D58,'Master List'!D:H,3,FALSE),"NA")</f>
        <v>110103</v>
      </c>
      <c r="G58" s="58" t="str">
        <f>IFERROR(VLOOKUP(D58,'Master List'!D:H,4,FALSE),"NA")</f>
        <v>110103</v>
      </c>
      <c r="H58" s="39" t="str">
        <f>IFERROR(VLOOKUP(D58,'Master List'!D:H,5,FALSE),"NA")</f>
        <v>Information Technology.</v>
      </c>
      <c r="I58" s="19"/>
      <c r="J58" s="20"/>
      <c r="K58" s="18"/>
      <c r="L58" s="22"/>
    </row>
    <row r="59" spans="1:12" x14ac:dyDescent="0.3">
      <c r="A59" s="33">
        <v>3</v>
      </c>
      <c r="B59" s="33" t="s">
        <v>489</v>
      </c>
      <c r="C59" s="34" t="s">
        <v>490</v>
      </c>
      <c r="D59" s="51" t="s">
        <v>107</v>
      </c>
      <c r="E59" s="52" t="str">
        <f>IFERROR(VLOOKUP(D59,'Master List'!D:H,2,FALSE),"NA")</f>
        <v>520201</v>
      </c>
      <c r="F59" s="53" t="str">
        <f>IFERROR(VLOOKUP(D59,'Master List'!D:H,3,FALSE),"NA")</f>
        <v>520201</v>
      </c>
      <c r="G59" s="58" t="str">
        <f>IFERROR(VLOOKUP(D59,'Master List'!D:H,4,FALSE),"NA")</f>
        <v>520201</v>
      </c>
      <c r="H59" s="39" t="str">
        <f>IFERROR(VLOOKUP(D59,'Master List'!D:H,5,FALSE),"NA")</f>
        <v>Business Administration and Management, General.</v>
      </c>
      <c r="I59" s="19"/>
      <c r="J59" s="20"/>
      <c r="K59" s="18"/>
      <c r="L59" s="22"/>
    </row>
    <row r="60" spans="1:12" x14ac:dyDescent="0.3">
      <c r="A60" s="33">
        <v>3</v>
      </c>
      <c r="B60" s="33" t="s">
        <v>489</v>
      </c>
      <c r="C60" s="34" t="s">
        <v>490</v>
      </c>
      <c r="D60" s="51" t="s">
        <v>351</v>
      </c>
      <c r="E60" s="52" t="str">
        <f>IFERROR(VLOOKUP(D60,'Master List'!D:H,2,FALSE),"NA")</f>
        <v>520204</v>
      </c>
      <c r="F60" s="53" t="str">
        <f>IFERROR(VLOOKUP(D60,'Master List'!D:H,3,FALSE),"NA")</f>
        <v>520204</v>
      </c>
      <c r="G60" s="58" t="str">
        <f>IFERROR(VLOOKUP(D60,'Master List'!D:H,4,FALSE),"NA")</f>
        <v>520204</v>
      </c>
      <c r="H60" s="39" t="str">
        <f>IFERROR(VLOOKUP(D60,'Master List'!D:H,5,FALSE),"NA")</f>
        <v>Office Management and Supervision.</v>
      </c>
      <c r="I60" s="19"/>
      <c r="J60" s="20"/>
      <c r="K60" s="18"/>
      <c r="L60" s="22"/>
    </row>
    <row r="61" spans="1:12" x14ac:dyDescent="0.3">
      <c r="A61" s="33">
        <v>3</v>
      </c>
      <c r="B61" s="33" t="s">
        <v>489</v>
      </c>
      <c r="C61" s="34" t="s">
        <v>490</v>
      </c>
      <c r="D61" s="51" t="s">
        <v>528</v>
      </c>
      <c r="E61" s="52" t="str">
        <f>IFERROR(VLOOKUP(D61,'Master List'!D:H,2,FALSE),"NA")</f>
        <v>520204</v>
      </c>
      <c r="F61" s="53" t="str">
        <f>IFERROR(VLOOKUP(D61,'Master List'!D:H,3,FALSE),"NA")</f>
        <v>520204</v>
      </c>
      <c r="G61" s="58">
        <f>IFERROR(VLOOKUP(D61,'Master List'!D:H,4,FALSE),"NA")</f>
        <v>510705</v>
      </c>
      <c r="H61" s="39" t="str">
        <f>IFERROR(VLOOKUP(D61,'Master List'!D:H,5,FALSE),"NA")</f>
        <v>Medical Office Management/Administration</v>
      </c>
      <c r="I61" s="19"/>
      <c r="J61" s="20"/>
      <c r="K61" s="18"/>
      <c r="L61" s="22"/>
    </row>
    <row r="62" spans="1:12" x14ac:dyDescent="0.3">
      <c r="A62" s="33">
        <v>3</v>
      </c>
      <c r="B62" s="33" t="s">
        <v>489</v>
      </c>
      <c r="C62" s="34" t="s">
        <v>490</v>
      </c>
      <c r="D62" s="51" t="s">
        <v>110</v>
      </c>
      <c r="E62" s="52" t="str">
        <f>IFERROR(VLOOKUP(D62,'Master List'!D:H,2,FALSE),"NA")</f>
        <v>520302</v>
      </c>
      <c r="F62" s="53" t="str">
        <f>IFERROR(VLOOKUP(D62,'Master List'!D:H,3,FALSE),"NA")</f>
        <v>520302</v>
      </c>
      <c r="G62" s="58" t="str">
        <f>IFERROR(VLOOKUP(D62,'Master List'!D:H,4,FALSE),"NA")</f>
        <v>520302</v>
      </c>
      <c r="H62" s="39" t="str">
        <f>IFERROR(VLOOKUP(D62,'Master List'!D:H,5,FALSE),"NA")</f>
        <v>Accounting Technology/Technician and Bookkeeping.</v>
      </c>
      <c r="I62" s="19"/>
      <c r="J62" s="20"/>
      <c r="K62" s="18"/>
      <c r="L62" s="22"/>
    </row>
    <row r="63" spans="1:12" x14ac:dyDescent="0.3">
      <c r="A63" s="33">
        <v>3</v>
      </c>
      <c r="B63" s="33" t="s">
        <v>489</v>
      </c>
      <c r="C63" s="34" t="s">
        <v>490</v>
      </c>
      <c r="D63" s="51" t="s">
        <v>114</v>
      </c>
      <c r="E63" s="52" t="str">
        <f>IFERROR(VLOOKUP(D63,'Master List'!D:H,2,FALSE),"NA")</f>
        <v>110801</v>
      </c>
      <c r="F63" s="53" t="str">
        <f>IFERROR(VLOOKUP(D63,'Master List'!D:H,3,FALSE),"NA")</f>
        <v>110801</v>
      </c>
      <c r="G63" s="58" t="str">
        <f>IFERROR(VLOOKUP(D63,'Master List'!D:H,4,FALSE),"NA")</f>
        <v>110801</v>
      </c>
      <c r="H63" s="39" t="str">
        <f>IFERROR(VLOOKUP(D63,'Master List'!D:H,5,FALSE),"NA")</f>
        <v>Web Page, Digital/Multimedia and Information Resources Design.</v>
      </c>
      <c r="I63" s="19"/>
      <c r="J63" s="20"/>
      <c r="K63" s="18"/>
      <c r="L63" s="22"/>
    </row>
    <row r="64" spans="1:12" x14ac:dyDescent="0.3">
      <c r="A64" s="33">
        <v>3</v>
      </c>
      <c r="B64" s="33" t="s">
        <v>489</v>
      </c>
      <c r="C64" s="34" t="s">
        <v>490</v>
      </c>
      <c r="D64" s="51" t="s">
        <v>120</v>
      </c>
      <c r="E64" s="52" t="str">
        <f>IFERROR(VLOOKUP(D64,'Master List'!D:H,2,FALSE),"NA")</f>
        <v>150000</v>
      </c>
      <c r="F64" s="53" t="str">
        <f>IFERROR(VLOOKUP(D64,'Master List'!D:H,3,FALSE),"NA")</f>
        <v>150000</v>
      </c>
      <c r="G64" s="58" t="str">
        <f>IFERROR(VLOOKUP(D64,'Master List'!D:H,4,FALSE),"NA")</f>
        <v>150000</v>
      </c>
      <c r="H64" s="39" t="str">
        <f>IFERROR(VLOOKUP(D64,'Master List'!D:H,5,FALSE),"NA")</f>
        <v>Engineering Technologies/Technicians, General.</v>
      </c>
      <c r="I64" s="19"/>
      <c r="J64" s="20"/>
      <c r="K64" s="18"/>
      <c r="L64" s="22"/>
    </row>
    <row r="65" spans="1:12" x14ac:dyDescent="0.3">
      <c r="A65" s="33">
        <v>3</v>
      </c>
      <c r="B65" s="33" t="s">
        <v>489</v>
      </c>
      <c r="C65" s="34" t="s">
        <v>490</v>
      </c>
      <c r="D65" s="51" t="s">
        <v>371</v>
      </c>
      <c r="E65" s="52" t="str">
        <f>IFERROR(VLOOKUP(D65,'Master List'!D:H,2,FALSE),"NA")</f>
        <v>520209</v>
      </c>
      <c r="F65" s="53" t="str">
        <f>IFERROR(VLOOKUP(D65,'Master List'!D:H,3,FALSE),"NA")</f>
        <v>520209</v>
      </c>
      <c r="G65" s="58" t="str">
        <f>IFERROR(VLOOKUP(D65,'Master List'!D:H,4,FALSE),"NA")</f>
        <v>520209</v>
      </c>
      <c r="H65" s="39" t="str">
        <f>IFERROR(VLOOKUP(D65,'Master List'!D:H,5,FALSE),"NA")</f>
        <v>Transportation/Mobility Management.</v>
      </c>
      <c r="I65" s="19"/>
      <c r="J65" s="20"/>
      <c r="K65" s="18"/>
      <c r="L65" s="22"/>
    </row>
    <row r="66" spans="1:12" x14ac:dyDescent="0.3">
      <c r="A66" s="33">
        <v>3</v>
      </c>
      <c r="B66" s="33" t="s">
        <v>489</v>
      </c>
      <c r="C66" s="34" t="s">
        <v>490</v>
      </c>
      <c r="D66" s="51" t="s">
        <v>125</v>
      </c>
      <c r="E66" s="52" t="str">
        <f>IFERROR(VLOOKUP(D66,'Master List'!D:H,2,FALSE),"NA")</f>
        <v>220302</v>
      </c>
      <c r="F66" s="53" t="str">
        <f>IFERROR(VLOOKUP(D66,'Master List'!D:H,3,FALSE),"NA")</f>
        <v>220302</v>
      </c>
      <c r="G66" s="58" t="str">
        <f>IFERROR(VLOOKUP(D66,'Master List'!D:H,4,FALSE),"NA")</f>
        <v>220302</v>
      </c>
      <c r="H66" s="39" t="str">
        <f>IFERROR(VLOOKUP(D66,'Master List'!D:H,5,FALSE),"NA")</f>
        <v>Legal Assistant/Paralegal.</v>
      </c>
      <c r="I66" s="19"/>
      <c r="J66" s="20"/>
      <c r="K66" s="18"/>
      <c r="L66" s="22"/>
    </row>
    <row r="67" spans="1:12" x14ac:dyDescent="0.3">
      <c r="A67" s="33">
        <v>3</v>
      </c>
      <c r="B67" s="33" t="s">
        <v>489</v>
      </c>
      <c r="C67" s="34" t="s">
        <v>490</v>
      </c>
      <c r="D67" s="51" t="s">
        <v>128</v>
      </c>
      <c r="E67" s="52" t="str">
        <f>IFERROR(VLOOKUP(D67,'Master List'!D:H,2,FALSE),"NA")</f>
        <v>430103</v>
      </c>
      <c r="F67" s="53" t="str">
        <f>IFERROR(VLOOKUP(D67,'Master List'!D:H,3,FALSE),"NA")</f>
        <v>430103</v>
      </c>
      <c r="G67" s="58" t="str">
        <f>IFERROR(VLOOKUP(D67,'Master List'!D:H,4,FALSE),"NA")</f>
        <v>430103</v>
      </c>
      <c r="H67" s="39" t="str">
        <f>IFERROR(VLOOKUP(D67,'Master List'!D:H,5,FALSE),"NA")</f>
        <v>Criminal Justice/Law Enforcement Administration.</v>
      </c>
      <c r="I67" s="19"/>
      <c r="J67" s="20"/>
      <c r="K67" s="18"/>
      <c r="L67" s="22"/>
    </row>
    <row r="68" spans="1:12" x14ac:dyDescent="0.3">
      <c r="A68" s="40"/>
      <c r="B68" s="40"/>
      <c r="C68" s="40"/>
      <c r="D68" s="40"/>
      <c r="E68" s="43"/>
      <c r="F68" s="43"/>
      <c r="G68" s="55"/>
      <c r="H68" s="43"/>
      <c r="I68" s="40"/>
      <c r="J68" s="40"/>
      <c r="K68" s="44"/>
      <c r="L68" s="44"/>
    </row>
    <row r="69" spans="1:12" x14ac:dyDescent="0.3">
      <c r="A69" s="45"/>
      <c r="B69" s="45"/>
      <c r="C69" s="45"/>
      <c r="D69" s="45"/>
      <c r="E69" s="48"/>
      <c r="F69" s="48"/>
      <c r="G69" s="56"/>
      <c r="H69" s="48"/>
      <c r="I69" s="45"/>
      <c r="J69" s="45"/>
      <c r="K69" s="49"/>
      <c r="L69" s="49"/>
    </row>
    <row r="70" spans="1:12" x14ac:dyDescent="0.3">
      <c r="A70" s="45"/>
      <c r="B70" s="45"/>
      <c r="C70" s="45"/>
      <c r="D70" s="45"/>
      <c r="E70" s="48"/>
      <c r="F70" s="48"/>
      <c r="G70" s="56"/>
      <c r="H70" s="48"/>
      <c r="I70" s="45"/>
      <c r="J70" s="45"/>
      <c r="K70" s="49"/>
      <c r="L70" s="49"/>
    </row>
    <row r="71" spans="1:12" x14ac:dyDescent="0.3">
      <c r="A71" s="45"/>
      <c r="B71" s="45"/>
      <c r="C71" s="45"/>
      <c r="D71" s="45"/>
      <c r="E71" s="48"/>
      <c r="F71" s="48"/>
      <c r="G71" s="56"/>
      <c r="H71" s="48"/>
      <c r="I71" s="45"/>
      <c r="J71" s="45"/>
      <c r="K71" s="49"/>
      <c r="L71" s="49"/>
    </row>
    <row r="72" spans="1:12" x14ac:dyDescent="0.3">
      <c r="A72" s="45"/>
      <c r="B72" s="45"/>
      <c r="C72" s="45"/>
      <c r="D72" s="45"/>
      <c r="E72" s="48"/>
      <c r="F72" s="48"/>
      <c r="G72" s="56"/>
      <c r="H72" s="48"/>
      <c r="I72" s="45"/>
      <c r="J72" s="45"/>
      <c r="K72" s="49"/>
      <c r="L72" s="49"/>
    </row>
    <row r="73" spans="1:12" x14ac:dyDescent="0.3">
      <c r="A73" s="45"/>
      <c r="B73" s="45"/>
      <c r="C73" s="45"/>
      <c r="D73" s="45"/>
      <c r="E73" s="48"/>
      <c r="F73" s="48"/>
      <c r="G73" s="56"/>
      <c r="H73" s="48"/>
      <c r="I73" s="45"/>
      <c r="J73" s="45"/>
      <c r="K73" s="49"/>
      <c r="L73" s="49"/>
    </row>
    <row r="74" spans="1:12" x14ac:dyDescent="0.3">
      <c r="A74" s="45"/>
      <c r="B74" s="45"/>
      <c r="C74" s="45"/>
      <c r="D74" s="45"/>
      <c r="E74" s="48"/>
      <c r="F74" s="48"/>
      <c r="G74" s="56"/>
      <c r="H74" s="48"/>
      <c r="I74" s="45"/>
      <c r="J74" s="45"/>
      <c r="K74" s="49"/>
      <c r="L74" s="49"/>
    </row>
    <row r="75" spans="1:12" x14ac:dyDescent="0.3">
      <c r="A75" s="45"/>
      <c r="B75" s="45"/>
      <c r="C75" s="45"/>
      <c r="D75" s="45"/>
      <c r="E75" s="48"/>
      <c r="F75" s="48"/>
      <c r="G75" s="56"/>
      <c r="H75" s="48"/>
      <c r="I75" s="45"/>
      <c r="J75" s="45"/>
      <c r="K75" s="49"/>
      <c r="L75" s="49"/>
    </row>
    <row r="76" spans="1:12" x14ac:dyDescent="0.3">
      <c r="A76" s="45"/>
      <c r="B76" s="45"/>
      <c r="C76" s="45"/>
      <c r="D76" s="45"/>
      <c r="E76" s="48"/>
      <c r="F76" s="48"/>
      <c r="G76" s="56"/>
      <c r="H76" s="48"/>
      <c r="I76" s="45"/>
      <c r="J76" s="45"/>
      <c r="K76" s="49"/>
      <c r="L76" s="49"/>
    </row>
    <row r="77" spans="1:12" x14ac:dyDescent="0.3">
      <c r="A77" s="45"/>
      <c r="B77" s="45"/>
      <c r="C77" s="45"/>
      <c r="D77" s="45"/>
      <c r="E77" s="48"/>
      <c r="F77" s="48"/>
      <c r="G77" s="56"/>
      <c r="H77" s="48"/>
      <c r="I77" s="45"/>
      <c r="J77" s="45"/>
      <c r="K77" s="49"/>
      <c r="L77" s="49"/>
    </row>
    <row r="78" spans="1:12" x14ac:dyDescent="0.3">
      <c r="A78" s="45"/>
      <c r="B78" s="45"/>
      <c r="C78" s="45"/>
      <c r="D78" s="45"/>
      <c r="E78" s="48"/>
      <c r="F78" s="48"/>
      <c r="G78" s="56"/>
      <c r="H78" s="48"/>
      <c r="I78" s="45"/>
      <c r="J78" s="45"/>
      <c r="K78" s="49"/>
      <c r="L78" s="49"/>
    </row>
  </sheetData>
  <sheetProtection algorithmName="SHA-512" hashValue="BqxnoQjoTNCQxj1TjyiLJueUFZl6ylayNMeys6yDStLysSLL1EBQVcMig9UFShLs35SK97yTiFg2wIZZs7x/xA==" saltValue="9CnmpAeUadExEKXw4CoP2Q==" spinCount="100000" sheet="1" objects="1" scenarios="1" sort="0" autoFilter="0"/>
  <autoFilter ref="A2:L2"/>
  <mergeCells count="3">
    <mergeCell ref="A1:D1"/>
    <mergeCell ref="E1:H1"/>
    <mergeCell ref="I1:L1"/>
  </mergeCells>
  <dataValidations count="1">
    <dataValidation type="list" allowBlank="1" showInputMessage="1" showErrorMessage="1" sqref="I3:I67">
      <formula1>"Agree,Disagree"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selection sqref="A1:D1"/>
    </sheetView>
  </sheetViews>
  <sheetFormatPr defaultRowHeight="14.4" x14ac:dyDescent="0.3"/>
  <cols>
    <col min="1" max="1" width="8.88671875" style="17" customWidth="1"/>
    <col min="2" max="2" width="8.88671875" style="17"/>
    <col min="3" max="3" width="43.33203125" style="17" customWidth="1"/>
    <col min="4" max="4" width="17" style="17" customWidth="1"/>
    <col min="5" max="5" width="14.88671875" style="54" customWidth="1"/>
    <col min="6" max="6" width="12.5546875" style="54" customWidth="1"/>
    <col min="7" max="7" width="13.6640625" style="54" customWidth="1"/>
    <col min="8" max="8" width="70.44140625" style="25" customWidth="1"/>
    <col min="9" max="9" width="24.33203125" style="17" customWidth="1"/>
    <col min="10" max="10" width="27.33203125" style="17" customWidth="1"/>
    <col min="11" max="12" width="34.88671875" style="17" customWidth="1"/>
    <col min="13" max="16384" width="8.88671875" style="17"/>
  </cols>
  <sheetData>
    <row r="1" spans="1:12" s="27" customFormat="1" ht="84.6" customHeight="1" x14ac:dyDescent="0.3">
      <c r="A1" s="95"/>
      <c r="B1" s="95"/>
      <c r="C1" s="95"/>
      <c r="D1" s="95"/>
      <c r="E1" s="96" t="s">
        <v>2145</v>
      </c>
      <c r="F1" s="96"/>
      <c r="G1" s="96"/>
      <c r="H1" s="96"/>
      <c r="I1" s="97" t="s">
        <v>0</v>
      </c>
      <c r="J1" s="98"/>
      <c r="K1" s="98"/>
      <c r="L1" s="99"/>
    </row>
    <row r="2" spans="1:12" s="27" customFormat="1" ht="72" customHeight="1" x14ac:dyDescent="0.3">
      <c r="A2" s="28" t="s">
        <v>1</v>
      </c>
      <c r="B2" s="28" t="s">
        <v>2146</v>
      </c>
      <c r="C2" s="28" t="s">
        <v>2147</v>
      </c>
      <c r="D2" s="28" t="s">
        <v>2148</v>
      </c>
      <c r="E2" s="59" t="s">
        <v>3</v>
      </c>
      <c r="F2" s="60" t="s">
        <v>4</v>
      </c>
      <c r="G2" s="57" t="s">
        <v>2149</v>
      </c>
      <c r="H2" s="50" t="s">
        <v>2150</v>
      </c>
      <c r="I2" s="15" t="s">
        <v>2151</v>
      </c>
      <c r="J2" s="15" t="s">
        <v>2152</v>
      </c>
      <c r="K2" s="15" t="s">
        <v>5</v>
      </c>
      <c r="L2" s="15" t="s">
        <v>2153</v>
      </c>
    </row>
    <row r="3" spans="1:12" x14ac:dyDescent="0.3">
      <c r="A3" s="33">
        <v>4</v>
      </c>
      <c r="B3" s="33" t="s">
        <v>2175</v>
      </c>
      <c r="C3" s="34" t="s">
        <v>481</v>
      </c>
      <c r="D3" s="51" t="s">
        <v>14</v>
      </c>
      <c r="E3" s="61" t="str">
        <f>IFERROR(VLOOKUP(D3,'Master List'!D:H,2,FALSE),"NA")</f>
        <v>510904</v>
      </c>
      <c r="F3" s="62" t="str">
        <f>IFERROR(VLOOKUP(D3,'Master List'!D:H,3,FALSE),"NA")</f>
        <v>510904</v>
      </c>
      <c r="G3" s="58" t="str">
        <f>IFERROR(VLOOKUP(D3,'Master List'!D:H,4,FALSE),"NA")</f>
        <v>510904</v>
      </c>
      <c r="H3" s="39" t="str">
        <f>IFERROR(VLOOKUP(D3,'Master List'!D:H,5,FALSE),"NA")</f>
        <v>Emergency Medical Technology/Technician (EMT Paramedic).</v>
      </c>
      <c r="I3" s="19"/>
      <c r="J3" s="20"/>
      <c r="K3" s="18"/>
      <c r="L3" s="22"/>
    </row>
    <row r="4" spans="1:12" x14ac:dyDescent="0.3">
      <c r="A4" s="33">
        <v>4</v>
      </c>
      <c r="B4" s="33" t="s">
        <v>2175</v>
      </c>
      <c r="C4" s="34" t="s">
        <v>481</v>
      </c>
      <c r="D4" s="51" t="s">
        <v>482</v>
      </c>
      <c r="E4" s="61" t="str">
        <f>IFERROR(VLOOKUP(D4,'Master List'!D:H,2,FALSE),"NA")</f>
        <v>510904</v>
      </c>
      <c r="F4" s="62" t="str">
        <f>IFERROR(VLOOKUP(D4,'Master List'!D:H,3,FALSE),"NA")</f>
        <v>510904</v>
      </c>
      <c r="G4" s="58" t="str">
        <f>IFERROR(VLOOKUP(D4,'Master List'!D:H,4,FALSE),"NA")</f>
        <v>510904</v>
      </c>
      <c r="H4" s="39" t="str">
        <f>IFERROR(VLOOKUP(D4,'Master List'!D:H,5,FALSE),"NA")</f>
        <v>Emergency Medical Technology/Technician (EMT Paramedic).</v>
      </c>
      <c r="I4" s="19"/>
      <c r="J4" s="20"/>
      <c r="K4" s="18"/>
      <c r="L4" s="22"/>
    </row>
    <row r="5" spans="1:12" x14ac:dyDescent="0.3">
      <c r="A5" s="33">
        <v>4</v>
      </c>
      <c r="B5" s="33" t="s">
        <v>2175</v>
      </c>
      <c r="C5" s="34" t="s">
        <v>481</v>
      </c>
      <c r="D5" s="51" t="s">
        <v>204</v>
      </c>
      <c r="E5" s="61" t="str">
        <f>IFERROR(VLOOKUP(D5,'Master List'!D:H,2,FALSE),"NA")</f>
        <v>510904</v>
      </c>
      <c r="F5" s="62" t="str">
        <f>IFERROR(VLOOKUP(D5,'Master List'!D:H,3,FALSE),"NA")</f>
        <v>510904</v>
      </c>
      <c r="G5" s="58" t="str">
        <f>IFERROR(VLOOKUP(D5,'Master List'!D:H,4,FALSE),"NA")</f>
        <v>510904</v>
      </c>
      <c r="H5" s="39" t="str">
        <f>IFERROR(VLOOKUP(D5,'Master List'!D:H,5,FALSE),"NA")</f>
        <v>Emergency Medical Technology/Technician (EMT Paramedic).</v>
      </c>
      <c r="I5" s="19"/>
      <c r="J5" s="20"/>
      <c r="K5" s="18"/>
      <c r="L5" s="22"/>
    </row>
    <row r="6" spans="1:12" x14ac:dyDescent="0.3">
      <c r="A6" s="33">
        <v>4</v>
      </c>
      <c r="B6" s="33" t="s">
        <v>2175</v>
      </c>
      <c r="C6" s="34" t="s">
        <v>481</v>
      </c>
      <c r="D6" s="51" t="s">
        <v>25</v>
      </c>
      <c r="E6" s="61" t="str">
        <f>IFERROR(VLOOKUP(D6,'Master List'!D:H,2,FALSE),"NA")</f>
        <v>513902</v>
      </c>
      <c r="F6" s="62" t="str">
        <f>IFERROR(VLOOKUP(D6,'Master List'!D:H,3,FALSE),"NA")</f>
        <v>513902</v>
      </c>
      <c r="G6" s="58" t="str">
        <f>IFERROR(VLOOKUP(D6,'Master List'!D:H,4,FALSE),"NA")</f>
        <v>513902</v>
      </c>
      <c r="H6" s="39" t="str">
        <f>IFERROR(VLOOKUP(D6,'Master List'!D:H,5,FALSE),"NA")</f>
        <v>Nursing Assistant/Aide and Patient Care Assistant/Aide.</v>
      </c>
      <c r="I6" s="19"/>
      <c r="J6" s="20"/>
      <c r="K6" s="18"/>
      <c r="L6" s="22"/>
    </row>
    <row r="7" spans="1:12" x14ac:dyDescent="0.3">
      <c r="A7" s="33">
        <v>4</v>
      </c>
      <c r="B7" s="33" t="s">
        <v>2175</v>
      </c>
      <c r="C7" s="34" t="s">
        <v>481</v>
      </c>
      <c r="D7" s="51" t="s">
        <v>483</v>
      </c>
      <c r="E7" s="61" t="str">
        <f>IFERROR(VLOOKUP(D7,'Master List'!D:H,2,FALSE),"NA")</f>
        <v>190709</v>
      </c>
      <c r="F7" s="62" t="str">
        <f>IFERROR(VLOOKUP(D7,'Master List'!D:H,3,FALSE),"NA")</f>
        <v>190709</v>
      </c>
      <c r="G7" s="58" t="str">
        <f>IFERROR(VLOOKUP(D7,'Master List'!D:H,4,FALSE),"NA")</f>
        <v>190709</v>
      </c>
      <c r="H7" s="39" t="str">
        <f>IFERROR(VLOOKUP(D7,'Master List'!D:H,5,FALSE),"NA")</f>
        <v>Child Care Provider/Assistant.</v>
      </c>
      <c r="I7" s="19"/>
      <c r="J7" s="20"/>
      <c r="K7" s="18"/>
      <c r="L7" s="22"/>
    </row>
    <row r="8" spans="1:12" x14ac:dyDescent="0.3">
      <c r="A8" s="33">
        <v>4</v>
      </c>
      <c r="B8" s="33" t="s">
        <v>2175</v>
      </c>
      <c r="C8" s="34" t="s">
        <v>481</v>
      </c>
      <c r="D8" s="51" t="s">
        <v>217</v>
      </c>
      <c r="E8" s="61" t="str">
        <f>IFERROR(VLOOKUP(D8,'Master List'!D:H,2,FALSE),"NA")</f>
        <v>110103</v>
      </c>
      <c r="F8" s="62" t="str">
        <f>IFERROR(VLOOKUP(D8,'Master List'!D:H,3,FALSE),"NA")</f>
        <v>110103</v>
      </c>
      <c r="G8" s="58" t="str">
        <f>IFERROR(VLOOKUP(D8,'Master List'!D:H,4,FALSE),"NA")</f>
        <v>110103</v>
      </c>
      <c r="H8" s="39" t="str">
        <f>IFERROR(VLOOKUP(D8,'Master List'!D:H,5,FALSE),"NA")</f>
        <v>Information Technology.</v>
      </c>
      <c r="I8" s="19"/>
      <c r="J8" s="20"/>
      <c r="K8" s="18"/>
      <c r="L8" s="22"/>
    </row>
    <row r="9" spans="1:12" x14ac:dyDescent="0.3">
      <c r="A9" s="33">
        <v>4</v>
      </c>
      <c r="B9" s="33" t="s">
        <v>2175</v>
      </c>
      <c r="C9" s="34" t="s">
        <v>481</v>
      </c>
      <c r="D9" s="51" t="s">
        <v>35</v>
      </c>
      <c r="E9" s="61" t="str">
        <f>IFERROR(VLOOKUP(D9,'Master List'!D:H,2,FALSE),"NA")</f>
        <v>111001</v>
      </c>
      <c r="F9" s="62" t="str">
        <f>IFERROR(VLOOKUP(D9,'Master List'!D:H,3,FALSE),"NA")</f>
        <v>111001</v>
      </c>
      <c r="G9" s="58" t="str">
        <f>IFERROR(VLOOKUP(D9,'Master List'!D:H,4,FALSE),"NA")</f>
        <v>111001</v>
      </c>
      <c r="H9" s="39" t="str">
        <f>IFERROR(VLOOKUP(D9,'Master List'!D:H,5,FALSE),"NA")</f>
        <v>Network and System Administration/Administrator.</v>
      </c>
      <c r="I9" s="19"/>
      <c r="J9" s="20"/>
      <c r="K9" s="18"/>
      <c r="L9" s="22"/>
    </row>
    <row r="10" spans="1:12" x14ac:dyDescent="0.3">
      <c r="A10" s="33">
        <v>4</v>
      </c>
      <c r="B10" s="33" t="s">
        <v>2175</v>
      </c>
      <c r="C10" s="34" t="s">
        <v>481</v>
      </c>
      <c r="D10" s="51" t="s">
        <v>36</v>
      </c>
      <c r="E10" s="61" t="str">
        <f>IFERROR(VLOOKUP(D10,'Master List'!D:H,2,FALSE),"NA")</f>
        <v>111001</v>
      </c>
      <c r="F10" s="62" t="str">
        <f>IFERROR(VLOOKUP(D10,'Master List'!D:H,3,FALSE),"NA")</f>
        <v>111001</v>
      </c>
      <c r="G10" s="58" t="str">
        <f>IFERROR(VLOOKUP(D10,'Master List'!D:H,4,FALSE),"NA")</f>
        <v>111001</v>
      </c>
      <c r="H10" s="39" t="str">
        <f>IFERROR(VLOOKUP(D10,'Master List'!D:H,5,FALSE),"NA")</f>
        <v>Network and System Administration/Administrator.</v>
      </c>
      <c r="I10" s="19"/>
      <c r="J10" s="20"/>
      <c r="K10" s="18"/>
      <c r="L10" s="22"/>
    </row>
    <row r="11" spans="1:12" x14ac:dyDescent="0.3">
      <c r="A11" s="33">
        <v>4</v>
      </c>
      <c r="B11" s="33" t="s">
        <v>2175</v>
      </c>
      <c r="C11" s="34" t="s">
        <v>481</v>
      </c>
      <c r="D11" s="51" t="s">
        <v>240</v>
      </c>
      <c r="E11" s="61" t="str">
        <f>IFERROR(VLOOKUP(D11,'Master List'!D:H,2,FALSE),"NA")</f>
        <v>120401</v>
      </c>
      <c r="F11" s="62" t="str">
        <f>IFERROR(VLOOKUP(D11,'Master List'!D:H,3,FALSE),"NA")</f>
        <v>120401</v>
      </c>
      <c r="G11" s="58" t="str">
        <f>IFERROR(VLOOKUP(D11,'Master List'!D:H,4,FALSE),"NA")</f>
        <v>120401</v>
      </c>
      <c r="H11" s="39" t="str">
        <f>IFERROR(VLOOKUP(D11,'Master List'!D:H,5,FALSE),"NA")</f>
        <v>Cosmetology/Cosmetologist, General.</v>
      </c>
      <c r="I11" s="19"/>
      <c r="J11" s="20"/>
      <c r="K11" s="18"/>
      <c r="L11" s="22"/>
    </row>
    <row r="12" spans="1:12" x14ac:dyDescent="0.3">
      <c r="A12" s="33">
        <v>4</v>
      </c>
      <c r="B12" s="33" t="s">
        <v>2175</v>
      </c>
      <c r="C12" s="34" t="s">
        <v>481</v>
      </c>
      <c r="D12" s="51" t="s">
        <v>246</v>
      </c>
      <c r="E12" s="61" t="str">
        <f>IFERROR(VLOOKUP(D12,'Master List'!D:H,2,FALSE),"NA")</f>
        <v>150000</v>
      </c>
      <c r="F12" s="62" t="str">
        <f>IFERROR(VLOOKUP(D12,'Master List'!D:H,3,FALSE),"NA")</f>
        <v>150000</v>
      </c>
      <c r="G12" s="58" t="str">
        <f>IFERROR(VLOOKUP(D12,'Master List'!D:H,4,FALSE),"NA")</f>
        <v>150000</v>
      </c>
      <c r="H12" s="39" t="str">
        <f>IFERROR(VLOOKUP(D12,'Master List'!D:H,5,FALSE),"NA")</f>
        <v>Engineering Technologies/Technicians, General.</v>
      </c>
      <c r="I12" s="19"/>
      <c r="J12" s="20"/>
      <c r="K12" s="18"/>
      <c r="L12" s="22"/>
    </row>
    <row r="13" spans="1:12" x14ac:dyDescent="0.3">
      <c r="A13" s="33">
        <v>4</v>
      </c>
      <c r="B13" s="33" t="s">
        <v>2175</v>
      </c>
      <c r="C13" s="34" t="s">
        <v>481</v>
      </c>
      <c r="D13" s="51" t="s">
        <v>252</v>
      </c>
      <c r="E13" s="61" t="str">
        <f>IFERROR(VLOOKUP(D13,'Master List'!D:H,2,FALSE),"NA")</f>
        <v>150613</v>
      </c>
      <c r="F13" s="62" t="str">
        <f>IFERROR(VLOOKUP(D13,'Master List'!D:H,3,FALSE),"NA")</f>
        <v>150613</v>
      </c>
      <c r="G13" s="58" t="str">
        <f>IFERROR(VLOOKUP(D13,'Master List'!D:H,4,FALSE),"NA")</f>
        <v>150613</v>
      </c>
      <c r="H13" s="39" t="str">
        <f>IFERROR(VLOOKUP(D13,'Master List'!D:H,5,FALSE),"NA")</f>
        <v>Manufacturing Engineering Technology/Technician.</v>
      </c>
      <c r="I13" s="19"/>
      <c r="J13" s="20"/>
      <c r="K13" s="18"/>
      <c r="L13" s="22"/>
    </row>
    <row r="14" spans="1:12" x14ac:dyDescent="0.3">
      <c r="A14" s="33">
        <v>4</v>
      </c>
      <c r="B14" s="33" t="s">
        <v>2175</v>
      </c>
      <c r="C14" s="34" t="s">
        <v>481</v>
      </c>
      <c r="D14" s="51" t="s">
        <v>449</v>
      </c>
      <c r="E14" s="61" t="str">
        <f>IFERROR(VLOOKUP(D14,'Master List'!D:H,2,FALSE),"NA")</f>
        <v>470604</v>
      </c>
      <c r="F14" s="62" t="str">
        <f>IFERROR(VLOOKUP(D14,'Master List'!D:H,3,FALSE),"NA")</f>
        <v>470604</v>
      </c>
      <c r="G14" s="58" t="str">
        <f>IFERROR(VLOOKUP(D14,'Master List'!D:H,4,FALSE),"NA")</f>
        <v>470604</v>
      </c>
      <c r="H14" s="39" t="str">
        <f>IFERROR(VLOOKUP(D14,'Master List'!D:H,5,FALSE),"NA")</f>
        <v>Automobile/Automotive Mechanics Technology/Technician.</v>
      </c>
      <c r="I14" s="19"/>
      <c r="J14" s="20"/>
      <c r="K14" s="18"/>
      <c r="L14" s="22"/>
    </row>
    <row r="15" spans="1:12" x14ac:dyDescent="0.3">
      <c r="A15" s="33">
        <v>4</v>
      </c>
      <c r="B15" s="33" t="s">
        <v>2175</v>
      </c>
      <c r="C15" s="34" t="s">
        <v>481</v>
      </c>
      <c r="D15" s="51" t="s">
        <v>291</v>
      </c>
      <c r="E15" s="61" t="str">
        <f>IFERROR(VLOOKUP(D15,'Master List'!D:H,2,FALSE),"NA")</f>
        <v>480508</v>
      </c>
      <c r="F15" s="62" t="str">
        <f>IFERROR(VLOOKUP(D15,'Master List'!D:H,3,FALSE),"NA")</f>
        <v>480508</v>
      </c>
      <c r="G15" s="58" t="str">
        <f>IFERROR(VLOOKUP(D15,'Master List'!D:H,4,FALSE),"NA")</f>
        <v>480508</v>
      </c>
      <c r="H15" s="39" t="str">
        <f>IFERROR(VLOOKUP(D15,'Master List'!D:H,5,FALSE),"NA")</f>
        <v>Welding Technology/Welder.</v>
      </c>
      <c r="I15" s="19"/>
      <c r="J15" s="20"/>
      <c r="K15" s="18"/>
      <c r="L15" s="22"/>
    </row>
    <row r="16" spans="1:12" x14ac:dyDescent="0.3">
      <c r="A16" s="33">
        <v>4</v>
      </c>
      <c r="B16" s="33" t="s">
        <v>2175</v>
      </c>
      <c r="C16" s="34" t="s">
        <v>481</v>
      </c>
      <c r="D16" s="51" t="s">
        <v>456</v>
      </c>
      <c r="E16" s="61" t="str">
        <f>IFERROR(VLOOKUP(D16,'Master List'!D:H,2,FALSE),"NA")</f>
        <v>480508</v>
      </c>
      <c r="F16" s="62" t="str">
        <f>IFERROR(VLOOKUP(D16,'Master List'!D:H,3,FALSE),"NA")</f>
        <v>480508</v>
      </c>
      <c r="G16" s="58" t="str">
        <f>IFERROR(VLOOKUP(D16,'Master List'!D:H,4,FALSE),"NA")</f>
        <v>480508</v>
      </c>
      <c r="H16" s="39" t="str">
        <f>IFERROR(VLOOKUP(D16,'Master List'!D:H,5,FALSE),"NA")</f>
        <v>Welding Technology/Welder.</v>
      </c>
      <c r="I16" s="19"/>
      <c r="J16" s="20"/>
      <c r="K16" s="18"/>
      <c r="L16" s="22"/>
    </row>
    <row r="17" spans="1:12" x14ac:dyDescent="0.3">
      <c r="A17" s="33">
        <v>4</v>
      </c>
      <c r="B17" s="33" t="s">
        <v>2175</v>
      </c>
      <c r="C17" s="34" t="s">
        <v>481</v>
      </c>
      <c r="D17" s="51" t="s">
        <v>68</v>
      </c>
      <c r="E17" s="61" t="str">
        <f>IFERROR(VLOOKUP(D17,'Master List'!D:H,2,FALSE),"NA")</f>
        <v>430102</v>
      </c>
      <c r="F17" s="62" t="str">
        <f>IFERROR(VLOOKUP(D17,'Master List'!D:H,3,FALSE),"NA")</f>
        <v>430102</v>
      </c>
      <c r="G17" s="58" t="str">
        <f>IFERROR(VLOOKUP(D17,'Master List'!D:H,4,FALSE),"NA")</f>
        <v>430102</v>
      </c>
      <c r="H17" s="39" t="str">
        <f>IFERROR(VLOOKUP(D17,'Master List'!D:H,5,FALSE),"NA")</f>
        <v>Corrections.</v>
      </c>
      <c r="I17" s="19"/>
      <c r="J17" s="20"/>
      <c r="K17" s="18"/>
      <c r="L17" s="22"/>
    </row>
    <row r="18" spans="1:12" x14ac:dyDescent="0.3">
      <c r="A18" s="33">
        <v>4</v>
      </c>
      <c r="B18" s="33" t="s">
        <v>2175</v>
      </c>
      <c r="C18" s="34" t="s">
        <v>481</v>
      </c>
      <c r="D18" s="51" t="s">
        <v>484</v>
      </c>
      <c r="E18" s="61" t="str">
        <f>IFERROR(VLOOKUP(D18,'Master List'!D:H,2,FALSE),"NA")</f>
        <v>430102</v>
      </c>
      <c r="F18" s="62" t="str">
        <f>IFERROR(VLOOKUP(D18,'Master List'!D:H,3,FALSE),"NA")</f>
        <v>430102</v>
      </c>
      <c r="G18" s="58" t="str">
        <f>IFERROR(VLOOKUP(D18,'Master List'!D:H,4,FALSE),"NA")</f>
        <v>430102</v>
      </c>
      <c r="H18" s="39" t="str">
        <f>IFERROR(VLOOKUP(D18,'Master List'!D:H,5,FALSE),"NA")</f>
        <v>Corrections.</v>
      </c>
      <c r="I18" s="19"/>
      <c r="J18" s="20"/>
      <c r="K18" s="18"/>
      <c r="L18" s="22"/>
    </row>
    <row r="19" spans="1:12" x14ac:dyDescent="0.3">
      <c r="A19" s="33">
        <v>4</v>
      </c>
      <c r="B19" s="33" t="s">
        <v>2175</v>
      </c>
      <c r="C19" s="34" t="s">
        <v>481</v>
      </c>
      <c r="D19" s="51" t="s">
        <v>71</v>
      </c>
      <c r="E19" s="61" t="str">
        <f>IFERROR(VLOOKUP(D19,'Master List'!D:H,2,FALSE),"NA")</f>
        <v>430107</v>
      </c>
      <c r="F19" s="62" t="str">
        <f>IFERROR(VLOOKUP(D19,'Master List'!D:H,3,FALSE),"NA")</f>
        <v>430107</v>
      </c>
      <c r="G19" s="58" t="str">
        <f>IFERROR(VLOOKUP(D19,'Master List'!D:H,4,FALSE),"NA")</f>
        <v>430107</v>
      </c>
      <c r="H19" s="39" t="str">
        <f>IFERROR(VLOOKUP(D19,'Master List'!D:H,5,FALSE),"NA")</f>
        <v>Criminal Justice/Police Science.</v>
      </c>
      <c r="I19" s="19"/>
      <c r="J19" s="20"/>
      <c r="K19" s="18"/>
      <c r="L19" s="22"/>
    </row>
    <row r="20" spans="1:12" x14ac:dyDescent="0.3">
      <c r="A20" s="33">
        <v>4</v>
      </c>
      <c r="B20" s="33" t="s">
        <v>2175</v>
      </c>
      <c r="C20" s="34" t="s">
        <v>481</v>
      </c>
      <c r="D20" s="51" t="s">
        <v>74</v>
      </c>
      <c r="E20" s="61" t="str">
        <f>IFERROR(VLOOKUP(D20,'Master List'!D:H,2,FALSE),"NA")</f>
        <v>430107</v>
      </c>
      <c r="F20" s="62" t="str">
        <f>IFERROR(VLOOKUP(D20,'Master List'!D:H,3,FALSE),"NA")</f>
        <v>430107</v>
      </c>
      <c r="G20" s="58" t="str">
        <f>IFERROR(VLOOKUP(D20,'Master List'!D:H,4,FALSE),"NA")</f>
        <v>430107</v>
      </c>
      <c r="H20" s="39" t="str">
        <f>IFERROR(VLOOKUP(D20,'Master List'!D:H,5,FALSE),"NA")</f>
        <v>Criminal Justice/Police Science.</v>
      </c>
      <c r="I20" s="19"/>
      <c r="J20" s="20"/>
      <c r="K20" s="18"/>
      <c r="L20" s="22"/>
    </row>
    <row r="21" spans="1:12" x14ac:dyDescent="0.3">
      <c r="A21" s="33">
        <v>4</v>
      </c>
      <c r="B21" s="33" t="s">
        <v>2175</v>
      </c>
      <c r="C21" s="34" t="s">
        <v>481</v>
      </c>
      <c r="D21" s="51" t="s">
        <v>318</v>
      </c>
      <c r="E21" s="61" t="str">
        <f>IFERROR(VLOOKUP(D21,'Master List'!D:H,2,FALSE),"NA")</f>
        <v>430203</v>
      </c>
      <c r="F21" s="62" t="str">
        <f>IFERROR(VLOOKUP(D21,'Master List'!D:H,3,FALSE),"NA")</f>
        <v>430203</v>
      </c>
      <c r="G21" s="58" t="str">
        <f>IFERROR(VLOOKUP(D21,'Master List'!D:H,4,FALSE),"NA")</f>
        <v>430203</v>
      </c>
      <c r="H21" s="39" t="str">
        <f>IFERROR(VLOOKUP(D21,'Master List'!D:H,5,FALSE),"NA")</f>
        <v>Fire Science/Fire-fighting.</v>
      </c>
      <c r="I21" s="19"/>
      <c r="J21" s="20"/>
      <c r="K21" s="18"/>
      <c r="L21" s="22"/>
    </row>
    <row r="22" spans="1:12" x14ac:dyDescent="0.3">
      <c r="A22" s="33">
        <v>4</v>
      </c>
      <c r="B22" s="33" t="s">
        <v>2175</v>
      </c>
      <c r="C22" s="34" t="s">
        <v>481</v>
      </c>
      <c r="D22" s="51" t="s">
        <v>485</v>
      </c>
      <c r="E22" s="61" t="str">
        <f>IFERROR(VLOOKUP(D22,'Master List'!D:H,2,FALSE),"NA")</f>
        <v>430203</v>
      </c>
      <c r="F22" s="62" t="str">
        <f>IFERROR(VLOOKUP(D22,'Master List'!D:H,3,FALSE),"NA")</f>
        <v>430203</v>
      </c>
      <c r="G22" s="58" t="str">
        <f>IFERROR(VLOOKUP(D22,'Master List'!D:H,4,FALSE),"NA")</f>
        <v>430203</v>
      </c>
      <c r="H22" s="39" t="str">
        <f>IFERROR(VLOOKUP(D22,'Master List'!D:H,5,FALSE),"NA")</f>
        <v>Fire Science/Fire-fighting.</v>
      </c>
      <c r="I22" s="19"/>
      <c r="J22" s="20"/>
      <c r="K22" s="18"/>
      <c r="L22" s="22"/>
    </row>
    <row r="23" spans="1:12" x14ac:dyDescent="0.3">
      <c r="A23" s="33">
        <v>4</v>
      </c>
      <c r="B23" s="33" t="s">
        <v>2175</v>
      </c>
      <c r="C23" s="34" t="s">
        <v>481</v>
      </c>
      <c r="D23" s="51" t="s">
        <v>101</v>
      </c>
      <c r="E23" s="61" t="str">
        <f>IFERROR(VLOOKUP(D23,'Master List'!D:H,2,FALSE),"NA")</f>
        <v>513801</v>
      </c>
      <c r="F23" s="62" t="str">
        <f>IFERROR(VLOOKUP(D23,'Master List'!D:H,3,FALSE),"NA")</f>
        <v>513801</v>
      </c>
      <c r="G23" s="58" t="str">
        <f>IFERROR(VLOOKUP(D23,'Master List'!D:H,4,FALSE),"NA")</f>
        <v>513801</v>
      </c>
      <c r="H23" s="39" t="str">
        <f>IFERROR(VLOOKUP(D23,'Master List'!D:H,5,FALSE),"NA")</f>
        <v>Registered Nursing/Registered Nurse.</v>
      </c>
      <c r="I23" s="19"/>
      <c r="J23" s="20"/>
      <c r="K23" s="18"/>
      <c r="L23" s="22"/>
    </row>
    <row r="24" spans="1:12" x14ac:dyDescent="0.3">
      <c r="A24" s="33">
        <v>4</v>
      </c>
      <c r="B24" s="33" t="s">
        <v>2175</v>
      </c>
      <c r="C24" s="34" t="s">
        <v>481</v>
      </c>
      <c r="D24" s="51" t="s">
        <v>400</v>
      </c>
      <c r="E24" s="61" t="str">
        <f>IFERROR(VLOOKUP(D24,'Master List'!D:H,2,FALSE),"NA")</f>
        <v>131210</v>
      </c>
      <c r="F24" s="62" t="str">
        <f>IFERROR(VLOOKUP(D24,'Master List'!D:H,3,FALSE),"NA")</f>
        <v>131210</v>
      </c>
      <c r="G24" s="58" t="str">
        <f>IFERROR(VLOOKUP(D24,'Master List'!D:H,4,FALSE),"NA")</f>
        <v>131210</v>
      </c>
      <c r="H24" s="39" t="str">
        <f>IFERROR(VLOOKUP(D24,'Master List'!D:H,5,FALSE),"NA")</f>
        <v>Early Childhood Education and Teaching.</v>
      </c>
      <c r="I24" s="19"/>
      <c r="J24" s="20"/>
      <c r="K24" s="18"/>
      <c r="L24" s="22"/>
    </row>
    <row r="25" spans="1:12" x14ac:dyDescent="0.3">
      <c r="A25" s="33">
        <v>4</v>
      </c>
      <c r="B25" s="33" t="s">
        <v>2175</v>
      </c>
      <c r="C25" s="34" t="s">
        <v>481</v>
      </c>
      <c r="D25" s="51" t="s">
        <v>167</v>
      </c>
      <c r="E25" s="61" t="str">
        <f>IFERROR(VLOOKUP(D25,'Master List'!D:H,2,FALSE),"NA")</f>
        <v>110103</v>
      </c>
      <c r="F25" s="62" t="str">
        <f>IFERROR(VLOOKUP(D25,'Master List'!D:H,3,FALSE),"NA")</f>
        <v>110103</v>
      </c>
      <c r="G25" s="58" t="str">
        <f>IFERROR(VLOOKUP(D25,'Master List'!D:H,4,FALSE),"NA")</f>
        <v>110103</v>
      </c>
      <c r="H25" s="39" t="str">
        <f>IFERROR(VLOOKUP(D25,'Master List'!D:H,5,FALSE),"NA")</f>
        <v>Information Technology.</v>
      </c>
      <c r="I25" s="19"/>
      <c r="J25" s="20"/>
      <c r="K25" s="18"/>
      <c r="L25" s="22"/>
    </row>
    <row r="26" spans="1:12" x14ac:dyDescent="0.3">
      <c r="A26" s="33">
        <v>4</v>
      </c>
      <c r="B26" s="33" t="s">
        <v>2175</v>
      </c>
      <c r="C26" s="34" t="s">
        <v>481</v>
      </c>
      <c r="D26" s="51" t="s">
        <v>106</v>
      </c>
      <c r="E26" s="61" t="str">
        <f>IFERROR(VLOOKUP(D26,'Master List'!D:H,2,FALSE),"NA")</f>
        <v>111001</v>
      </c>
      <c r="F26" s="62" t="str">
        <f>IFERROR(VLOOKUP(D26,'Master List'!D:H,3,FALSE),"NA")</f>
        <v>111001</v>
      </c>
      <c r="G26" s="58" t="str">
        <f>IFERROR(VLOOKUP(D26,'Master List'!D:H,4,FALSE),"NA")</f>
        <v>111001</v>
      </c>
      <c r="H26" s="39" t="str">
        <f>IFERROR(VLOOKUP(D26,'Master List'!D:H,5,FALSE),"NA")</f>
        <v>Network and System Administration/Administrator.</v>
      </c>
      <c r="I26" s="19"/>
      <c r="J26" s="20"/>
      <c r="K26" s="18"/>
      <c r="L26" s="22"/>
    </row>
    <row r="27" spans="1:12" x14ac:dyDescent="0.3">
      <c r="A27" s="33">
        <v>4</v>
      </c>
      <c r="B27" s="33" t="s">
        <v>2175</v>
      </c>
      <c r="C27" s="34" t="s">
        <v>481</v>
      </c>
      <c r="D27" s="51" t="s">
        <v>107</v>
      </c>
      <c r="E27" s="61" t="str">
        <f>IFERROR(VLOOKUP(D27,'Master List'!D:H,2,FALSE),"NA")</f>
        <v>520201</v>
      </c>
      <c r="F27" s="62" t="str">
        <f>IFERROR(VLOOKUP(D27,'Master List'!D:H,3,FALSE),"NA")</f>
        <v>520201</v>
      </c>
      <c r="G27" s="58" t="str">
        <f>IFERROR(VLOOKUP(D27,'Master List'!D:H,4,FALSE),"NA")</f>
        <v>520201</v>
      </c>
      <c r="H27" s="39" t="str">
        <f>IFERROR(VLOOKUP(D27,'Master List'!D:H,5,FALSE),"NA")</f>
        <v>Business Administration and Management, General.</v>
      </c>
      <c r="I27" s="19"/>
      <c r="J27" s="20"/>
      <c r="K27" s="18"/>
      <c r="L27" s="22"/>
    </row>
    <row r="28" spans="1:12" x14ac:dyDescent="0.3">
      <c r="A28" s="33">
        <v>4</v>
      </c>
      <c r="B28" s="33" t="s">
        <v>2175</v>
      </c>
      <c r="C28" s="34" t="s">
        <v>481</v>
      </c>
      <c r="D28" s="51" t="s">
        <v>120</v>
      </c>
      <c r="E28" s="61" t="str">
        <f>IFERROR(VLOOKUP(D28,'Master List'!D:H,2,FALSE),"NA")</f>
        <v>150000</v>
      </c>
      <c r="F28" s="62" t="str">
        <f>IFERROR(VLOOKUP(D28,'Master List'!D:H,3,FALSE),"NA")</f>
        <v>150000</v>
      </c>
      <c r="G28" s="58" t="str">
        <f>IFERROR(VLOOKUP(D28,'Master List'!D:H,4,FALSE),"NA")</f>
        <v>150000</v>
      </c>
      <c r="H28" s="39" t="str">
        <f>IFERROR(VLOOKUP(D28,'Master List'!D:H,5,FALSE),"NA")</f>
        <v>Engineering Technologies/Technicians, General.</v>
      </c>
      <c r="I28" s="19"/>
      <c r="J28" s="20"/>
      <c r="K28" s="18"/>
      <c r="L28" s="22"/>
    </row>
    <row r="29" spans="1:12" x14ac:dyDescent="0.3">
      <c r="A29" s="33">
        <v>4</v>
      </c>
      <c r="B29" s="33" t="s">
        <v>2175</v>
      </c>
      <c r="C29" s="34" t="s">
        <v>481</v>
      </c>
      <c r="D29" s="51" t="s">
        <v>121</v>
      </c>
      <c r="E29" s="61" t="str">
        <f>IFERROR(VLOOKUP(D29,'Master List'!D:H,2,FALSE),"NA")</f>
        <v>500502</v>
      </c>
      <c r="F29" s="62" t="str">
        <f>IFERROR(VLOOKUP(D29,'Master List'!D:H,3,FALSE),"NA")</f>
        <v>500502</v>
      </c>
      <c r="G29" s="58" t="str">
        <f>IFERROR(VLOOKUP(D29,'Master List'!D:H,4,FALSE),"NA")</f>
        <v>500502</v>
      </c>
      <c r="H29" s="39" t="str">
        <f>IFERROR(VLOOKUP(D29,'Master List'!D:H,5,FALSE),"NA")</f>
        <v>Technical Theatre/Theatre Design and Technology.</v>
      </c>
      <c r="I29" s="19"/>
      <c r="J29" s="20"/>
      <c r="K29" s="18"/>
      <c r="L29" s="22"/>
    </row>
    <row r="30" spans="1:12" x14ac:dyDescent="0.3">
      <c r="A30" s="33">
        <v>4</v>
      </c>
      <c r="B30" s="33" t="s">
        <v>2175</v>
      </c>
      <c r="C30" s="34" t="s">
        <v>481</v>
      </c>
      <c r="D30" s="51" t="s">
        <v>367</v>
      </c>
      <c r="E30" s="61" t="str">
        <f>IFERROR(VLOOKUP(D30,'Master List'!D:H,2,FALSE),"NA")</f>
        <v>520205</v>
      </c>
      <c r="F30" s="62" t="str">
        <f>IFERROR(VLOOKUP(D30,'Master List'!D:H,3,FALSE),"NA")</f>
        <v>520205</v>
      </c>
      <c r="G30" s="58" t="str">
        <f>IFERROR(VLOOKUP(D30,'Master List'!D:H,4,FALSE),"NA")</f>
        <v>520205</v>
      </c>
      <c r="H30" s="39" t="str">
        <f>IFERROR(VLOOKUP(D30,'Master List'!D:H,5,FALSE),"NA")</f>
        <v>Operations Management and Supervision.</v>
      </c>
      <c r="I30" s="19"/>
      <c r="J30" s="20"/>
      <c r="K30" s="18"/>
      <c r="L30" s="22"/>
    </row>
    <row r="31" spans="1:12" x14ac:dyDescent="0.3">
      <c r="A31" s="33">
        <v>4</v>
      </c>
      <c r="B31" s="33" t="s">
        <v>2175</v>
      </c>
      <c r="C31" s="34" t="s">
        <v>481</v>
      </c>
      <c r="D31" s="51" t="s">
        <v>124</v>
      </c>
      <c r="E31" s="61" t="str">
        <f>IFERROR(VLOOKUP(D31,'Master List'!D:H,2,FALSE),"NA")</f>
        <v>150201</v>
      </c>
      <c r="F31" s="62" t="str">
        <f>IFERROR(VLOOKUP(D31,'Master List'!D:H,3,FALSE),"NA")</f>
        <v>150201</v>
      </c>
      <c r="G31" s="58" t="str">
        <f>IFERROR(VLOOKUP(D31,'Master List'!D:H,4,FALSE),"NA")</f>
        <v>150201</v>
      </c>
      <c r="H31" s="39" t="str">
        <f>IFERROR(VLOOKUP(D31,'Master List'!D:H,5,FALSE),"NA")</f>
        <v>Civil Engineering Technologies/Technicians.</v>
      </c>
      <c r="I31" s="19"/>
      <c r="J31" s="20"/>
      <c r="K31" s="18"/>
      <c r="L31" s="22"/>
    </row>
    <row r="32" spans="1:12" x14ac:dyDescent="0.3">
      <c r="A32" s="33">
        <v>4</v>
      </c>
      <c r="B32" s="33" t="s">
        <v>2175</v>
      </c>
      <c r="C32" s="34" t="s">
        <v>481</v>
      </c>
      <c r="D32" s="51" t="s">
        <v>486</v>
      </c>
      <c r="E32" s="61" t="str">
        <f>IFERROR(VLOOKUP(D32,'Master List'!D:H,2,FALSE),"NA")</f>
        <v>310507</v>
      </c>
      <c r="F32" s="62" t="str">
        <f>IFERROR(VLOOKUP(D32,'Master List'!D:H,3,FALSE),"NA")</f>
        <v>310507</v>
      </c>
      <c r="G32" s="58" t="str">
        <f>IFERROR(VLOOKUP(D32,'Master List'!D:H,4,FALSE),"NA")</f>
        <v>310507</v>
      </c>
      <c r="H32" s="39" t="str">
        <f>IFERROR(VLOOKUP(D32,'Master List'!D:H,5,FALSE),"NA")</f>
        <v>Physical Fitness Technician.</v>
      </c>
      <c r="I32" s="19"/>
      <c r="J32" s="20"/>
      <c r="K32" s="18"/>
      <c r="L32" s="22"/>
    </row>
    <row r="33" spans="1:12" x14ac:dyDescent="0.3">
      <c r="A33" s="33">
        <v>4</v>
      </c>
      <c r="B33" s="33" t="s">
        <v>2175</v>
      </c>
      <c r="C33" s="34" t="s">
        <v>481</v>
      </c>
      <c r="D33" s="51" t="s">
        <v>128</v>
      </c>
      <c r="E33" s="61" t="str">
        <f>IFERROR(VLOOKUP(D33,'Master List'!D:H,2,FALSE),"NA")</f>
        <v>430103</v>
      </c>
      <c r="F33" s="62" t="str">
        <f>IFERROR(VLOOKUP(D33,'Master List'!D:H,3,FALSE),"NA")</f>
        <v>430103</v>
      </c>
      <c r="G33" s="58" t="str">
        <f>IFERROR(VLOOKUP(D33,'Master List'!D:H,4,FALSE),"NA")</f>
        <v>430103</v>
      </c>
      <c r="H33" s="39" t="str">
        <f>IFERROR(VLOOKUP(D33,'Master List'!D:H,5,FALSE),"NA")</f>
        <v>Criminal Justice/Law Enforcement Administration.</v>
      </c>
      <c r="I33" s="19"/>
      <c r="J33" s="20"/>
      <c r="K33" s="18"/>
      <c r="L33" s="22"/>
    </row>
    <row r="34" spans="1:12" x14ac:dyDescent="0.3">
      <c r="A34" s="40"/>
      <c r="B34" s="40"/>
      <c r="C34" s="40"/>
      <c r="D34" s="40"/>
      <c r="E34" s="55"/>
      <c r="F34" s="55"/>
      <c r="G34" s="55"/>
      <c r="H34" s="43"/>
      <c r="I34" s="40"/>
      <c r="J34" s="40"/>
      <c r="K34" s="44"/>
      <c r="L34" s="44"/>
    </row>
    <row r="35" spans="1:12" x14ac:dyDescent="0.3">
      <c r="A35" s="45"/>
      <c r="B35" s="45"/>
      <c r="C35" s="45"/>
      <c r="D35" s="45"/>
      <c r="E35" s="56"/>
      <c r="F35" s="56"/>
      <c r="G35" s="56"/>
      <c r="H35" s="48"/>
      <c r="I35" s="45"/>
      <c r="J35" s="45"/>
      <c r="K35" s="49"/>
      <c r="L35" s="49"/>
    </row>
    <row r="36" spans="1:12" x14ac:dyDescent="0.3">
      <c r="A36" s="45"/>
      <c r="B36" s="45"/>
      <c r="C36" s="45"/>
      <c r="D36" s="45"/>
      <c r="E36" s="56"/>
      <c r="F36" s="56"/>
      <c r="G36" s="56"/>
      <c r="H36" s="48"/>
      <c r="I36" s="45"/>
      <c r="J36" s="45"/>
      <c r="K36" s="49"/>
      <c r="L36" s="49"/>
    </row>
    <row r="37" spans="1:12" x14ac:dyDescent="0.3">
      <c r="A37" s="45"/>
      <c r="B37" s="45"/>
      <c r="C37" s="45"/>
      <c r="D37" s="45"/>
      <c r="E37" s="56"/>
      <c r="F37" s="56"/>
      <c r="G37" s="56"/>
      <c r="H37" s="48"/>
      <c r="I37" s="45"/>
      <c r="J37" s="45"/>
      <c r="K37" s="49"/>
      <c r="L37" s="49"/>
    </row>
    <row r="38" spans="1:12" x14ac:dyDescent="0.3">
      <c r="A38" s="45"/>
      <c r="B38" s="45"/>
      <c r="C38" s="45"/>
      <c r="D38" s="45"/>
      <c r="E38" s="56"/>
      <c r="F38" s="56"/>
      <c r="G38" s="56"/>
      <c r="H38" s="48"/>
      <c r="I38" s="45"/>
      <c r="J38" s="45"/>
      <c r="K38" s="49"/>
      <c r="L38" s="49"/>
    </row>
    <row r="39" spans="1:12" x14ac:dyDescent="0.3">
      <c r="A39" s="45"/>
      <c r="B39" s="45"/>
      <c r="C39" s="45"/>
      <c r="D39" s="45"/>
      <c r="E39" s="56"/>
      <c r="F39" s="56"/>
      <c r="G39" s="56"/>
      <c r="H39" s="48"/>
      <c r="I39" s="45"/>
      <c r="J39" s="45"/>
      <c r="K39" s="49"/>
      <c r="L39" s="49"/>
    </row>
    <row r="40" spans="1:12" x14ac:dyDescent="0.3">
      <c r="A40" s="45"/>
      <c r="B40" s="45"/>
      <c r="C40" s="45"/>
      <c r="D40" s="45"/>
      <c r="E40" s="56"/>
      <c r="F40" s="56"/>
      <c r="G40" s="56"/>
      <c r="H40" s="48"/>
      <c r="I40" s="45"/>
      <c r="J40" s="45"/>
      <c r="K40" s="49"/>
      <c r="L40" s="49"/>
    </row>
    <row r="41" spans="1:12" x14ac:dyDescent="0.3">
      <c r="A41" s="45"/>
      <c r="B41" s="45"/>
      <c r="C41" s="45"/>
      <c r="D41" s="45"/>
      <c r="E41" s="56"/>
      <c r="F41" s="56"/>
      <c r="G41" s="56"/>
      <c r="H41" s="48"/>
      <c r="I41" s="45"/>
      <c r="J41" s="45"/>
      <c r="K41" s="49"/>
      <c r="L41" s="49"/>
    </row>
    <row r="42" spans="1:12" x14ac:dyDescent="0.3">
      <c r="A42" s="45"/>
      <c r="B42" s="45"/>
      <c r="C42" s="45"/>
      <c r="D42" s="45"/>
      <c r="E42" s="56"/>
      <c r="F42" s="56"/>
      <c r="G42" s="56"/>
      <c r="H42" s="48"/>
      <c r="I42" s="45"/>
      <c r="J42" s="45"/>
      <c r="K42" s="49"/>
      <c r="L42" s="49"/>
    </row>
    <row r="43" spans="1:12" x14ac:dyDescent="0.3">
      <c r="A43" s="45"/>
      <c r="B43" s="45"/>
      <c r="C43" s="45"/>
      <c r="D43" s="45"/>
      <c r="E43" s="56"/>
      <c r="F43" s="56"/>
      <c r="G43" s="56"/>
      <c r="H43" s="48"/>
      <c r="I43" s="45"/>
      <c r="J43" s="45"/>
      <c r="K43" s="49"/>
      <c r="L43" s="49"/>
    </row>
  </sheetData>
  <sheetProtection algorithmName="SHA-512" hashValue="jZ/Ywwqworb2Yr1RCkVTOkCKTYf8lfL6WUCPKiVFkwoPHReaEjq4zqOw8Cwh2gWFcYy7wpaTj34uYowoeVlNgA==" saltValue="VQzg7zSIsdXusQHHzuaWJQ==" spinCount="100000" sheet="1" objects="1" scenarios="1" sort="0" autoFilter="0"/>
  <autoFilter ref="A2:L33"/>
  <mergeCells count="3">
    <mergeCell ref="A1:D1"/>
    <mergeCell ref="E1:H1"/>
    <mergeCell ref="I1:L1"/>
  </mergeCells>
  <dataValidations count="1">
    <dataValidation type="list" allowBlank="1" showInputMessage="1" showErrorMessage="1" sqref="I3:I33">
      <formula1>"Agree,Disagree"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PERA2923fv2Masked</vt:lpstr>
      <vt:lpstr>PERA2</vt:lpstr>
      <vt:lpstr>Instructions</vt:lpstr>
      <vt:lpstr>Master List</vt:lpstr>
      <vt:lpstr>2010-2020 NCES FederalCrosswalk</vt:lpstr>
      <vt:lpstr>01 EFSC</vt:lpstr>
      <vt:lpstr>02 BC</vt:lpstr>
      <vt:lpstr>03 CCF</vt:lpstr>
      <vt:lpstr>04 CC</vt:lpstr>
      <vt:lpstr>05 DSC</vt:lpstr>
      <vt:lpstr>06 FSWSC</vt:lpstr>
      <vt:lpstr>07 FSCJ</vt:lpstr>
      <vt:lpstr>08 FK</vt:lpstr>
      <vt:lpstr>09 GCSC</vt:lpstr>
      <vt:lpstr>10 HCC</vt:lpstr>
      <vt:lpstr>11 IRSC</vt:lpstr>
      <vt:lpstr>12 FGC</vt:lpstr>
      <vt:lpstr>13 LSSC</vt:lpstr>
      <vt:lpstr>14 SCFMS</vt:lpstr>
      <vt:lpstr>15 MDC</vt:lpstr>
      <vt:lpstr>16 NFC</vt:lpstr>
      <vt:lpstr>17 NWFSC</vt:lpstr>
      <vt:lpstr>18 PBSC</vt:lpstr>
      <vt:lpstr>19 PHSC</vt:lpstr>
      <vt:lpstr>20 PSC</vt:lpstr>
      <vt:lpstr>21 Polk</vt:lpstr>
      <vt:lpstr>22 SJRSC</vt:lpstr>
      <vt:lpstr>23 SPC</vt:lpstr>
      <vt:lpstr>24 SFC</vt:lpstr>
      <vt:lpstr>25 SSCF</vt:lpstr>
      <vt:lpstr>26 SFSC</vt:lpstr>
      <vt:lpstr>27 TCC</vt:lpstr>
      <vt:lpstr>28 VC</vt:lpstr>
    </vt:vector>
  </TitlesOfParts>
  <Company>Florida 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Keith</dc:creator>
  <cp:lastModifiedBy>Walsh, Christine</cp:lastModifiedBy>
  <dcterms:created xsi:type="dcterms:W3CDTF">2020-10-15T20:46:13Z</dcterms:created>
  <dcterms:modified xsi:type="dcterms:W3CDTF">2020-11-10T16:04:20Z</dcterms:modified>
</cp:coreProperties>
</file>